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9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0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49.xml" ContentType="application/vnd.openxmlformats-officedocument.drawingml.chart+xml"/>
  <Override PartName="/xl/drawings/drawing28.xml" ContentType="application/vnd.openxmlformats-officedocument.drawingml.chartshapes+xml"/>
  <Override PartName="/xl/charts/chart50.xml" ContentType="application/vnd.openxmlformats-officedocument.drawingml.chart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5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ducationgovuk.sharepoint.com/sites/UnitforFutureSkills/Shared Documents/Research Projects/R007 Skills Imperative 2035 revised projections/Projections/Regional_national/Main tables/"/>
    </mc:Choice>
  </mc:AlternateContent>
  <xr:revisionPtr revIDLastSave="0" documentId="13_ncr:1_{A3FCE13F-AF74-4AF4-9051-38ED14BE8A56}" xr6:coauthVersionLast="47" xr6:coauthVersionMax="47" xr10:uidLastSave="{00000000-0000-0000-0000-000000000000}"/>
  <bookViews>
    <workbookView xWindow="-103" yWindow="-103" windowWidth="19543" windowHeight="12377" tabRatio="880" firstSheet="18" activeTab="29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3" sheetId="97" r:id="rId8"/>
    <sheet name="Ind T4" sheetId="15" r:id="rId9"/>
    <sheet name="Ind T5" sheetId="104" r:id="rId10"/>
    <sheet name="Ind T6" sheetId="102" r:id="rId11"/>
    <sheet name="Ind F1" sheetId="19" r:id="rId12"/>
    <sheet name="Ind F2" sheetId="21" r:id="rId13"/>
    <sheet name="Ind Occ T1" sheetId="101" r:id="rId14"/>
    <sheet name="Ind Occ T2" sheetId="103" r:id="rId15"/>
    <sheet name="Occ T1" sheetId="16" r:id="rId16"/>
    <sheet name="Occ T2" sheetId="71" r:id="rId17"/>
    <sheet name="Occ T3" sheetId="18" r:id="rId18"/>
    <sheet name="Occ T4" sheetId="105" r:id="rId19"/>
    <sheet name="Occ T5" sheetId="109" r:id="rId20"/>
    <sheet name="Occ F1" sheetId="75" r:id="rId21"/>
    <sheet name="Occ F2" sheetId="76" r:id="rId22"/>
    <sheet name="Occ F3" sheetId="106" r:id="rId23"/>
    <sheet name="Occ F4" sheetId="107" r:id="rId24"/>
    <sheet name="Occ F5" sheetId="108" r:id="rId25"/>
    <sheet name="Qual T1" sheetId="44" r:id="rId26"/>
    <sheet name="Qual F1" sheetId="51" r:id="rId27"/>
    <sheet name="SummaryTable12" sheetId="62" state="veryHidden" r:id="rId28"/>
    <sheet name="ShiftShare T1" sheetId="80" r:id="rId29"/>
    <sheet name="RD T1" sheetId="49" r:id="rId30"/>
    <sheet name="RD F1" sheetId="31" r:id="rId31"/>
    <sheet name="Basic T1" sheetId="52" r:id="rId32"/>
    <sheet name="Basic T2" sheetId="78" r:id="rId33"/>
    <sheet name="Basic T3" sheetId="79" r:id="rId34"/>
    <sheet name="BasicTable5" sheetId="60" state="veryHidden" r:id="rId35"/>
    <sheet name="ShiftShare2" sheetId="83" state="veryHidden" r:id="rId36"/>
    <sheet name="SupplyBasicTable2" sheetId="93" state="veryHidden" r:id="rId37"/>
    <sheet name="name" sheetId="2" r:id="rId38"/>
    <sheet name="aggregation" sheetId="5" r:id="rId39"/>
    <sheet name="AggregationTables" sheetId="46" r:id="rId40"/>
  </sheets>
  <externalReferences>
    <externalReference r:id="rId41"/>
  </externalReferences>
  <definedNames>
    <definedName name="_Fill" localSheetId="34">#REF!</definedName>
    <definedName name="_Fill" localSheetId="14" hidden="1">#REF!</definedName>
    <definedName name="_Fill" localSheetId="35">#REF!</definedName>
    <definedName name="_Fill" localSheetId="27">#REF!</definedName>
    <definedName name="chart22" localSheetId="35">'[1]Chapter 2 - Charts'!$D$71:$N$108</definedName>
    <definedName name="chart31" localSheetId="35">'[1]Chapter 3 - Charts'!$D$27:$O$60</definedName>
    <definedName name="chart32" localSheetId="35">'[1]Chapter 3 - Charts'!$D$74:$O$106</definedName>
    <definedName name="chart33" localSheetId="35">'[1]Chapter 3 - Charts'!$D$117:$Z$153</definedName>
    <definedName name="chart34" localSheetId="35">'[1]Chapter 3 - Charts'!$D$598:$Y$629</definedName>
    <definedName name="Chart42" localSheetId="35">'[1]Chapter 4 - Charts'!$D$25:$N$62</definedName>
    <definedName name="Chart43" localSheetId="35">'[1]Chapter 4 - Charts'!$D$71:$N$108</definedName>
    <definedName name="Chart43_b" localSheetId="35">'[1]Chapter 4 - Charts'!$D$216:$N$260</definedName>
    <definedName name="Chart44" localSheetId="35">'[1]Chapter 4 - Charts'!$D$118:$N$155</definedName>
    <definedName name="Chart44_b" localSheetId="35">'[1]Chapter 4 - Charts'!$D$165:$N$209</definedName>
    <definedName name="Chart44_b_a" localSheetId="35">'[1]Chapter 4 - Charts'!$D$267:$N$311</definedName>
    <definedName name="Chart51" localSheetId="35">'[1]Chapter 5 - Charts'!$D$25:$N$62</definedName>
    <definedName name="Chart52" localSheetId="35">'[1]Chapter 5 - Charts'!$D$71:$N$108</definedName>
    <definedName name="Chart52_b" localSheetId="35">'[1]Chapter 5 - Charts'!$D$118:$N$153</definedName>
    <definedName name="Chart53" localSheetId="35">'[1]Chapter 5 - Charts'!$D$530:$N$567</definedName>
    <definedName name="Chart71" localSheetId="35">'[1]Chapter 7 - Charts'!$D$25:$N$60</definedName>
    <definedName name="Chart710" localSheetId="35">'[1]Chapter 7 - Charts'!$D$843:$N$878</definedName>
    <definedName name="Chart710_b" localSheetId="35">'[1]Chapter 7 - Charts'!$D$886:$N$921</definedName>
    <definedName name="Chart711" localSheetId="35">'[1]Chapter 7 - Charts'!$D$931:$N$966</definedName>
    <definedName name="Chart711_b" localSheetId="35">'[1]Chapter 7 - Charts'!$D$976:$N$1011</definedName>
    <definedName name="Chart712" localSheetId="35">'[1]Chapter 7 - Charts'!$D$1021:$N$1056</definedName>
    <definedName name="Chart712_b" localSheetId="35">'[1]Chapter 7 - Charts'!$D$1065:$N$1100</definedName>
    <definedName name="Chart712_c" localSheetId="35">'[1]Chapter 7 - Charts'!$D$1110:$N$1145</definedName>
    <definedName name="Chart72" localSheetId="35">'[1]Chapter 7 - Charts'!$D$67:$N$102</definedName>
    <definedName name="Chart75" localSheetId="35">'[1]Chapter 7 - Charts'!$D$454:$N$489</definedName>
    <definedName name="Chart76" localSheetId="35">'[1]Chapter 7 - Charts'!$D$366:$N$401</definedName>
    <definedName name="Chart76_b" localSheetId="35">'[1]Chapter 7 - Charts'!$D$499:$N$534</definedName>
    <definedName name="Chart77" localSheetId="35">'[1]Chapter 7 - Charts'!$D$410:$N$445</definedName>
    <definedName name="Chart77_b" localSheetId="35">'[1]Chapter 7 - Charts'!$D$543:$N$578</definedName>
    <definedName name="colourboard" localSheetId="35">[1]Contents!$I$6:$M$30</definedName>
    <definedName name="_xlnm.Print_Area" localSheetId="31">'Basic T1'!$A$1:$AN$101</definedName>
    <definedName name="_xlnm.Print_Area" localSheetId="32">'Basic T2'!$A$1:$CT$146</definedName>
    <definedName name="_xlnm.Print_Area" localSheetId="33">'Basic T3'!$A$1:$AG$35</definedName>
    <definedName name="_xlnm.Print_Area" localSheetId="34">BasicTable5!$1:$96</definedName>
    <definedName name="_xlnm.Print_Area" localSheetId="11">'Ind F1'!$A:$J</definedName>
    <definedName name="_xlnm.Print_Area" localSheetId="12">'Ind F2'!$A:$J</definedName>
    <definedName name="_xlnm.Print_Area" localSheetId="13">'Ind Occ T1'!$A$1:$L$1294</definedName>
    <definedName name="_xlnm.Print_Area" localSheetId="14">'Ind Occ T2'!$A$1:$O$1294</definedName>
    <definedName name="_xlnm.Print_Area" localSheetId="5">'Ind T1'!$A$1:$S$52</definedName>
    <definedName name="_xlnm.Print_Area" localSheetId="6">'Ind T2'!$A$1:$G$113</definedName>
    <definedName name="_xlnm.Print_Area" localSheetId="7">'Ind T3'!$A$1:$F$333</definedName>
    <definedName name="_xlnm.Print_Area" localSheetId="8">'Ind T4'!$A$1:$L$122</definedName>
    <definedName name="_xlnm.Print_Area" localSheetId="9">'Ind T5'!$A$1:$N$508</definedName>
    <definedName name="_xlnm.Print_Area" localSheetId="10">'Ind T6'!$A$1:$Y$566</definedName>
    <definedName name="_xlnm.Print_Area" localSheetId="3">Manager!$A$1:$O$18</definedName>
    <definedName name="_xlnm.Print_Area" localSheetId="20">'Occ F1'!$A$1:$J$185</definedName>
    <definedName name="_xlnm.Print_Area" localSheetId="21">'Occ F2'!$A:$J</definedName>
    <definedName name="_xlnm.Print_Area" localSheetId="22">'Occ F3'!$A$1:$S$29</definedName>
    <definedName name="_xlnm.Print_Area" localSheetId="23">'Occ F4'!$A$1:$J$38</definedName>
    <definedName name="_xlnm.Print_Area" localSheetId="24">'Occ F5'!$A$1:$J$116</definedName>
    <definedName name="_xlnm.Print_Area" localSheetId="15">'Occ T1'!$A$1:$AF$90</definedName>
    <definedName name="_xlnm.Print_Area" localSheetId="16">'Occ T2'!$A$1:$AF$180</definedName>
    <definedName name="_xlnm.Print_Area" localSheetId="17">'Occ T3'!$A$1:$L$103</definedName>
    <definedName name="_xlnm.Print_Area" localSheetId="18">'Occ T4'!$A$1:$U$38</definedName>
    <definedName name="_xlnm.Print_Area" localSheetId="19">'Occ T5'!$A$1:$AU$54</definedName>
    <definedName name="_xlnm.Print_Area" localSheetId="26">'Qual F1'!$A:$J</definedName>
    <definedName name="_xlnm.Print_Area" localSheetId="25">'Qual T1'!$A$1:$F$57</definedName>
    <definedName name="_xlnm.Print_Area" localSheetId="30">'RD F1'!$A:$N</definedName>
    <definedName name="_xlnm.Print_Area" localSheetId="29">'RD T1'!$A$1:$G$294,'RD T1'!$I$1:$N$117,'RD T1'!$P$1:$V$62,'RD T1'!$X$1:$AD$82</definedName>
    <definedName name="_xlnm.Print_Area" localSheetId="28">'ShiftShare T1'!$A$1:$R$71</definedName>
    <definedName name="_xlnm.Print_Titles" localSheetId="33">'Basic T3'!$A:$A</definedName>
    <definedName name="_xlnm.Print_Titles" localSheetId="27">SummaryTable12!$1:$6</definedName>
    <definedName name="thecontents" localSheetId="35">[1]Contents!$A$1:$N$1</definedName>
    <definedName name="Total79" localSheetId="35">'[1]Chapter 5 - Charts'!$AJ$75:$AJ$85</definedName>
    <definedName name="Total98" localSheetId="35">'[1]Chapter 5 - Charts'!$AK$75:$AK$85</definedName>
    <definedName name="wshNames">RIGHT(GET.WORKBOOK(1),LEN(GET.WORKBOOK(1))-FIND("]",GET.WORKBOOK(1)))</definedName>
  </definedNames>
  <calcPr calcId="191029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18" l="1"/>
  <c r="D40" i="18"/>
  <c r="E40" i="18"/>
  <c r="F40" i="18"/>
  <c r="C41" i="18"/>
  <c r="D41" i="18"/>
  <c r="E41" i="18"/>
  <c r="F41" i="18"/>
  <c r="C44" i="18"/>
  <c r="D44" i="18"/>
  <c r="E44" i="18"/>
  <c r="F44" i="18"/>
  <c r="C45" i="18"/>
  <c r="D45" i="18"/>
  <c r="E45" i="18"/>
  <c r="F45" i="18"/>
  <c r="C48" i="18"/>
  <c r="D48" i="18"/>
  <c r="E48" i="18"/>
  <c r="F48" i="18"/>
  <c r="C49" i="18"/>
  <c r="D49" i="18"/>
  <c r="E49" i="18"/>
  <c r="F49" i="18"/>
  <c r="B49" i="18"/>
  <c r="B48" i="18"/>
  <c r="H48" i="18" s="1"/>
  <c r="B45" i="18"/>
  <c r="B44" i="18"/>
  <c r="B41" i="18"/>
  <c r="B40" i="18"/>
  <c r="X1" i="49"/>
  <c r="P1" i="49"/>
  <c r="I1" i="49"/>
  <c r="A1" i="49"/>
  <c r="AK1" i="80"/>
  <c r="W1" i="80"/>
  <c r="Q1" i="109"/>
  <c r="A1" i="109"/>
  <c r="A1" i="105"/>
  <c r="A1" i="71"/>
  <c r="A1" i="103"/>
  <c r="A1" i="101"/>
  <c r="A1" i="102"/>
  <c r="A1" i="97"/>
  <c r="CP35" i="78" l="1"/>
  <c r="V49" i="49"/>
  <c r="T62" i="49"/>
  <c r="R33" i="49"/>
  <c r="B294" i="49"/>
  <c r="E71" i="80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AE32" i="76"/>
  <c r="AF32" i="76"/>
  <c r="AG32" i="76"/>
  <c r="AH32" i="76"/>
  <c r="AI32" i="76"/>
  <c r="AJ32" i="76"/>
  <c r="AK32" i="76"/>
  <c r="AL32" i="76"/>
  <c r="M32" i="76"/>
  <c r="L107" i="75"/>
  <c r="M107" i="75"/>
  <c r="B36" i="105"/>
  <c r="H9" i="78" l="1"/>
  <c r="H8" i="78"/>
  <c r="H45" i="78" s="1"/>
  <c r="M107" i="49" a="1"/>
  <c r="M107" i="49" s="1"/>
  <c r="K107" i="49" a="1"/>
  <c r="K107" i="49" s="1"/>
  <c r="J107" i="49" a="1"/>
  <c r="J107" i="49" s="1"/>
  <c r="M96" i="49" a="1"/>
  <c r="M100" i="49" s="1"/>
  <c r="K96" i="49" a="1"/>
  <c r="K96" i="49" s="1"/>
  <c r="J96" i="49" a="1"/>
  <c r="J96" i="49" s="1"/>
  <c r="M85" i="49" a="1"/>
  <c r="M86" i="49" s="1"/>
  <c r="K85" i="49" a="1"/>
  <c r="K85" i="49" s="1"/>
  <c r="J85" i="49" a="1"/>
  <c r="J85" i="49" s="1"/>
  <c r="M74" i="49" a="1"/>
  <c r="M74" i="49" s="1"/>
  <c r="K74" i="49" a="1"/>
  <c r="K75" i="49" s="1"/>
  <c r="J74" i="49" a="1"/>
  <c r="J74" i="49" s="1"/>
  <c r="M63" i="49" a="1"/>
  <c r="M64" i="49" s="1"/>
  <c r="K63" i="49" a="1"/>
  <c r="K63" i="49" s="1"/>
  <c r="J63" i="49" a="1"/>
  <c r="J63" i="49" s="1"/>
  <c r="M52" i="49" a="1"/>
  <c r="M52" i="49" s="1"/>
  <c r="K52" i="49" a="1"/>
  <c r="K53" i="49" s="1"/>
  <c r="J52" i="49" a="1"/>
  <c r="J53" i="49" s="1"/>
  <c r="M41" i="49" a="1"/>
  <c r="M41" i="49" s="1"/>
  <c r="K41" i="49" a="1"/>
  <c r="K41" i="49" s="1"/>
  <c r="J41" i="49" a="1"/>
  <c r="J41" i="49" s="1"/>
  <c r="M30" i="49" a="1"/>
  <c r="M30" i="49" s="1"/>
  <c r="K30" i="49" a="1"/>
  <c r="K33" i="49" s="1"/>
  <c r="J30" i="49" a="1"/>
  <c r="J30" i="49" s="1"/>
  <c r="M19" i="49" a="1"/>
  <c r="M19" i="49" s="1"/>
  <c r="K19" i="49" a="1"/>
  <c r="K19" i="49" s="1"/>
  <c r="J19" i="49" a="1"/>
  <c r="J19" i="49" s="1"/>
  <c r="L44" i="109"/>
  <c r="G44" i="109"/>
  <c r="R9" i="105"/>
  <c r="Q9" i="105"/>
  <c r="N9" i="105"/>
  <c r="K59" i="49" l="1"/>
  <c r="K56" i="49"/>
  <c r="K81" i="49"/>
  <c r="M59" i="49"/>
  <c r="J31" i="49"/>
  <c r="M63" i="49"/>
  <c r="J26" i="49"/>
  <c r="K74" i="49"/>
  <c r="J104" i="49"/>
  <c r="K23" i="49"/>
  <c r="K22" i="49"/>
  <c r="K20" i="49"/>
  <c r="J48" i="49"/>
  <c r="J100" i="49"/>
  <c r="J45" i="49"/>
  <c r="J70" i="49"/>
  <c r="M23" i="49"/>
  <c r="J42" i="49"/>
  <c r="J68" i="49"/>
  <c r="M79" i="49"/>
  <c r="M20" i="49"/>
  <c r="K70" i="49"/>
  <c r="J92" i="49"/>
  <c r="J86" i="49"/>
  <c r="J114" i="49"/>
  <c r="J34" i="49"/>
  <c r="J52" i="49"/>
  <c r="M71" i="49"/>
  <c r="M22" i="49"/>
  <c r="M93" i="49"/>
  <c r="K30" i="49"/>
  <c r="M92" i="49"/>
  <c r="K82" i="49"/>
  <c r="M85" i="49"/>
  <c r="M78" i="49"/>
  <c r="J99" i="49"/>
  <c r="K27" i="49"/>
  <c r="M27" i="49"/>
  <c r="M48" i="49"/>
  <c r="J60" i="49"/>
  <c r="K52" i="49"/>
  <c r="M75" i="49"/>
  <c r="K92" i="49"/>
  <c r="M89" i="49"/>
  <c r="J97" i="49"/>
  <c r="M104" i="49"/>
  <c r="K114" i="49"/>
  <c r="K26" i="49"/>
  <c r="M26" i="49"/>
  <c r="K38" i="49"/>
  <c r="M37" i="49"/>
  <c r="K48" i="49"/>
  <c r="M47" i="49"/>
  <c r="J59" i="49"/>
  <c r="K90" i="49"/>
  <c r="M103" i="49"/>
  <c r="J54" i="49"/>
  <c r="K89" i="49"/>
  <c r="K103" i="49"/>
  <c r="M99" i="49"/>
  <c r="K37" i="49"/>
  <c r="K34" i="49"/>
  <c r="M98" i="49"/>
  <c r="K32" i="49"/>
  <c r="M70" i="49"/>
  <c r="M97" i="49"/>
  <c r="J37" i="49"/>
  <c r="K31" i="49"/>
  <c r="K60" i="49"/>
  <c r="M67" i="49"/>
  <c r="K78" i="49"/>
  <c r="M81" i="49"/>
  <c r="J89" i="49"/>
  <c r="J103" i="49"/>
  <c r="M96" i="49"/>
  <c r="M114" i="49"/>
  <c r="M113" i="49"/>
  <c r="M112" i="49"/>
  <c r="M111" i="49"/>
  <c r="M110" i="49"/>
  <c r="M109" i="49"/>
  <c r="M108" i="49"/>
  <c r="M115" i="49"/>
  <c r="K113" i="49"/>
  <c r="K112" i="49"/>
  <c r="K111" i="49"/>
  <c r="K110" i="49"/>
  <c r="K109" i="49"/>
  <c r="K108" i="49"/>
  <c r="K115" i="49"/>
  <c r="J113" i="49"/>
  <c r="J112" i="49"/>
  <c r="J111" i="49"/>
  <c r="J110" i="49"/>
  <c r="J109" i="49"/>
  <c r="J108" i="49"/>
  <c r="J115" i="49"/>
  <c r="M102" i="49"/>
  <c r="M101" i="49"/>
  <c r="K102" i="49"/>
  <c r="K101" i="49"/>
  <c r="K100" i="49"/>
  <c r="K99" i="49"/>
  <c r="K98" i="49"/>
  <c r="K97" i="49"/>
  <c r="K104" i="49"/>
  <c r="J102" i="49"/>
  <c r="J101" i="49"/>
  <c r="J98" i="49"/>
  <c r="M91" i="49"/>
  <c r="M90" i="49"/>
  <c r="M88" i="49"/>
  <c r="M87" i="49"/>
  <c r="K91" i="49"/>
  <c r="K88" i="49"/>
  <c r="K87" i="49"/>
  <c r="K86" i="49"/>
  <c r="K93" i="49"/>
  <c r="J91" i="49"/>
  <c r="J90" i="49"/>
  <c r="J88" i="49"/>
  <c r="J87" i="49"/>
  <c r="J93" i="49"/>
  <c r="M80" i="49"/>
  <c r="M77" i="49"/>
  <c r="M76" i="49"/>
  <c r="M82" i="49"/>
  <c r="K80" i="49"/>
  <c r="K79" i="49"/>
  <c r="K77" i="49"/>
  <c r="K76" i="49"/>
  <c r="J80" i="49"/>
  <c r="J81" i="49"/>
  <c r="J79" i="49"/>
  <c r="J78" i="49"/>
  <c r="J77" i="49"/>
  <c r="J76" i="49"/>
  <c r="J75" i="49"/>
  <c r="J82" i="49"/>
  <c r="M69" i="49"/>
  <c r="M68" i="49"/>
  <c r="M66" i="49"/>
  <c r="M65" i="49"/>
  <c r="K69" i="49"/>
  <c r="K68" i="49"/>
  <c r="K67" i="49"/>
  <c r="K66" i="49"/>
  <c r="K65" i="49"/>
  <c r="K64" i="49"/>
  <c r="K71" i="49"/>
  <c r="J69" i="49"/>
  <c r="J67" i="49"/>
  <c r="J66" i="49"/>
  <c r="J65" i="49"/>
  <c r="J64" i="49"/>
  <c r="J71" i="49"/>
  <c r="M58" i="49"/>
  <c r="M57" i="49"/>
  <c r="M56" i="49"/>
  <c r="M55" i="49"/>
  <c r="M54" i="49"/>
  <c r="M53" i="49"/>
  <c r="M60" i="49"/>
  <c r="K58" i="49"/>
  <c r="K57" i="49"/>
  <c r="K55" i="49"/>
  <c r="K54" i="49"/>
  <c r="J58" i="49"/>
  <c r="J57" i="49"/>
  <c r="J56" i="49"/>
  <c r="J55" i="49"/>
  <c r="M46" i="49"/>
  <c r="M45" i="49"/>
  <c r="M44" i="49"/>
  <c r="M43" i="49"/>
  <c r="M42" i="49"/>
  <c r="M49" i="49"/>
  <c r="K47" i="49"/>
  <c r="K46" i="49"/>
  <c r="K45" i="49"/>
  <c r="K44" i="49"/>
  <c r="K43" i="49"/>
  <c r="K42" i="49"/>
  <c r="K49" i="49"/>
  <c r="J47" i="49"/>
  <c r="J46" i="49"/>
  <c r="J44" i="49"/>
  <c r="J43" i="49"/>
  <c r="J49" i="49"/>
  <c r="M36" i="49"/>
  <c r="M35" i="49"/>
  <c r="M34" i="49"/>
  <c r="M33" i="49"/>
  <c r="M32" i="49"/>
  <c r="M31" i="49"/>
  <c r="M38" i="49"/>
  <c r="K36" i="49"/>
  <c r="K35" i="49"/>
  <c r="J36" i="49"/>
  <c r="J35" i="49"/>
  <c r="J33" i="49"/>
  <c r="J32" i="49"/>
  <c r="J38" i="49"/>
  <c r="M25" i="49"/>
  <c r="M24" i="49"/>
  <c r="M21" i="49"/>
  <c r="K25" i="49"/>
  <c r="K24" i="49"/>
  <c r="K21" i="49"/>
  <c r="J25" i="49"/>
  <c r="J24" i="49"/>
  <c r="J23" i="49"/>
  <c r="J22" i="49"/>
  <c r="J21" i="49"/>
  <c r="J20" i="49"/>
  <c r="J27" i="49"/>
  <c r="AB8" i="16" l="1" a="1"/>
  <c r="AB8" i="16" s="1"/>
  <c r="AA8" i="16" a="1"/>
  <c r="AA9" i="16" s="1"/>
  <c r="Z8" i="16" a="1"/>
  <c r="Z8" i="16" s="1"/>
  <c r="Y8" i="16" a="1"/>
  <c r="Y8" i="16" s="1"/>
  <c r="X8" i="16" a="1"/>
  <c r="X8" i="16" s="1"/>
  <c r="Q8" i="16" a="1"/>
  <c r="Q9" i="16" s="1"/>
  <c r="P8" i="16" a="1"/>
  <c r="P8" i="16" s="1"/>
  <c r="O8" i="16" a="1"/>
  <c r="O8" i="16" s="1"/>
  <c r="N8" i="16" a="1"/>
  <c r="N9" i="16" s="1"/>
  <c r="M8" i="16" a="1"/>
  <c r="M8" i="16" s="1"/>
  <c r="F8" i="16" a="1"/>
  <c r="F8" i="16" s="1"/>
  <c r="E8" i="16" a="1"/>
  <c r="E8" i="16" s="1"/>
  <c r="D8" i="16" a="1"/>
  <c r="D9" i="16" s="1"/>
  <c r="C8" i="16" a="1"/>
  <c r="C8" i="16" s="1"/>
  <c r="B8" i="16" a="1"/>
  <c r="B10" i="16" s="1"/>
  <c r="F258" i="97"/>
  <c r="F259" i="97"/>
  <c r="F260" i="97"/>
  <c r="F261" i="97"/>
  <c r="F262" i="97"/>
  <c r="F263" i="97"/>
  <c r="F264" i="97"/>
  <c r="F265" i="97"/>
  <c r="F266" i="97"/>
  <c r="F267" i="97"/>
  <c r="F268" i="97"/>
  <c r="F269" i="97"/>
  <c r="F270" i="97"/>
  <c r="F271" i="97"/>
  <c r="F272" i="97"/>
  <c r="F273" i="97"/>
  <c r="F274" i="97"/>
  <c r="F275" i="97"/>
  <c r="F276" i="97"/>
  <c r="F277" i="97"/>
  <c r="F278" i="97"/>
  <c r="F279" i="97"/>
  <c r="F280" i="97"/>
  <c r="F281" i="97"/>
  <c r="F282" i="97"/>
  <c r="F283" i="97"/>
  <c r="F284" i="97"/>
  <c r="F285" i="97"/>
  <c r="F286" i="97"/>
  <c r="F287" i="97"/>
  <c r="F288" i="97"/>
  <c r="F289" i="97"/>
  <c r="F290" i="97"/>
  <c r="F291" i="97"/>
  <c r="F292" i="97"/>
  <c r="F293" i="97"/>
  <c r="F294" i="97"/>
  <c r="F295" i="97"/>
  <c r="F296" i="97"/>
  <c r="F297" i="97"/>
  <c r="F298" i="97"/>
  <c r="F299" i="97"/>
  <c r="F300" i="97"/>
  <c r="F301" i="97"/>
  <c r="F302" i="97"/>
  <c r="F303" i="97"/>
  <c r="F304" i="97"/>
  <c r="F305" i="97"/>
  <c r="F306" i="97"/>
  <c r="F307" i="97"/>
  <c r="F308" i="97"/>
  <c r="F309" i="97"/>
  <c r="F310" i="97"/>
  <c r="F311" i="97"/>
  <c r="F312" i="97"/>
  <c r="F313" i="97"/>
  <c r="F314" i="97"/>
  <c r="F315" i="97"/>
  <c r="F316" i="97"/>
  <c r="F317" i="97"/>
  <c r="F318" i="97"/>
  <c r="F319" i="97"/>
  <c r="F320" i="97"/>
  <c r="F321" i="97"/>
  <c r="F322" i="97"/>
  <c r="F323" i="97"/>
  <c r="F324" i="97"/>
  <c r="F325" i="97"/>
  <c r="F326" i="97"/>
  <c r="F327" i="97"/>
  <c r="F328" i="97"/>
  <c r="F329" i="97"/>
  <c r="F330" i="97"/>
  <c r="F331" i="97"/>
  <c r="F257" i="97"/>
  <c r="F255" i="97"/>
  <c r="F174" i="97"/>
  <c r="F175" i="97"/>
  <c r="F176" i="97"/>
  <c r="F177" i="97"/>
  <c r="F178" i="97"/>
  <c r="F179" i="97"/>
  <c r="F180" i="97"/>
  <c r="F181" i="97"/>
  <c r="F182" i="97"/>
  <c r="F183" i="97"/>
  <c r="F184" i="97"/>
  <c r="F185" i="97"/>
  <c r="F186" i="97"/>
  <c r="F187" i="97"/>
  <c r="F188" i="97"/>
  <c r="F189" i="97"/>
  <c r="F190" i="97"/>
  <c r="F191" i="97"/>
  <c r="F192" i="97"/>
  <c r="F193" i="97"/>
  <c r="F194" i="97"/>
  <c r="F195" i="97"/>
  <c r="F196" i="97"/>
  <c r="F197" i="97"/>
  <c r="F198" i="97"/>
  <c r="F199" i="97"/>
  <c r="F200" i="97"/>
  <c r="F201" i="97"/>
  <c r="F202" i="97"/>
  <c r="F203" i="97"/>
  <c r="F204" i="97"/>
  <c r="F205" i="97"/>
  <c r="F206" i="97"/>
  <c r="F207" i="97"/>
  <c r="F208" i="97"/>
  <c r="F209" i="97"/>
  <c r="F210" i="97"/>
  <c r="F211" i="97"/>
  <c r="F212" i="97"/>
  <c r="F213" i="97"/>
  <c r="F214" i="97"/>
  <c r="F215" i="97"/>
  <c r="F216" i="97"/>
  <c r="F217" i="97"/>
  <c r="F218" i="97"/>
  <c r="F219" i="97"/>
  <c r="F220" i="97"/>
  <c r="F221" i="97"/>
  <c r="F222" i="97"/>
  <c r="F223" i="97"/>
  <c r="F224" i="97"/>
  <c r="F225" i="97"/>
  <c r="F226" i="97"/>
  <c r="F227" i="97"/>
  <c r="F228" i="97"/>
  <c r="F229" i="97"/>
  <c r="F230" i="97"/>
  <c r="F231" i="97"/>
  <c r="F232" i="97"/>
  <c r="F233" i="97"/>
  <c r="F234" i="97"/>
  <c r="F235" i="97"/>
  <c r="F236" i="97"/>
  <c r="F237" i="97"/>
  <c r="F238" i="97"/>
  <c r="F239" i="97"/>
  <c r="F240" i="97"/>
  <c r="F241" i="97"/>
  <c r="F242" i="97"/>
  <c r="F243" i="97"/>
  <c r="F244" i="97"/>
  <c r="F245" i="97"/>
  <c r="F246" i="97"/>
  <c r="F247" i="97"/>
  <c r="F173" i="97"/>
  <c r="F171" i="97"/>
  <c r="B15" i="16" l="1"/>
  <c r="B9" i="16"/>
  <c r="D8" i="16"/>
  <c r="P15" i="16"/>
  <c r="E11" i="16"/>
  <c r="P14" i="16"/>
  <c r="B16" i="16"/>
  <c r="E9" i="16"/>
  <c r="P13" i="16"/>
  <c r="B8" i="16"/>
  <c r="X15" i="16"/>
  <c r="N16" i="16"/>
  <c r="X12" i="16"/>
  <c r="N15" i="16"/>
  <c r="D16" i="16"/>
  <c r="N10" i="16"/>
  <c r="D15" i="16"/>
  <c r="N8" i="16"/>
  <c r="Z15" i="16"/>
  <c r="D12" i="16"/>
  <c r="Z9" i="16"/>
  <c r="E16" i="16"/>
  <c r="M16" i="16"/>
  <c r="Q16" i="16"/>
  <c r="AA15" i="16"/>
  <c r="C15" i="16"/>
  <c r="E15" i="16"/>
  <c r="M15" i="16"/>
  <c r="Q15" i="16"/>
  <c r="Y15" i="16"/>
  <c r="AA12" i="16"/>
  <c r="E13" i="16"/>
  <c r="M11" i="16"/>
  <c r="O15" i="16"/>
  <c r="Q13" i="16"/>
  <c r="AA8" i="16"/>
  <c r="M9" i="16"/>
  <c r="Q8" i="16"/>
  <c r="Z10" i="16"/>
  <c r="AB15" i="16"/>
  <c r="X9" i="16"/>
  <c r="AA16" i="16"/>
  <c r="AB14" i="16"/>
  <c r="AB13" i="16"/>
  <c r="AB12" i="16"/>
  <c r="AB11" i="16"/>
  <c r="AB10" i="16"/>
  <c r="AB9" i="16"/>
  <c r="AB16" i="16"/>
  <c r="AA14" i="16"/>
  <c r="AA13" i="16"/>
  <c r="AA11" i="16"/>
  <c r="AA10" i="16"/>
  <c r="Z14" i="16"/>
  <c r="Z13" i="16"/>
  <c r="Z12" i="16"/>
  <c r="Z11" i="16"/>
  <c r="Z16" i="16"/>
  <c r="Y14" i="16"/>
  <c r="Y13" i="16"/>
  <c r="Y12" i="16"/>
  <c r="Y11" i="16"/>
  <c r="Y10" i="16"/>
  <c r="Y9" i="16"/>
  <c r="Y16" i="16"/>
  <c r="X14" i="16"/>
  <c r="X13" i="16"/>
  <c r="X11" i="16"/>
  <c r="X10" i="16"/>
  <c r="X16" i="16"/>
  <c r="Q14" i="16"/>
  <c r="Q12" i="16"/>
  <c r="Q11" i="16"/>
  <c r="Q10" i="16"/>
  <c r="P12" i="16"/>
  <c r="P11" i="16"/>
  <c r="P10" i="16"/>
  <c r="P9" i="16"/>
  <c r="P16" i="16"/>
  <c r="O14" i="16"/>
  <c r="O13" i="16"/>
  <c r="O12" i="16"/>
  <c r="O11" i="16"/>
  <c r="O10" i="16"/>
  <c r="O9" i="16"/>
  <c r="O16" i="16"/>
  <c r="N14" i="16"/>
  <c r="N13" i="16"/>
  <c r="N12" i="16"/>
  <c r="N11" i="16"/>
  <c r="M14" i="16"/>
  <c r="M13" i="16"/>
  <c r="M12" i="16"/>
  <c r="M10" i="16"/>
  <c r="F15" i="16"/>
  <c r="F14" i="16"/>
  <c r="F13" i="16"/>
  <c r="F12" i="16"/>
  <c r="F11" i="16"/>
  <c r="F10" i="16"/>
  <c r="F9" i="16"/>
  <c r="H8" i="16"/>
  <c r="F16" i="16"/>
  <c r="E14" i="16"/>
  <c r="E12" i="16"/>
  <c r="E10" i="16"/>
  <c r="D14" i="16"/>
  <c r="D13" i="16"/>
  <c r="D11" i="16"/>
  <c r="D10" i="16"/>
  <c r="C14" i="16"/>
  <c r="C13" i="16"/>
  <c r="C12" i="16"/>
  <c r="C11" i="16"/>
  <c r="C10" i="16"/>
  <c r="C9" i="16"/>
  <c r="C16" i="16"/>
  <c r="B14" i="16"/>
  <c r="B13" i="16"/>
  <c r="B12" i="16"/>
  <c r="B11" i="16"/>
  <c r="Y6" i="71" l="1"/>
  <c r="Z6" i="71"/>
  <c r="AA6" i="71"/>
  <c r="AB6" i="71"/>
  <c r="X6" i="71"/>
  <c r="W1" i="71" s="1"/>
  <c r="N6" i="71"/>
  <c r="O6" i="71"/>
  <c r="P6" i="71"/>
  <c r="Q6" i="71"/>
  <c r="M6" i="71"/>
  <c r="L1" i="71" s="1"/>
  <c r="AR5" i="109"/>
  <c r="AM5" i="109"/>
  <c r="AH5" i="109"/>
  <c r="AB5" i="109"/>
  <c r="W5" i="109"/>
  <c r="R5" i="109"/>
  <c r="AH33" i="21"/>
  <c r="AI33" i="21"/>
  <c r="AJ33" i="21"/>
  <c r="AK33" i="21"/>
  <c r="AL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I8" i="78"/>
  <c r="AA81" i="49"/>
  <c r="I40" i="80"/>
  <c r="A37" i="80" s="1"/>
  <c r="N51" i="76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AH45" i="76"/>
  <c r="AI45" i="76"/>
  <c r="AJ45" i="76"/>
  <c r="AK45" i="76"/>
  <c r="AL45" i="76"/>
  <c r="AH41" i="76"/>
  <c r="AI41" i="76"/>
  <c r="AJ41" i="76"/>
  <c r="AK41" i="76"/>
  <c r="AL41" i="76"/>
  <c r="AH37" i="76"/>
  <c r="AI37" i="76"/>
  <c r="AJ37" i="76"/>
  <c r="AK37" i="76"/>
  <c r="AL37" i="76"/>
  <c r="AH26" i="76"/>
  <c r="AI26" i="76"/>
  <c r="AJ26" i="76"/>
  <c r="AK26" i="76"/>
  <c r="AL26" i="76"/>
  <c r="AH22" i="76"/>
  <c r="AI22" i="76"/>
  <c r="AJ22" i="76"/>
  <c r="AK22" i="76"/>
  <c r="AL22" i="76"/>
  <c r="AH15" i="76"/>
  <c r="AI15" i="76"/>
  <c r="AJ15" i="76"/>
  <c r="AK15" i="76"/>
  <c r="AL15" i="76"/>
  <c r="AH9" i="76"/>
  <c r="AI9" i="76"/>
  <c r="AJ9" i="76"/>
  <c r="AK9" i="76"/>
  <c r="AL9" i="76"/>
  <c r="AH5" i="76"/>
  <c r="AI5" i="76"/>
  <c r="AJ5" i="76"/>
  <c r="AK5" i="76"/>
  <c r="AL5" i="76"/>
  <c r="H34" i="105"/>
  <c r="L34" i="105"/>
  <c r="D34" i="105"/>
  <c r="A33" i="79"/>
  <c r="B33" i="79"/>
  <c r="C33" i="79"/>
  <c r="D33" i="79"/>
  <c r="E33" i="79"/>
  <c r="F33" i="79"/>
  <c r="G33" i="79"/>
  <c r="H33" i="79"/>
  <c r="I33" i="79"/>
  <c r="J33" i="79"/>
  <c r="A144" i="78"/>
  <c r="L144" i="78" s="1"/>
  <c r="AH144" i="78" s="1"/>
  <c r="BD144" i="78" s="1"/>
  <c r="BZ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F107" i="78"/>
  <c r="B107" i="78"/>
  <c r="C107" i="78"/>
  <c r="D107" i="78"/>
  <c r="E107" i="78"/>
  <c r="CN35" i="78"/>
  <c r="CN70" i="78" s="1"/>
  <c r="CO35" i="78"/>
  <c r="CO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L35" i="78"/>
  <c r="AL70" i="78" s="1"/>
  <c r="AK35" i="78"/>
  <c r="AK70" i="78" s="1"/>
  <c r="AJ35" i="78"/>
  <c r="AJ70" i="78" s="1"/>
  <c r="AI35" i="78"/>
  <c r="AI70" i="78" s="1"/>
  <c r="AB35" i="78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S33" i="78"/>
  <c r="T33" i="78"/>
  <c r="T70" i="78" s="1"/>
  <c r="AD33" i="78"/>
  <c r="AE33" i="78"/>
  <c r="AE70" i="78" s="1"/>
  <c r="AO33" i="78"/>
  <c r="AO70" i="78" s="1"/>
  <c r="AO107" i="78" s="1"/>
  <c r="AP33" i="78"/>
  <c r="AP70" i="78" s="1"/>
  <c r="AZ33" i="78"/>
  <c r="AZ70" i="78" s="1"/>
  <c r="AZ107" i="78" s="1"/>
  <c r="BA33" i="78"/>
  <c r="BK33" i="78"/>
  <c r="BL33" i="78"/>
  <c r="BL70" i="78" s="1"/>
  <c r="BV33" i="78"/>
  <c r="BV70" i="78" s="1"/>
  <c r="BV107" i="78" s="1"/>
  <c r="BW33" i="78"/>
  <c r="BW70" i="78" s="1"/>
  <c r="CG33" i="78"/>
  <c r="CH33" i="78"/>
  <c r="CH70" i="78" s="1"/>
  <c r="CR33" i="78"/>
  <c r="CR70" i="78" s="1"/>
  <c r="CR107" i="78" s="1"/>
  <c r="CS33" i="78"/>
  <c r="CS70" i="78" s="1"/>
  <c r="C35" i="78"/>
  <c r="C70" i="78" s="1"/>
  <c r="D35" i="78"/>
  <c r="E35" i="78"/>
  <c r="E70" i="78" s="1"/>
  <c r="F35" i="78"/>
  <c r="B35" i="78"/>
  <c r="B70" i="78" s="1"/>
  <c r="I33" i="78"/>
  <c r="I70" i="78" s="1"/>
  <c r="A33" i="78"/>
  <c r="L33" i="78" s="1"/>
  <c r="AH33" i="78" s="1"/>
  <c r="BD33" i="78" s="1"/>
  <c r="BZ33" i="78" s="1"/>
  <c r="H33" i="78"/>
  <c r="H70" i="78" s="1"/>
  <c r="H107" i="78" s="1"/>
  <c r="AE33" i="71"/>
  <c r="T33" i="71"/>
  <c r="O62" i="31"/>
  <c r="R62" i="49"/>
  <c r="Q62" i="49"/>
  <c r="V62" i="49" s="1"/>
  <c r="P61" i="49"/>
  <c r="S61" i="49"/>
  <c r="U61" i="49" s="1"/>
  <c r="V61" i="49"/>
  <c r="T33" i="49"/>
  <c r="Q33" i="49"/>
  <c r="S33" i="49" s="1"/>
  <c r="V32" i="49"/>
  <c r="P32" i="49"/>
  <c r="S32" i="49"/>
  <c r="U32" i="49" s="1"/>
  <c r="E32" i="49"/>
  <c r="I33" i="71" s="1"/>
  <c r="B32" i="49"/>
  <c r="C32" i="49"/>
  <c r="C62" i="49"/>
  <c r="E62" i="49"/>
  <c r="B62" i="49"/>
  <c r="C91" i="49"/>
  <c r="E91" i="49"/>
  <c r="B91" i="49"/>
  <c r="C120" i="49"/>
  <c r="E120" i="49"/>
  <c r="B120" i="49"/>
  <c r="C149" i="49"/>
  <c r="E149" i="49"/>
  <c r="B149" i="49"/>
  <c r="C178" i="49"/>
  <c r="E178" i="49"/>
  <c r="B178" i="49"/>
  <c r="C207" i="49"/>
  <c r="E207" i="49"/>
  <c r="B207" i="49"/>
  <c r="C236" i="49"/>
  <c r="E236" i="49"/>
  <c r="B236" i="49"/>
  <c r="C265" i="49"/>
  <c r="E265" i="49"/>
  <c r="B265" i="49"/>
  <c r="G293" i="49"/>
  <c r="E294" i="49"/>
  <c r="G294" i="49" s="1"/>
  <c r="C294" i="49"/>
  <c r="D293" i="49"/>
  <c r="F293" i="49" s="1"/>
  <c r="D264" i="49"/>
  <c r="F264" i="49" s="1"/>
  <c r="G264" i="49"/>
  <c r="D235" i="49"/>
  <c r="F235" i="49" s="1"/>
  <c r="G235" i="49"/>
  <c r="D206" i="49"/>
  <c r="F206" i="49" s="1"/>
  <c r="G206" i="49"/>
  <c r="D177" i="49"/>
  <c r="F177" i="49" s="1"/>
  <c r="G177" i="49"/>
  <c r="D148" i="49"/>
  <c r="F148" i="49" s="1"/>
  <c r="G148" i="49"/>
  <c r="D119" i="49"/>
  <c r="F119" i="49" s="1"/>
  <c r="G119" i="49"/>
  <c r="D90" i="49"/>
  <c r="F90" i="49" s="1"/>
  <c r="G90" i="49"/>
  <c r="D61" i="49"/>
  <c r="F61" i="49" s="1"/>
  <c r="G61" i="49"/>
  <c r="A32" i="49"/>
  <c r="A61" i="49" s="1"/>
  <c r="A148" i="49" s="1"/>
  <c r="A235" i="49" s="1"/>
  <c r="B71" i="80"/>
  <c r="C69" i="80" s="1"/>
  <c r="H69" i="80"/>
  <c r="I69" i="80"/>
  <c r="R69" i="80"/>
  <c r="A69" i="80"/>
  <c r="E35" i="80"/>
  <c r="F33" i="80" s="1"/>
  <c r="B35" i="80"/>
  <c r="C33" i="80" s="1"/>
  <c r="R33" i="80"/>
  <c r="I33" i="80"/>
  <c r="H33" i="80"/>
  <c r="A33" i="80"/>
  <c r="L82" i="76"/>
  <c r="L35" i="76"/>
  <c r="AG1" i="109" l="1"/>
  <c r="J8" i="78"/>
  <c r="J45" i="78" s="1"/>
  <c r="I45" i="78"/>
  <c r="H35" i="78"/>
  <c r="H72" i="78" s="1"/>
  <c r="H109" i="78" s="1"/>
  <c r="U33" i="49"/>
  <c r="AH49" i="76"/>
  <c r="AH59" i="76" s="1"/>
  <c r="S62" i="49"/>
  <c r="U62" i="49" s="1"/>
  <c r="AL38" i="21"/>
  <c r="AK38" i="21"/>
  <c r="AP107" i="78"/>
  <c r="AK49" i="76"/>
  <c r="AK52" i="76" s="1"/>
  <c r="AJ49" i="76"/>
  <c r="AJ52" i="76" s="1"/>
  <c r="AI49" i="76"/>
  <c r="AI84" i="76" s="1"/>
  <c r="AL49" i="76"/>
  <c r="AL84" i="76" s="1"/>
  <c r="AJ38" i="21"/>
  <c r="AI38" i="21"/>
  <c r="AH38" i="21"/>
  <c r="AF33" i="78"/>
  <c r="AF70" i="78" s="1"/>
  <c r="AF107" i="78" s="1"/>
  <c r="CS107" i="78"/>
  <c r="K69" i="80"/>
  <c r="L69" i="80" s="1"/>
  <c r="K33" i="79"/>
  <c r="CR35" i="78"/>
  <c r="AD70" i="78"/>
  <c r="AD107" i="78" s="1"/>
  <c r="B146" i="78"/>
  <c r="BB33" i="78"/>
  <c r="BB70" i="78" s="1"/>
  <c r="BB107" i="78" s="1"/>
  <c r="CP70" i="78"/>
  <c r="D70" i="78"/>
  <c r="F146" i="78"/>
  <c r="W144" i="78"/>
  <c r="AS144" i="78" s="1"/>
  <c r="BO144" i="78" s="1"/>
  <c r="CK144" i="78" s="1"/>
  <c r="AO35" i="78"/>
  <c r="BM33" i="78"/>
  <c r="BM70" i="78" s="1"/>
  <c r="BM107" i="78" s="1"/>
  <c r="BA70" i="78"/>
  <c r="BW107" i="78"/>
  <c r="F70" i="78"/>
  <c r="CH107" i="78"/>
  <c r="BA107" i="78"/>
  <c r="AD35" i="78"/>
  <c r="B72" i="78"/>
  <c r="T107" i="78"/>
  <c r="A107" i="78"/>
  <c r="BL107" i="78"/>
  <c r="I107" i="78"/>
  <c r="AE107" i="78"/>
  <c r="U33" i="78"/>
  <c r="U70" i="78" s="1"/>
  <c r="U107" i="78" s="1"/>
  <c r="BX33" i="78"/>
  <c r="BX70" i="78" s="1"/>
  <c r="BX107" i="78" s="1"/>
  <c r="BK35" i="78"/>
  <c r="AM70" i="78"/>
  <c r="J33" i="78"/>
  <c r="J70" i="78" s="1"/>
  <c r="J107" i="78" s="1"/>
  <c r="S70" i="78"/>
  <c r="S107" i="78" s="1"/>
  <c r="AQ33" i="78"/>
  <c r="AQ70" i="78" s="1"/>
  <c r="AQ107" i="78" s="1"/>
  <c r="A70" i="78"/>
  <c r="CI33" i="78"/>
  <c r="CI70" i="78" s="1"/>
  <c r="CI107" i="78" s="1"/>
  <c r="CG70" i="78"/>
  <c r="CG107" i="78" s="1"/>
  <c r="S35" i="78"/>
  <c r="BV35" i="78"/>
  <c r="CT33" i="78"/>
  <c r="CT70" i="78" s="1"/>
  <c r="CT107" i="78" s="1"/>
  <c r="BK70" i="78"/>
  <c r="BK107" i="78" s="1"/>
  <c r="AB70" i="78"/>
  <c r="W33" i="78"/>
  <c r="AS33" i="78" s="1"/>
  <c r="BO33" i="78" s="1"/>
  <c r="CK33" i="78" s="1"/>
  <c r="CG35" i="78"/>
  <c r="AZ35" i="78"/>
  <c r="B33" i="49"/>
  <c r="F32" i="49"/>
  <c r="D32" i="49"/>
  <c r="A119" i="49"/>
  <c r="A206" i="49" s="1"/>
  <c r="A293" i="49" s="1"/>
  <c r="A90" i="49"/>
  <c r="A177" i="49" s="1"/>
  <c r="A264" i="49" s="1"/>
  <c r="F69" i="80"/>
  <c r="H35" i="80"/>
  <c r="K33" i="80"/>
  <c r="L21" i="75"/>
  <c r="T34" i="105"/>
  <c r="U34" i="105"/>
  <c r="O10" i="105"/>
  <c r="Q10" i="105"/>
  <c r="R10" i="105"/>
  <c r="O11" i="105"/>
  <c r="Q11" i="105"/>
  <c r="R11" i="105"/>
  <c r="O12" i="105"/>
  <c r="Q12" i="105"/>
  <c r="R12" i="105"/>
  <c r="O13" i="105"/>
  <c r="Q13" i="105"/>
  <c r="R13" i="105"/>
  <c r="O14" i="105"/>
  <c r="Q14" i="105"/>
  <c r="R14" i="105"/>
  <c r="O15" i="105"/>
  <c r="Q15" i="105"/>
  <c r="R15" i="105"/>
  <c r="O16" i="105"/>
  <c r="Q16" i="105"/>
  <c r="R16" i="105"/>
  <c r="O17" i="105"/>
  <c r="Q17" i="105"/>
  <c r="R17" i="105"/>
  <c r="O18" i="105"/>
  <c r="Q18" i="105"/>
  <c r="R18" i="105"/>
  <c r="O19" i="105"/>
  <c r="Q19" i="105"/>
  <c r="R19" i="105"/>
  <c r="O20" i="105"/>
  <c r="Q20" i="105"/>
  <c r="R20" i="105"/>
  <c r="O21" i="105"/>
  <c r="Q21" i="105"/>
  <c r="R21" i="105"/>
  <c r="O22" i="105"/>
  <c r="Q22" i="105"/>
  <c r="R22" i="105"/>
  <c r="O23" i="105"/>
  <c r="Q23" i="105"/>
  <c r="R23" i="105"/>
  <c r="O24" i="105"/>
  <c r="Q24" i="105"/>
  <c r="R24" i="105"/>
  <c r="O25" i="105"/>
  <c r="Q25" i="105"/>
  <c r="R25" i="105"/>
  <c r="O26" i="105"/>
  <c r="Q26" i="105"/>
  <c r="R26" i="105"/>
  <c r="O27" i="105"/>
  <c r="Q27" i="105"/>
  <c r="R27" i="105"/>
  <c r="O28" i="105"/>
  <c r="Q28" i="105"/>
  <c r="R28" i="105"/>
  <c r="O29" i="105"/>
  <c r="Q29" i="105"/>
  <c r="R29" i="105"/>
  <c r="O30" i="105"/>
  <c r="Q30" i="105"/>
  <c r="R30" i="105"/>
  <c r="O31" i="105"/>
  <c r="Q31" i="105"/>
  <c r="R31" i="105"/>
  <c r="O32" i="105"/>
  <c r="Q32" i="105"/>
  <c r="R32" i="105"/>
  <c r="O33" i="105"/>
  <c r="Q33" i="105"/>
  <c r="R33" i="105"/>
  <c r="O34" i="105"/>
  <c r="Q34" i="105"/>
  <c r="R34" i="105"/>
  <c r="O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K36" i="105"/>
  <c r="J36" i="105"/>
  <c r="G36" i="105"/>
  <c r="F36" i="105"/>
  <c r="N36" i="105" s="1"/>
  <c r="C36" i="105"/>
  <c r="A34" i="105"/>
  <c r="A92" i="18"/>
  <c r="A89" i="18"/>
  <c r="A49" i="18"/>
  <c r="A48" i="18"/>
  <c r="A45" i="18"/>
  <c r="A44" i="18"/>
  <c r="A41" i="18"/>
  <c r="A40" i="18"/>
  <c r="B37" i="18"/>
  <c r="C37" i="18"/>
  <c r="D37" i="18"/>
  <c r="E37" i="18"/>
  <c r="F37" i="18"/>
  <c r="A37" i="18"/>
  <c r="W178" i="71"/>
  <c r="X178" i="71"/>
  <c r="Y178" i="71"/>
  <c r="Z178" i="71"/>
  <c r="AA178" i="71"/>
  <c r="AB178" i="71"/>
  <c r="L178" i="71"/>
  <c r="M178" i="71"/>
  <c r="N178" i="71"/>
  <c r="O178" i="71"/>
  <c r="P178" i="71"/>
  <c r="Q178" i="71"/>
  <c r="A178" i="71"/>
  <c r="B178" i="71"/>
  <c r="C178" i="71"/>
  <c r="D178" i="71"/>
  <c r="E178" i="71"/>
  <c r="F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X107" i="71"/>
  <c r="Y107" i="71"/>
  <c r="Z107" i="71"/>
  <c r="AA107" i="71"/>
  <c r="AB107" i="71"/>
  <c r="AE107" i="71"/>
  <c r="M107" i="71"/>
  <c r="N107" i="71"/>
  <c r="O107" i="71"/>
  <c r="P107" i="71"/>
  <c r="Q107" i="71"/>
  <c r="T107" i="71"/>
  <c r="F107" i="71"/>
  <c r="B107" i="71"/>
  <c r="C107" i="71"/>
  <c r="D107" i="71"/>
  <c r="E107" i="71"/>
  <c r="I107" i="71"/>
  <c r="AE70" i="71"/>
  <c r="T70" i="71"/>
  <c r="I70" i="71"/>
  <c r="AD33" i="71"/>
  <c r="AD70" i="71" s="1"/>
  <c r="AD107" i="71" s="1"/>
  <c r="Y35" i="71"/>
  <c r="Y70" i="71" s="1"/>
  <c r="Z35" i="71"/>
  <c r="Z70" i="71" s="1"/>
  <c r="AA35" i="71"/>
  <c r="AA70" i="71" s="1"/>
  <c r="AB35" i="71"/>
  <c r="X35" i="71"/>
  <c r="X70" i="71" s="1"/>
  <c r="Q35" i="71"/>
  <c r="Q70" i="71" s="1"/>
  <c r="M35" i="71"/>
  <c r="M70" i="71" s="1"/>
  <c r="C35" i="71"/>
  <c r="D35" i="71"/>
  <c r="D70" i="71" s="1"/>
  <c r="E35" i="71"/>
  <c r="E70" i="71" s="1"/>
  <c r="F35" i="71"/>
  <c r="F70" i="71" s="1"/>
  <c r="B35" i="71"/>
  <c r="B70" i="71" s="1"/>
  <c r="N35" i="71"/>
  <c r="N70" i="71" s="1"/>
  <c r="O35" i="71"/>
  <c r="O70" i="71" s="1"/>
  <c r="P35" i="71"/>
  <c r="P70" i="71" s="1"/>
  <c r="S33" i="71"/>
  <c r="S70" i="71" s="1"/>
  <c r="S107" i="71" s="1"/>
  <c r="H33" i="71"/>
  <c r="H70" i="71" s="1"/>
  <c r="H107" i="71" s="1"/>
  <c r="W107" i="71"/>
  <c r="W33" i="71"/>
  <c r="W144" i="71" s="1"/>
  <c r="L33" i="71"/>
  <c r="L70" i="71" s="1"/>
  <c r="A33" i="71"/>
  <c r="A70" i="71" s="1"/>
  <c r="A1" i="78"/>
  <c r="A1" i="52"/>
  <c r="R36" i="105" l="1"/>
  <c r="AE33" i="79"/>
  <c r="X33" i="79"/>
  <c r="AF33" i="79"/>
  <c r="AH54" i="76"/>
  <c r="AI52" i="76"/>
  <c r="AH93" i="76"/>
  <c r="AH57" i="76"/>
  <c r="AH76" i="76"/>
  <c r="AH90" i="76"/>
  <c r="AH85" i="76"/>
  <c r="AH84" i="76"/>
  <c r="AH94" i="76"/>
  <c r="AH82" i="76"/>
  <c r="AH64" i="76"/>
  <c r="AH53" i="76"/>
  <c r="AH86" i="76"/>
  <c r="AH70" i="76"/>
  <c r="AH77" i="76"/>
  <c r="AH92" i="76"/>
  <c r="AH62" i="76"/>
  <c r="AH79" i="76"/>
  <c r="AH69" i="76"/>
  <c r="AH52" i="76"/>
  <c r="N69" i="80"/>
  <c r="O69" i="80" s="1"/>
  <c r="AH56" i="76"/>
  <c r="AH88" i="76"/>
  <c r="AH96" i="76"/>
  <c r="AH63" i="76"/>
  <c r="AH73" i="76"/>
  <c r="AH67" i="76"/>
  <c r="AH75" i="76"/>
  <c r="AH80" i="76"/>
  <c r="AH60" i="76"/>
  <c r="AH58" i="76"/>
  <c r="AH65" i="76"/>
  <c r="AH89" i="76"/>
  <c r="AH81" i="76"/>
  <c r="AH66" i="76"/>
  <c r="AH74" i="76"/>
  <c r="AH71" i="76"/>
  <c r="AD35" i="71"/>
  <c r="O36" i="105"/>
  <c r="AB33" i="79"/>
  <c r="AA33" i="79"/>
  <c r="AI62" i="76"/>
  <c r="AL79" i="76"/>
  <c r="AL73" i="76"/>
  <c r="AL88" i="76"/>
  <c r="L37" i="18"/>
  <c r="J37" i="18"/>
  <c r="Q36" i="105"/>
  <c r="AG33" i="79"/>
  <c r="AC33" i="79"/>
  <c r="Z33" i="79"/>
  <c r="Y33" i="79"/>
  <c r="AK73" i="76"/>
  <c r="AK84" i="76"/>
  <c r="AJ60" i="76"/>
  <c r="AJ70" i="76"/>
  <c r="AJ80" i="76"/>
  <c r="AJ90" i="76"/>
  <c r="AJ57" i="76"/>
  <c r="AJ66" i="76"/>
  <c r="AJ76" i="76"/>
  <c r="AJ86" i="76"/>
  <c r="AJ53" i="76"/>
  <c r="AJ63" i="76"/>
  <c r="AJ82" i="76"/>
  <c r="AJ93" i="76"/>
  <c r="AJ59" i="76"/>
  <c r="AJ79" i="76"/>
  <c r="AJ65" i="76"/>
  <c r="AJ75" i="76"/>
  <c r="AJ85" i="76"/>
  <c r="AJ96" i="76"/>
  <c r="AJ62" i="76"/>
  <c r="AJ71" i="76"/>
  <c r="AJ81" i="76"/>
  <c r="AJ58" i="76"/>
  <c r="AJ64" i="76"/>
  <c r="AJ94" i="76"/>
  <c r="AJ84" i="76"/>
  <c r="AJ54" i="76"/>
  <c r="AJ74" i="76"/>
  <c r="AJ88" i="76"/>
  <c r="AJ67" i="76"/>
  <c r="AJ89" i="76"/>
  <c r="AJ77" i="76"/>
  <c r="AJ56" i="76"/>
  <c r="AL56" i="76"/>
  <c r="AJ69" i="76"/>
  <c r="AJ92" i="76"/>
  <c r="AK92" i="76"/>
  <c r="AI57" i="76"/>
  <c r="AI66" i="76"/>
  <c r="AI76" i="76"/>
  <c r="AI86" i="76"/>
  <c r="AI53" i="76"/>
  <c r="AI63" i="76"/>
  <c r="AI82" i="76"/>
  <c r="AI93" i="76"/>
  <c r="AI59" i="76"/>
  <c r="AI79" i="76"/>
  <c r="AI89" i="76"/>
  <c r="AI56" i="76"/>
  <c r="AI65" i="76"/>
  <c r="AI75" i="76"/>
  <c r="AI71" i="76"/>
  <c r="AI81" i="76"/>
  <c r="AI58" i="76"/>
  <c r="AI67" i="76"/>
  <c r="AI77" i="76"/>
  <c r="AI88" i="76"/>
  <c r="AI54" i="76"/>
  <c r="AI80" i="76"/>
  <c r="AI94" i="76"/>
  <c r="AI96" i="76"/>
  <c r="AI85" i="76"/>
  <c r="AI64" i="76"/>
  <c r="AI74" i="76"/>
  <c r="AI60" i="76"/>
  <c r="AI70" i="76"/>
  <c r="AI90" i="76"/>
  <c r="AJ73" i="76"/>
  <c r="AK54" i="76"/>
  <c r="AK64" i="76"/>
  <c r="AK74" i="76"/>
  <c r="AK94" i="76"/>
  <c r="AK60" i="76"/>
  <c r="AK70" i="76"/>
  <c r="AK80" i="76"/>
  <c r="AK90" i="76"/>
  <c r="AK57" i="76"/>
  <c r="AK66" i="76"/>
  <c r="AK76" i="76"/>
  <c r="AK86" i="76"/>
  <c r="AK53" i="76"/>
  <c r="AK63" i="76"/>
  <c r="AK59" i="76"/>
  <c r="AK89" i="76"/>
  <c r="AK65" i="76"/>
  <c r="AK75" i="76"/>
  <c r="AK85" i="76"/>
  <c r="AK96" i="76"/>
  <c r="AK62" i="76"/>
  <c r="AK93" i="76"/>
  <c r="AK82" i="76"/>
  <c r="AK58" i="76"/>
  <c r="AK81" i="76"/>
  <c r="AK88" i="76"/>
  <c r="AK67" i="76"/>
  <c r="AK77" i="76"/>
  <c r="AK71" i="76"/>
  <c r="AK56" i="76"/>
  <c r="AL58" i="76"/>
  <c r="AL67" i="76"/>
  <c r="AL77" i="76"/>
  <c r="AL54" i="76"/>
  <c r="AL64" i="76"/>
  <c r="AL74" i="76"/>
  <c r="AL94" i="76"/>
  <c r="AL60" i="76"/>
  <c r="AL70" i="76"/>
  <c r="AL80" i="76"/>
  <c r="AL90" i="76"/>
  <c r="AL57" i="76"/>
  <c r="AL66" i="76"/>
  <c r="AL76" i="76"/>
  <c r="AL53" i="76"/>
  <c r="AL63" i="76"/>
  <c r="AL82" i="76"/>
  <c r="AL93" i="76"/>
  <c r="AL59" i="76"/>
  <c r="AL69" i="76"/>
  <c r="AL89" i="76"/>
  <c r="AL71" i="76"/>
  <c r="AL62" i="76"/>
  <c r="AL96" i="76"/>
  <c r="AL52" i="76"/>
  <c r="AL65" i="76"/>
  <c r="AL86" i="76"/>
  <c r="AL92" i="76"/>
  <c r="AL81" i="76"/>
  <c r="AL75" i="76"/>
  <c r="AL85" i="76"/>
  <c r="AK79" i="76"/>
  <c r="AK69" i="76"/>
  <c r="AI69" i="76"/>
  <c r="AI73" i="76"/>
  <c r="AI92" i="76"/>
  <c r="H37" i="18"/>
  <c r="N33" i="80"/>
  <c r="O33" i="80" s="1"/>
  <c r="L33" i="80"/>
  <c r="AD33" i="79"/>
  <c r="AB70" i="71"/>
  <c r="B146" i="71"/>
  <c r="H35" i="71"/>
  <c r="P64" i="31" s="1"/>
  <c r="K37" i="18"/>
  <c r="B180" i="71"/>
  <c r="P62" i="31"/>
  <c r="J33" i="71"/>
  <c r="W107" i="78"/>
  <c r="AS107" i="78" s="1"/>
  <c r="BO107" i="78" s="1"/>
  <c r="CK107" i="78" s="1"/>
  <c r="L107" i="78"/>
  <c r="AH107" i="78" s="1"/>
  <c r="BD107" i="78" s="1"/>
  <c r="BZ107" i="78" s="1"/>
  <c r="W70" i="78"/>
  <c r="AS70" i="78" s="1"/>
  <c r="BO70" i="78" s="1"/>
  <c r="CK70" i="78" s="1"/>
  <c r="L70" i="78"/>
  <c r="AH70" i="78" s="1"/>
  <c r="BD70" i="78" s="1"/>
  <c r="BZ70" i="78" s="1"/>
  <c r="I37" i="18"/>
  <c r="C70" i="71"/>
  <c r="S35" i="71"/>
  <c r="L144" i="71"/>
  <c r="W70" i="71"/>
  <c r="A144" i="71"/>
  <c r="A107" i="71"/>
  <c r="L107" i="71"/>
  <c r="I7" i="11" a="1"/>
  <c r="I8" i="11" s="1"/>
  <c r="H72" i="71" l="1"/>
  <c r="H109" i="71" s="1"/>
  <c r="Q62" i="31"/>
  <c r="J70" i="71"/>
  <c r="J107" i="71" s="1"/>
  <c r="I7" i="11"/>
  <c r="I12" i="11"/>
  <c r="I11" i="11"/>
  <c r="I10" i="11"/>
  <c r="I9" i="11"/>
  <c r="AD7" i="49"/>
  <c r="AB82" i="49"/>
  <c r="Z82" i="49"/>
  <c r="Y82" i="49"/>
  <c r="AD8" i="49"/>
  <c r="AD9" i="49"/>
  <c r="AD10" i="49"/>
  <c r="AD11" i="49"/>
  <c r="AD12" i="49"/>
  <c r="AD13" i="49"/>
  <c r="AD14" i="49"/>
  <c r="AD15" i="49"/>
  <c r="AD16" i="49"/>
  <c r="AD17" i="49"/>
  <c r="AD18" i="49"/>
  <c r="AD19" i="49"/>
  <c r="AD20" i="49"/>
  <c r="AD21" i="49"/>
  <c r="AD22" i="49"/>
  <c r="AD23" i="49"/>
  <c r="AD24" i="49"/>
  <c r="AD25" i="49"/>
  <c r="AD26" i="49"/>
  <c r="AD27" i="49"/>
  <c r="AD28" i="49"/>
  <c r="AD29" i="49"/>
  <c r="AD30" i="49"/>
  <c r="AD31" i="49"/>
  <c r="AD32" i="49"/>
  <c r="AD33" i="49"/>
  <c r="AD34" i="49"/>
  <c r="AD35" i="49"/>
  <c r="AD36" i="49"/>
  <c r="AD37" i="49"/>
  <c r="AD38" i="49"/>
  <c r="AD39" i="49"/>
  <c r="AD40" i="49"/>
  <c r="AD41" i="49"/>
  <c r="AD42" i="49"/>
  <c r="AD43" i="49"/>
  <c r="AD44" i="49"/>
  <c r="AD45" i="49"/>
  <c r="AD46" i="49"/>
  <c r="AD47" i="49"/>
  <c r="AD48" i="49"/>
  <c r="AD49" i="49"/>
  <c r="AD50" i="49"/>
  <c r="AD51" i="49"/>
  <c r="AD52" i="49"/>
  <c r="AD53" i="49"/>
  <c r="AD54" i="49"/>
  <c r="AD55" i="49"/>
  <c r="AD56" i="49"/>
  <c r="AD57" i="49"/>
  <c r="AD58" i="49"/>
  <c r="AD59" i="49"/>
  <c r="AD60" i="49"/>
  <c r="AD61" i="49"/>
  <c r="AD62" i="49"/>
  <c r="AD63" i="49"/>
  <c r="AD64" i="49"/>
  <c r="AD65" i="49"/>
  <c r="AD66" i="49"/>
  <c r="AD67" i="49"/>
  <c r="AD68" i="49"/>
  <c r="AD69" i="49"/>
  <c r="AD70" i="49"/>
  <c r="AD71" i="49"/>
  <c r="AD72" i="49"/>
  <c r="AD73" i="49"/>
  <c r="AD74" i="49"/>
  <c r="AD75" i="49"/>
  <c r="AD76" i="49"/>
  <c r="AD77" i="49"/>
  <c r="AD78" i="49"/>
  <c r="AD79" i="49"/>
  <c r="AD80" i="49"/>
  <c r="AD81" i="49"/>
  <c r="AA8" i="49"/>
  <c r="AC8" i="49" s="1"/>
  <c r="AA9" i="49"/>
  <c r="AC9" i="49" s="1"/>
  <c r="AA10" i="49"/>
  <c r="AC10" i="49" s="1"/>
  <c r="AA11" i="49"/>
  <c r="AC11" i="49" s="1"/>
  <c r="AA12" i="49"/>
  <c r="AC12" i="49" s="1"/>
  <c r="AA13" i="49"/>
  <c r="AC13" i="49" s="1"/>
  <c r="AA14" i="49"/>
  <c r="AC14" i="49" s="1"/>
  <c r="AA15" i="49"/>
  <c r="AC15" i="49" s="1"/>
  <c r="AA16" i="49"/>
  <c r="AC16" i="49" s="1"/>
  <c r="AA17" i="49"/>
  <c r="AC17" i="49" s="1"/>
  <c r="AA18" i="49"/>
  <c r="AC18" i="49" s="1"/>
  <c r="AA19" i="49"/>
  <c r="AC19" i="49" s="1"/>
  <c r="AA20" i="49"/>
  <c r="AC20" i="49" s="1"/>
  <c r="AA21" i="49"/>
  <c r="AC21" i="49" s="1"/>
  <c r="AA22" i="49"/>
  <c r="AC22" i="49" s="1"/>
  <c r="AA23" i="49"/>
  <c r="AC23" i="49" s="1"/>
  <c r="AA24" i="49"/>
  <c r="AC24" i="49" s="1"/>
  <c r="AA25" i="49"/>
  <c r="AC25" i="49" s="1"/>
  <c r="AA26" i="49"/>
  <c r="AC26" i="49" s="1"/>
  <c r="AA27" i="49"/>
  <c r="AC27" i="49" s="1"/>
  <c r="AA28" i="49"/>
  <c r="AC28" i="49" s="1"/>
  <c r="AA29" i="49"/>
  <c r="AC29" i="49" s="1"/>
  <c r="AA30" i="49"/>
  <c r="AC30" i="49" s="1"/>
  <c r="AA31" i="49"/>
  <c r="AC31" i="49" s="1"/>
  <c r="AA32" i="49"/>
  <c r="AC32" i="49" s="1"/>
  <c r="AA33" i="49"/>
  <c r="AC33" i="49" s="1"/>
  <c r="AA34" i="49"/>
  <c r="AC34" i="49" s="1"/>
  <c r="AA35" i="49"/>
  <c r="AC35" i="49" s="1"/>
  <c r="AA36" i="49"/>
  <c r="AC36" i="49" s="1"/>
  <c r="AA37" i="49"/>
  <c r="AC37" i="49" s="1"/>
  <c r="AA38" i="49"/>
  <c r="AC38" i="49" s="1"/>
  <c r="AA39" i="49"/>
  <c r="AC39" i="49" s="1"/>
  <c r="AA40" i="49"/>
  <c r="AC40" i="49" s="1"/>
  <c r="AA41" i="49"/>
  <c r="AC41" i="49" s="1"/>
  <c r="AA42" i="49"/>
  <c r="AC42" i="49" s="1"/>
  <c r="AA43" i="49"/>
  <c r="AC43" i="49" s="1"/>
  <c r="AA44" i="49"/>
  <c r="AC44" i="49" s="1"/>
  <c r="AA45" i="49"/>
  <c r="AC45" i="49" s="1"/>
  <c r="AA46" i="49"/>
  <c r="AC46" i="49" s="1"/>
  <c r="AA47" i="49"/>
  <c r="AC47" i="49" s="1"/>
  <c r="AA48" i="49"/>
  <c r="AC48" i="49" s="1"/>
  <c r="AA49" i="49"/>
  <c r="AC49" i="49" s="1"/>
  <c r="AA50" i="49"/>
  <c r="AC50" i="49" s="1"/>
  <c r="AA51" i="49"/>
  <c r="AC51" i="49" s="1"/>
  <c r="AA52" i="49"/>
  <c r="AC52" i="49" s="1"/>
  <c r="AA53" i="49"/>
  <c r="AC53" i="49" s="1"/>
  <c r="AA54" i="49"/>
  <c r="AC54" i="49" s="1"/>
  <c r="AA55" i="49"/>
  <c r="AC55" i="49" s="1"/>
  <c r="AA56" i="49"/>
  <c r="AC56" i="49" s="1"/>
  <c r="AA57" i="49"/>
  <c r="AC57" i="49" s="1"/>
  <c r="AA58" i="49"/>
  <c r="AC58" i="49" s="1"/>
  <c r="AA59" i="49"/>
  <c r="AC59" i="49" s="1"/>
  <c r="AA60" i="49"/>
  <c r="AC60" i="49" s="1"/>
  <c r="AA61" i="49"/>
  <c r="AC61" i="49" s="1"/>
  <c r="AA62" i="49"/>
  <c r="AC62" i="49" s="1"/>
  <c r="AA63" i="49"/>
  <c r="AC63" i="49" s="1"/>
  <c r="AA64" i="49"/>
  <c r="AC64" i="49" s="1"/>
  <c r="AA65" i="49"/>
  <c r="AC65" i="49" s="1"/>
  <c r="AA66" i="49"/>
  <c r="AC66" i="49" s="1"/>
  <c r="AA67" i="49"/>
  <c r="AC67" i="49" s="1"/>
  <c r="AA68" i="49"/>
  <c r="AC68" i="49" s="1"/>
  <c r="AA69" i="49"/>
  <c r="AC69" i="49" s="1"/>
  <c r="AA70" i="49"/>
  <c r="AC70" i="49" s="1"/>
  <c r="AA71" i="49"/>
  <c r="AC71" i="49" s="1"/>
  <c r="AA72" i="49"/>
  <c r="AC72" i="49" s="1"/>
  <c r="AA73" i="49"/>
  <c r="AC73" i="49" s="1"/>
  <c r="AA74" i="49"/>
  <c r="AC74" i="49" s="1"/>
  <c r="AA75" i="49"/>
  <c r="AC75" i="49" s="1"/>
  <c r="AA76" i="49"/>
  <c r="AC76" i="49" s="1"/>
  <c r="AA77" i="49"/>
  <c r="AC77" i="49" s="1"/>
  <c r="AA78" i="49"/>
  <c r="AC78" i="49" s="1"/>
  <c r="AA79" i="49"/>
  <c r="AC79" i="49" s="1"/>
  <c r="AA80" i="49"/>
  <c r="AC80" i="49" s="1"/>
  <c r="AC81" i="49"/>
  <c r="AA7" i="49"/>
  <c r="AC7" i="49" s="1"/>
  <c r="AD6" i="49"/>
  <c r="X82" i="49"/>
  <c r="X75" i="49"/>
  <c r="X76" i="49"/>
  <c r="X77" i="49"/>
  <c r="X78" i="49"/>
  <c r="X79" i="49"/>
  <c r="X80" i="49"/>
  <c r="X81" i="49"/>
  <c r="X63" i="49"/>
  <c r="X64" i="49"/>
  <c r="X65" i="49"/>
  <c r="X66" i="49"/>
  <c r="X67" i="49"/>
  <c r="X68" i="49"/>
  <c r="X69" i="49"/>
  <c r="X70" i="49"/>
  <c r="X71" i="49"/>
  <c r="X72" i="49"/>
  <c r="X73" i="49"/>
  <c r="X74" i="49"/>
  <c r="X55" i="49"/>
  <c r="X56" i="49"/>
  <c r="X57" i="49"/>
  <c r="X58" i="49"/>
  <c r="X59" i="49"/>
  <c r="X60" i="49"/>
  <c r="X61" i="49"/>
  <c r="X62" i="49"/>
  <c r="X42" i="49"/>
  <c r="X43" i="49"/>
  <c r="X44" i="49"/>
  <c r="X45" i="49"/>
  <c r="X46" i="49"/>
  <c r="X47" i="49"/>
  <c r="X48" i="49"/>
  <c r="X49" i="49"/>
  <c r="X50" i="49"/>
  <c r="X51" i="49"/>
  <c r="X52" i="49"/>
  <c r="X53" i="49"/>
  <c r="X54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29" i="49"/>
  <c r="X30" i="49"/>
  <c r="X31" i="49"/>
  <c r="X32" i="49"/>
  <c r="X33" i="49"/>
  <c r="X34" i="49"/>
  <c r="X35" i="49"/>
  <c r="X36" i="49"/>
  <c r="X37" i="49"/>
  <c r="X38" i="49"/>
  <c r="X39" i="49"/>
  <c r="X40" i="49"/>
  <c r="X41" i="49"/>
  <c r="X7" i="49"/>
  <c r="I14" i="11" l="1"/>
  <c r="AA82" i="49"/>
  <c r="AC82" i="49" s="1"/>
  <c r="AD82" i="49"/>
  <c r="L163" i="75"/>
  <c r="L154" i="75"/>
  <c r="L155" i="75"/>
  <c r="L156" i="75"/>
  <c r="L157" i="75"/>
  <c r="L158" i="75"/>
  <c r="L159" i="75"/>
  <c r="L160" i="75"/>
  <c r="L161" i="75"/>
  <c r="L153" i="75"/>
  <c r="AF33" i="71" l="1"/>
  <c r="AF70" i="71" s="1"/>
  <c r="AF107" i="71" s="1"/>
  <c r="U33" i="71"/>
  <c r="U70" i="71" s="1"/>
  <c r="U107" i="71" s="1"/>
  <c r="AE9" i="7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P42" i="49"/>
  <c r="P41" i="49"/>
  <c r="P40" i="49"/>
  <c r="P39" i="49"/>
  <c r="P38" i="49"/>
  <c r="P37" i="49"/>
  <c r="P36" i="49"/>
  <c r="P33" i="49"/>
  <c r="P31" i="49"/>
  <c r="P30" i="49"/>
  <c r="P29" i="49"/>
  <c r="P28" i="49"/>
  <c r="P27" i="49"/>
  <c r="P26" i="49"/>
  <c r="P25" i="49"/>
  <c r="P24" i="49"/>
  <c r="P23" i="49"/>
  <c r="P22" i="49"/>
  <c r="P21" i="49"/>
  <c r="P20" i="49"/>
  <c r="P19" i="49"/>
  <c r="P18" i="49"/>
  <c r="P17" i="49"/>
  <c r="P16" i="49"/>
  <c r="P15" i="49"/>
  <c r="P14" i="49"/>
  <c r="P13" i="49"/>
  <c r="P12" i="49"/>
  <c r="P11" i="49"/>
  <c r="P10" i="49"/>
  <c r="P9" i="49"/>
  <c r="P8" i="49"/>
  <c r="P7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V31" i="49"/>
  <c r="S31" i="49"/>
  <c r="U31" i="49" s="1"/>
  <c r="V30" i="49"/>
  <c r="S30" i="49"/>
  <c r="U30" i="49" s="1"/>
  <c r="V29" i="49"/>
  <c r="S29" i="49"/>
  <c r="U29" i="49" s="1"/>
  <c r="V28" i="49"/>
  <c r="S28" i="49"/>
  <c r="U28" i="49" s="1"/>
  <c r="V27" i="49"/>
  <c r="S27" i="49"/>
  <c r="U27" i="49" s="1"/>
  <c r="V26" i="49"/>
  <c r="S26" i="49"/>
  <c r="U26" i="49" s="1"/>
  <c r="V25" i="49"/>
  <c r="S25" i="49"/>
  <c r="U25" i="49" s="1"/>
  <c r="V24" i="49"/>
  <c r="S24" i="49"/>
  <c r="U24" i="49" s="1"/>
  <c r="V23" i="49"/>
  <c r="S23" i="49"/>
  <c r="U23" i="49" s="1"/>
  <c r="V22" i="49"/>
  <c r="S22" i="49"/>
  <c r="U22" i="49" s="1"/>
  <c r="V21" i="49"/>
  <c r="S21" i="49"/>
  <c r="U21" i="49" s="1"/>
  <c r="V20" i="49"/>
  <c r="S20" i="49"/>
  <c r="U20" i="49" s="1"/>
  <c r="V19" i="49"/>
  <c r="S19" i="49"/>
  <c r="U19" i="49" s="1"/>
  <c r="V18" i="49"/>
  <c r="S18" i="49"/>
  <c r="U18" i="49" s="1"/>
  <c r="V17" i="49"/>
  <c r="S17" i="49"/>
  <c r="U17" i="49" s="1"/>
  <c r="V16" i="49"/>
  <c r="S16" i="49"/>
  <c r="U16" i="49" s="1"/>
  <c r="V15" i="49"/>
  <c r="S15" i="49"/>
  <c r="U15" i="49" s="1"/>
  <c r="V14" i="49"/>
  <c r="S14" i="49"/>
  <c r="U14" i="49" s="1"/>
  <c r="V13" i="49"/>
  <c r="S13" i="49"/>
  <c r="U13" i="49" s="1"/>
  <c r="V12" i="49"/>
  <c r="S12" i="49"/>
  <c r="U12" i="49" s="1"/>
  <c r="V11" i="49"/>
  <c r="S11" i="49"/>
  <c r="U11" i="49" s="1"/>
  <c r="V10" i="49"/>
  <c r="S10" i="49"/>
  <c r="U10" i="49" s="1"/>
  <c r="V9" i="49"/>
  <c r="S9" i="49"/>
  <c r="U9" i="49" s="1"/>
  <c r="V8" i="49"/>
  <c r="S8" i="49"/>
  <c r="U8" i="49" s="1"/>
  <c r="V7" i="49"/>
  <c r="S7" i="49"/>
  <c r="U7" i="49" s="1"/>
  <c r="V6" i="49"/>
  <c r="U6" i="49"/>
  <c r="T6" i="49"/>
  <c r="S6" i="49"/>
  <c r="R6" i="49"/>
  <c r="Q6" i="49"/>
  <c r="T8" i="16" l="1" a="1"/>
  <c r="AE8" i="16" a="1"/>
  <c r="T35" i="71"/>
  <c r="AE35" i="71"/>
  <c r="V33" i="49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E8" i="16" l="1"/>
  <c r="AE9" i="16"/>
  <c r="AE15" i="16"/>
  <c r="AE12" i="16"/>
  <c r="AE16" i="16"/>
  <c r="AE14" i="16"/>
  <c r="AE13" i="16"/>
  <c r="AE11" i="16"/>
  <c r="AE10" i="16"/>
  <c r="T8" i="16"/>
  <c r="T14" i="16"/>
  <c r="T15" i="16"/>
  <c r="T13" i="16"/>
  <c r="T12" i="16"/>
  <c r="T10" i="16"/>
  <c r="T11" i="16"/>
  <c r="T9" i="16"/>
  <c r="T16" i="16"/>
  <c r="AB180" i="7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I178" i="71" s="1"/>
  <c r="N9" i="75" s="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78" i="71"/>
  <c r="AD178" i="71"/>
  <c r="AE178" i="71"/>
  <c r="S178" i="71"/>
  <c r="H178" i="71"/>
  <c r="M9" i="75" s="1"/>
  <c r="H177" i="71"/>
  <c r="M10" i="75" s="1"/>
  <c r="M81" i="75"/>
  <c r="A80" i="75" s="1"/>
  <c r="S157" i="71"/>
  <c r="S171" i="71"/>
  <c r="S156" i="71"/>
  <c r="I168" i="71"/>
  <c r="N27" i="75" s="1"/>
  <c r="AD165" i="71"/>
  <c r="AD177" i="71"/>
  <c r="I167" i="71"/>
  <c r="N28" i="75" s="1"/>
  <c r="S162" i="71"/>
  <c r="S174" i="71"/>
  <c r="AD159" i="71"/>
  <c r="AD171" i="71"/>
  <c r="AD168" i="71"/>
  <c r="H154" i="71"/>
  <c r="M49" i="75" s="1"/>
  <c r="I175" i="71"/>
  <c r="N14" i="75" s="1"/>
  <c r="I163" i="71"/>
  <c r="N36" i="75" s="1"/>
  <c r="I156" i="71"/>
  <c r="N45" i="75" s="1"/>
  <c r="S153" i="71"/>
  <c r="I155" i="71"/>
  <c r="N46" i="75" s="1"/>
  <c r="S159" i="71"/>
  <c r="S165" i="71"/>
  <c r="AD156" i="71"/>
  <c r="AD162" i="71"/>
  <c r="T180" i="71"/>
  <c r="AD174" i="71"/>
  <c r="H158" i="71"/>
  <c r="M43" i="75" s="1"/>
  <c r="H176" i="71"/>
  <c r="M13" i="75" s="1"/>
  <c r="S168" i="71"/>
  <c r="I157" i="71"/>
  <c r="N44" i="75" s="1"/>
  <c r="H164" i="71"/>
  <c r="M33" i="75" s="1"/>
  <c r="T176" i="71"/>
  <c r="S154" i="71"/>
  <c r="H165" i="71"/>
  <c r="M32" i="75" s="1"/>
  <c r="I153" i="71"/>
  <c r="N50" i="75" s="1"/>
  <c r="AD153" i="7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I160" i="71"/>
  <c r="N39" i="75" s="1"/>
  <c r="H168" i="71"/>
  <c r="M27" i="75" s="1"/>
  <c r="H156" i="71"/>
  <c r="M45" i="75" s="1"/>
  <c r="I171" i="71"/>
  <c r="N22" i="75" s="1"/>
  <c r="I159" i="71"/>
  <c r="N40" i="75" s="1"/>
  <c r="H153" i="71"/>
  <c r="M5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74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0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N21" i="75" l="1"/>
  <c r="M21" i="75"/>
  <c r="Z18" i="109"/>
  <c r="AE18" i="109"/>
  <c r="U18" i="109"/>
  <c r="B9" i="103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U18" i="109" l="1"/>
  <c r="AP18" i="109"/>
  <c r="AP34" i="109" s="1"/>
  <c r="AK18" i="109"/>
  <c r="AK33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P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U36" i="109"/>
  <c r="AT36" i="109"/>
  <c r="AS36" i="109"/>
  <c r="AR36" i="109"/>
  <c r="AP36" i="109"/>
  <c r="AO36" i="109"/>
  <c r="AN36" i="109"/>
  <c r="AM36" i="109"/>
  <c r="AJ36" i="109"/>
  <c r="AI36" i="109"/>
  <c r="AH36" i="109"/>
  <c r="AU34" i="109"/>
  <c r="AT34" i="109"/>
  <c r="AS34" i="109"/>
  <c r="AR34" i="109"/>
  <c r="AO34" i="109"/>
  <c r="AN34" i="109"/>
  <c r="AM34" i="109"/>
  <c r="AJ34" i="109"/>
  <c r="AI34" i="109"/>
  <c r="AH34" i="109"/>
  <c r="AU33" i="109"/>
  <c r="AT33" i="109"/>
  <c r="AS33" i="109"/>
  <c r="AR33" i="109"/>
  <c r="AO33" i="109"/>
  <c r="AN33" i="109"/>
  <c r="AM33" i="109"/>
  <c r="AJ33" i="109"/>
  <c r="AI33" i="109"/>
  <c r="AH33" i="109"/>
  <c r="AU32" i="109"/>
  <c r="AT32" i="109"/>
  <c r="AS32" i="109"/>
  <c r="AR32" i="109"/>
  <c r="AP32" i="109"/>
  <c r="AO32" i="109"/>
  <c r="AN32" i="109"/>
  <c r="AM32" i="109"/>
  <c r="AJ32" i="109"/>
  <c r="AI32" i="109"/>
  <c r="AH32" i="109"/>
  <c r="AU31" i="109"/>
  <c r="AT31" i="109"/>
  <c r="AS31" i="109"/>
  <c r="AR31" i="109"/>
  <c r="AO31" i="109"/>
  <c r="AN31" i="109"/>
  <c r="AM31" i="109"/>
  <c r="AJ31" i="109"/>
  <c r="AI31" i="109"/>
  <c r="AH31" i="109"/>
  <c r="AU30" i="109"/>
  <c r="AT30" i="109"/>
  <c r="AS30" i="109"/>
  <c r="AR30" i="109"/>
  <c r="AP30" i="109"/>
  <c r="AO30" i="109"/>
  <c r="AN30" i="109"/>
  <c r="AM30" i="109"/>
  <c r="AJ30" i="109"/>
  <c r="AI30" i="109"/>
  <c r="AH30" i="109"/>
  <c r="AU29" i="109"/>
  <c r="AT29" i="109"/>
  <c r="AS29" i="109"/>
  <c r="AR29" i="109"/>
  <c r="AP29" i="109"/>
  <c r="AO29" i="109"/>
  <c r="AN29" i="109"/>
  <c r="AM29" i="109"/>
  <c r="AJ29" i="109"/>
  <c r="AI29" i="109"/>
  <c r="AH29" i="109"/>
  <c r="AU28" i="109"/>
  <c r="AT28" i="109"/>
  <c r="AS28" i="109"/>
  <c r="AR28" i="109"/>
  <c r="AO28" i="109"/>
  <c r="AN28" i="109"/>
  <c r="AM28" i="109"/>
  <c r="AJ28" i="109"/>
  <c r="AI28" i="109"/>
  <c r="AH28" i="109"/>
  <c r="AU27" i="109"/>
  <c r="AT27" i="109"/>
  <c r="AS27" i="109"/>
  <c r="AR27" i="109"/>
  <c r="AP27" i="109"/>
  <c r="AO27" i="109"/>
  <c r="AN27" i="109"/>
  <c r="AM27" i="109"/>
  <c r="AJ27" i="109"/>
  <c r="AI27" i="109"/>
  <c r="AH27" i="109"/>
  <c r="AU26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Q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W46" i="109"/>
  <c r="P35" i="108" s="1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AB32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O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P3" i="108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E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45" i="109" s="1"/>
  <c r="A10" i="109"/>
  <c r="Q46" i="109" s="1"/>
  <c r="A11" i="109"/>
  <c r="AG29" i="109" s="1"/>
  <c r="A12" i="109"/>
  <c r="AG48" i="109" s="1"/>
  <c r="A13" i="109"/>
  <c r="Q49" i="109" s="1"/>
  <c r="A14" i="109"/>
  <c r="AG50" i="109" s="1"/>
  <c r="A15" i="109"/>
  <c r="AG51" i="109" s="1"/>
  <c r="A16" i="109"/>
  <c r="AG52" i="109" s="1"/>
  <c r="A18" i="109"/>
  <c r="AG54" i="109" s="1"/>
  <c r="N1" i="108"/>
  <c r="M38" i="108"/>
  <c r="M19" i="108"/>
  <c r="M13" i="108"/>
  <c r="M43" i="108" s="1"/>
  <c r="M11" i="108"/>
  <c r="M41" i="108" s="1"/>
  <c r="M10" i="108"/>
  <c r="M25" i="108" s="1"/>
  <c r="M9" i="108"/>
  <c r="M24" i="108" s="1"/>
  <c r="M8" i="108"/>
  <c r="M23" i="108" s="1"/>
  <c r="M7" i="108"/>
  <c r="M22" i="108" s="1"/>
  <c r="M6" i="108"/>
  <c r="M36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131" i="71" s="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E101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Z91" i="71"/>
  <c r="Y91" i="71"/>
  <c r="X91" i="71"/>
  <c r="AB90" i="71"/>
  <c r="AA90" i="71"/>
  <c r="Z90" i="71"/>
  <c r="Y90" i="71"/>
  <c r="X90" i="71"/>
  <c r="W90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W51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D69" i="71" s="1"/>
  <c r="AD106" i="71" s="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E63" i="71"/>
  <c r="AD26" i="71"/>
  <c r="AF26" i="71" s="1"/>
  <c r="AF63" i="71" s="1"/>
  <c r="AF100" i="71" s="1"/>
  <c r="AE62" i="71"/>
  <c r="AD25" i="71"/>
  <c r="AF25" i="71" s="1"/>
  <c r="AF62" i="71" s="1"/>
  <c r="AF99" i="71" s="1"/>
  <c r="AE98" i="71"/>
  <c r="AD24" i="71"/>
  <c r="AD61" i="71" s="1"/>
  <c r="AD98" i="71" s="1"/>
  <c r="AE60" i="71"/>
  <c r="AD23" i="71"/>
  <c r="AE59" i="71"/>
  <c r="AD22" i="71"/>
  <c r="AD59" i="71" s="1"/>
  <c r="AD96" i="71" s="1"/>
  <c r="AE58" i="71"/>
  <c r="AD21" i="71"/>
  <c r="AD58" i="71" s="1"/>
  <c r="AD95" i="71" s="1"/>
  <c r="W95" i="71"/>
  <c r="AE94" i="71"/>
  <c r="AD20" i="71"/>
  <c r="AE56" i="71"/>
  <c r="AD19" i="71"/>
  <c r="AD56" i="71" s="1"/>
  <c r="AD93" i="71" s="1"/>
  <c r="AE55" i="71"/>
  <c r="AD18" i="7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E51" i="71"/>
  <c r="AD14" i="71"/>
  <c r="AF14" i="71" s="1"/>
  <c r="AF51" i="71" s="1"/>
  <c r="AF88" i="71" s="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Q89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63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T98" i="71"/>
  <c r="S24" i="7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L95" i="7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Z79" i="16" s="1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81" i="16" s="1"/>
  <c r="L10" i="16"/>
  <c r="L82" i="16" s="1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O54" i="109" l="1"/>
  <c r="W1" i="16"/>
  <c r="A1" i="108"/>
  <c r="A79" i="108"/>
  <c r="A40" i="108"/>
  <c r="AP33" i="109"/>
  <c r="AP54" i="109"/>
  <c r="AP28" i="109"/>
  <c r="AP31" i="109"/>
  <c r="O34" i="109"/>
  <c r="M79" i="16"/>
  <c r="W39" i="16"/>
  <c r="L57" i="71"/>
  <c r="L131" i="71"/>
  <c r="W87" i="71"/>
  <c r="L68" i="71"/>
  <c r="W63" i="71"/>
  <c r="M35" i="108"/>
  <c r="W88" i="71"/>
  <c r="W99" i="71"/>
  <c r="W100" i="71"/>
  <c r="M28" i="108"/>
  <c r="Q47" i="109"/>
  <c r="W125" i="71"/>
  <c r="M26" i="108"/>
  <c r="Q33" i="109"/>
  <c r="L87" i="71"/>
  <c r="L56" i="71"/>
  <c r="M21" i="108"/>
  <c r="Q44" i="109"/>
  <c r="AG30" i="109"/>
  <c r="AG31" i="109"/>
  <c r="AG32" i="109"/>
  <c r="AG33" i="109"/>
  <c r="AG34" i="109"/>
  <c r="W137" i="71"/>
  <c r="Q30" i="109"/>
  <c r="AG27" i="109"/>
  <c r="AG28" i="109"/>
  <c r="AG44" i="109"/>
  <c r="L99" i="71"/>
  <c r="Q27" i="109"/>
  <c r="Q54" i="109"/>
  <c r="L100" i="71"/>
  <c r="L171" i="71"/>
  <c r="W65" i="71"/>
  <c r="W102" i="71"/>
  <c r="W127" i="71"/>
  <c r="M33" i="108"/>
  <c r="Q26" i="109"/>
  <c r="Q29" i="109"/>
  <c r="Q32" i="109"/>
  <c r="Q36" i="109"/>
  <c r="AG45" i="109"/>
  <c r="W52" i="71"/>
  <c r="AG46" i="109"/>
  <c r="L126" i="71"/>
  <c r="L52" i="71"/>
  <c r="L135" i="71"/>
  <c r="L169" i="71"/>
  <c r="L123" i="71"/>
  <c r="L157" i="71"/>
  <c r="W98" i="71"/>
  <c r="W169" i="71"/>
  <c r="W49" i="71"/>
  <c r="W157" i="71"/>
  <c r="AG47" i="109"/>
  <c r="L134" i="71"/>
  <c r="L168" i="71"/>
  <c r="L48" i="71"/>
  <c r="L156" i="71"/>
  <c r="W126" i="71"/>
  <c r="W134" i="71"/>
  <c r="W168" i="71"/>
  <c r="W122" i="71"/>
  <c r="W156" i="71"/>
  <c r="M40" i="108"/>
  <c r="Q48" i="109"/>
  <c r="Q51" i="109"/>
  <c r="L96" i="71"/>
  <c r="L167" i="71"/>
  <c r="L84" i="71"/>
  <c r="L155" i="71"/>
  <c r="W133" i="71"/>
  <c r="W167" i="71"/>
  <c r="W121" i="71"/>
  <c r="W155" i="71"/>
  <c r="M39" i="108"/>
  <c r="Q28" i="109"/>
  <c r="Q31" i="109"/>
  <c r="Q34" i="109"/>
  <c r="AG49" i="109"/>
  <c r="L64" i="71"/>
  <c r="L45" i="71"/>
  <c r="L153" i="71"/>
  <c r="L83" i="71"/>
  <c r="L154" i="71"/>
  <c r="W64" i="71"/>
  <c r="W119" i="71"/>
  <c r="W153" i="71"/>
  <c r="L53" i="71"/>
  <c r="L161" i="71"/>
  <c r="L65" i="71"/>
  <c r="L143" i="71"/>
  <c r="L177" i="71"/>
  <c r="L109" i="71"/>
  <c r="L180" i="71"/>
  <c r="W53" i="71"/>
  <c r="W135" i="71"/>
  <c r="W106" i="71"/>
  <c r="W177" i="71"/>
  <c r="W57" i="71"/>
  <c r="W165" i="71"/>
  <c r="W109" i="71"/>
  <c r="W180" i="71"/>
  <c r="M37" i="108"/>
  <c r="W68" i="71"/>
  <c r="W176" i="71"/>
  <c r="W56" i="71"/>
  <c r="W164" i="71"/>
  <c r="Q52" i="109"/>
  <c r="L138" i="71"/>
  <c r="L67" i="71"/>
  <c r="L175" i="71"/>
  <c r="L55" i="71"/>
  <c r="L163" i="71"/>
  <c r="W141" i="71"/>
  <c r="W175" i="71"/>
  <c r="W55" i="71"/>
  <c r="W163" i="71"/>
  <c r="AG36" i="109"/>
  <c r="L66" i="71"/>
  <c r="L174" i="71"/>
  <c r="L54" i="71"/>
  <c r="L162" i="71"/>
  <c r="W138" i="71"/>
  <c r="W103" i="71"/>
  <c r="W174" i="71"/>
  <c r="O31" i="109"/>
  <c r="AK26" i="109"/>
  <c r="AK31" i="109"/>
  <c r="AK32" i="109"/>
  <c r="AK34" i="109"/>
  <c r="AK27" i="109"/>
  <c r="AU54" i="109"/>
  <c r="AK29" i="109"/>
  <c r="AF12" i="71"/>
  <c r="AF49" i="71" s="1"/>
  <c r="AF86" i="71" s="1"/>
  <c r="AK36" i="109"/>
  <c r="AK54" i="109"/>
  <c r="AK28" i="109"/>
  <c r="AK30" i="109"/>
  <c r="AF9" i="71"/>
  <c r="AF46" i="71" s="1"/>
  <c r="AF83" i="71" s="1"/>
  <c r="AF18" i="71"/>
  <c r="AF55" i="71" s="1"/>
  <c r="AF92" i="71" s="1"/>
  <c r="AF23" i="71"/>
  <c r="AF60" i="71" s="1"/>
  <c r="AF97" i="71" s="1"/>
  <c r="AE85" i="71"/>
  <c r="AE49" i="71"/>
  <c r="AE57" i="71"/>
  <c r="AF11" i="71"/>
  <c r="AF48" i="71" s="1"/>
  <c r="AF85" i="71" s="1"/>
  <c r="AF15" i="71"/>
  <c r="AF52" i="71" s="1"/>
  <c r="AF89" i="71" s="1"/>
  <c r="AF20" i="71"/>
  <c r="AF57" i="71" s="1"/>
  <c r="AF94" i="71" s="1"/>
  <c r="AF29" i="71"/>
  <c r="AF66" i="71" s="1"/>
  <c r="AF103" i="71" s="1"/>
  <c r="AE65" i="71"/>
  <c r="AE97" i="71"/>
  <c r="AE45" i="71"/>
  <c r="AE93" i="71"/>
  <c r="AF30" i="71"/>
  <c r="AF67" i="71" s="1"/>
  <c r="AF104" i="71" s="1"/>
  <c r="AE69" i="71"/>
  <c r="AF8" i="71"/>
  <c r="AF21" i="71"/>
  <c r="AF58" i="71" s="1"/>
  <c r="AF95" i="71" s="1"/>
  <c r="AE89" i="71"/>
  <c r="AE53" i="71"/>
  <c r="AE61" i="71"/>
  <c r="U24" i="71"/>
  <c r="U61" i="71" s="1"/>
  <c r="U98" i="71" s="1"/>
  <c r="AF27" i="71"/>
  <c r="AF64" i="71" s="1"/>
  <c r="AF101" i="71" s="1"/>
  <c r="AF32" i="71"/>
  <c r="AF69" i="71" s="1"/>
  <c r="AF106" i="71" s="1"/>
  <c r="AE105" i="71"/>
  <c r="T93" i="71"/>
  <c r="U31" i="71"/>
  <c r="U68" i="71" s="1"/>
  <c r="U105" i="71" s="1"/>
  <c r="T89" i="71"/>
  <c r="T105" i="71"/>
  <c r="T101" i="7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87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X47" i="71"/>
  <c r="X55" i="71"/>
  <c r="Z109" i="71"/>
  <c r="AA81" i="16"/>
  <c r="AD72" i="7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A47" i="16" l="1"/>
  <c r="AF45" i="71"/>
  <c r="AF82" i="71" s="1"/>
  <c r="AF35" i="71"/>
  <c r="AF72" i="71" s="1"/>
  <c r="AF109" i="71" s="1"/>
  <c r="U35" i="71"/>
  <c r="U72" i="71" s="1"/>
  <c r="U109" i="71" s="1"/>
  <c r="X48" i="16"/>
  <c r="Z47" i="16"/>
  <c r="AD83" i="16"/>
  <c r="X71" i="16"/>
  <c r="X49" i="16"/>
  <c r="Z67" i="16"/>
  <c r="X53" i="16"/>
  <c r="AA49" i="16"/>
  <c r="AB52" i="16"/>
  <c r="AE86" i="16" s="1"/>
  <c r="Z54" i="16"/>
  <c r="Z52" i="16"/>
  <c r="X46" i="16"/>
  <c r="AA88" i="16"/>
  <c r="X54" i="16"/>
  <c r="Y54" i="16"/>
  <c r="AA52" i="16"/>
  <c r="AD84" i="16"/>
  <c r="P51" i="16"/>
  <c r="AA50" i="16"/>
  <c r="X50" i="16"/>
  <c r="Y49" i="16"/>
  <c r="M48" i="16"/>
  <c r="Y51" i="16"/>
  <c r="S82" i="16"/>
  <c r="AB46" i="16"/>
  <c r="AE80" i="16" s="1"/>
  <c r="Z48" i="16"/>
  <c r="N47" i="16"/>
  <c r="Y53" i="16"/>
  <c r="Z46" i="16"/>
  <c r="AE109" i="71"/>
  <c r="T27" i="16"/>
  <c r="T28" i="16"/>
  <c r="T34" i="16"/>
  <c r="T31" i="16"/>
  <c r="T33" i="16"/>
  <c r="T30" i="16"/>
  <c r="T32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AD85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P48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D27" i="16" s="1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0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Z33" i="16" l="1"/>
  <c r="Z27" i="16"/>
  <c r="Z29" i="16"/>
  <c r="AB32" i="16"/>
  <c r="U16" i="16"/>
  <c r="U34" i="16" s="1"/>
  <c r="AF12" i="16"/>
  <c r="AF30" i="16" s="1"/>
  <c r="AB29" i="16"/>
  <c r="AB31" i="16"/>
  <c r="Z31" i="16"/>
  <c r="AA28" i="16"/>
  <c r="AB33" i="16"/>
  <c r="Z28" i="16"/>
  <c r="AF15" i="16"/>
  <c r="AF33" i="16" s="1"/>
  <c r="AF14" i="16"/>
  <c r="AF32" i="16" s="1"/>
  <c r="U13" i="16"/>
  <c r="U31" i="16" s="1"/>
  <c r="T18" i="16"/>
  <c r="T36" i="16" s="1"/>
  <c r="U12" i="16"/>
  <c r="U30" i="16" s="1"/>
  <c r="U9" i="16"/>
  <c r="U27" i="16" s="1"/>
  <c r="U10" i="16"/>
  <c r="U28" i="16" s="1"/>
  <c r="T26" i="16"/>
  <c r="AF9" i="16"/>
  <c r="AF27" i="16" s="1"/>
  <c r="U15" i="16"/>
  <c r="U33" i="16" s="1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D33" i="105"/>
  <c r="L32" i="105"/>
  <c r="H32" i="105"/>
  <c r="U32" i="105" s="1"/>
  <c r="D32" i="105"/>
  <c r="T32" i="105" s="1"/>
  <c r="L31" i="105"/>
  <c r="H31" i="105"/>
  <c r="D31" i="105"/>
  <c r="L30" i="105"/>
  <c r="H30" i="105"/>
  <c r="D30" i="105"/>
  <c r="L29" i="105"/>
  <c r="H29" i="105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L24" i="105"/>
  <c r="H24" i="105"/>
  <c r="D24" i="105"/>
  <c r="L23" i="105"/>
  <c r="H23" i="105"/>
  <c r="D23" i="105"/>
  <c r="L22" i="105"/>
  <c r="H22" i="105"/>
  <c r="D22" i="105"/>
  <c r="T22" i="105" s="1"/>
  <c r="L21" i="105"/>
  <c r="H21" i="105"/>
  <c r="D21" i="105"/>
  <c r="T21" i="105" s="1"/>
  <c r="L20" i="105"/>
  <c r="H20" i="105"/>
  <c r="D20" i="105"/>
  <c r="L19" i="105"/>
  <c r="H19" i="105"/>
  <c r="D19" i="105"/>
  <c r="L18" i="105"/>
  <c r="H18" i="105"/>
  <c r="U18" i="105" s="1"/>
  <c r="D18" i="105"/>
  <c r="L17" i="105"/>
  <c r="H17" i="105"/>
  <c r="D17" i="105"/>
  <c r="L16" i="105"/>
  <c r="H16" i="105"/>
  <c r="D16" i="105"/>
  <c r="T16" i="105" s="1"/>
  <c r="L15" i="105"/>
  <c r="H15" i="105"/>
  <c r="D15" i="105"/>
  <c r="L14" i="105"/>
  <c r="H14" i="105"/>
  <c r="D14" i="105"/>
  <c r="T14" i="105" s="1"/>
  <c r="L13" i="105"/>
  <c r="H13" i="105"/>
  <c r="D13" i="105"/>
  <c r="T13" i="105" s="1"/>
  <c r="L12" i="105"/>
  <c r="H12" i="105"/>
  <c r="D12" i="105"/>
  <c r="L11" i="105"/>
  <c r="H11" i="105"/>
  <c r="D11" i="105"/>
  <c r="L10" i="105"/>
  <c r="H10" i="105"/>
  <c r="U10" i="105" s="1"/>
  <c r="D10" i="105"/>
  <c r="L9" i="105"/>
  <c r="H9" i="105"/>
  <c r="D9" i="105"/>
  <c r="U7" i="105"/>
  <c r="T7" i="105"/>
  <c r="R7" i="105"/>
  <c r="Q7" i="105"/>
  <c r="U11" i="105" l="1"/>
  <c r="U30" i="105"/>
  <c r="U29" i="105"/>
  <c r="T33" i="105"/>
  <c r="U19" i="105"/>
  <c r="U27" i="105"/>
  <c r="T24" i="105"/>
  <c r="U13" i="105"/>
  <c r="U21" i="105"/>
  <c r="T10" i="105"/>
  <c r="U15" i="105"/>
  <c r="T18" i="105"/>
  <c r="U23" i="105"/>
  <c r="T26" i="105"/>
  <c r="T29" i="105"/>
  <c r="U14" i="105"/>
  <c r="T17" i="105"/>
  <c r="U22" i="105"/>
  <c r="T25" i="105"/>
  <c r="U33" i="105"/>
  <c r="L36" i="105"/>
  <c r="U12" i="105"/>
  <c r="T15" i="105"/>
  <c r="U20" i="105"/>
  <c r="T23" i="105"/>
  <c r="U31" i="105"/>
  <c r="T11" i="105"/>
  <c r="U16" i="105"/>
  <c r="T19" i="105"/>
  <c r="U24" i="105"/>
  <c r="T27" i="105"/>
  <c r="T30" i="105"/>
  <c r="T9" i="105"/>
  <c r="D36" i="105"/>
  <c r="U9" i="105"/>
  <c r="H36" i="105"/>
  <c r="T12" i="105"/>
  <c r="U17" i="105"/>
  <c r="T20" i="105"/>
  <c r="U25" i="105"/>
  <c r="T28" i="105"/>
  <c r="T31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C31" i="49"/>
  <c r="E31" i="49"/>
  <c r="E7" i="49"/>
  <c r="C7" i="49"/>
  <c r="B7" i="49"/>
  <c r="A1" i="104" l="1"/>
  <c r="G8" i="49"/>
  <c r="K8" i="49" a="1"/>
  <c r="K14" i="49" s="1"/>
  <c r="M8" i="49" a="1"/>
  <c r="M13" i="49" s="1"/>
  <c r="J8" i="49" a="1"/>
  <c r="J8" i="49" s="1"/>
  <c r="T36" i="105"/>
  <c r="U36" i="105"/>
  <c r="G7" i="49"/>
  <c r="F330" i="104"/>
  <c r="F329" i="104"/>
  <c r="D330" i="104"/>
  <c r="D329" i="104"/>
  <c r="B330" i="104"/>
  <c r="B329" i="104"/>
  <c r="B35" i="104"/>
  <c r="K15" i="49" l="1"/>
  <c r="M15" i="49"/>
  <c r="M16" i="49"/>
  <c r="K8" i="49"/>
  <c r="J14" i="49"/>
  <c r="J16" i="49"/>
  <c r="M8" i="49"/>
  <c r="J13" i="49"/>
  <c r="M14" i="49"/>
  <c r="M9" i="49"/>
  <c r="J10" i="49"/>
  <c r="K12" i="49"/>
  <c r="K9" i="49"/>
  <c r="K10" i="49"/>
  <c r="J11" i="49"/>
  <c r="K11" i="49"/>
  <c r="J9" i="49"/>
  <c r="M12" i="49"/>
  <c r="J12" i="49"/>
  <c r="K16" i="49"/>
  <c r="J15" i="49"/>
  <c r="M10" i="49"/>
  <c r="M11" i="49"/>
  <c r="K13" i="49"/>
  <c r="B30" i="104"/>
  <c r="O554" i="102" l="1"/>
  <c r="N564" i="102"/>
  <c r="X540" i="102"/>
  <c r="W540" i="102"/>
  <c r="V540" i="102"/>
  <c r="X539" i="102"/>
  <c r="W539" i="102"/>
  <c r="V539" i="102"/>
  <c r="S540" i="102"/>
  <c r="R540" i="102"/>
  <c r="Q540" i="102"/>
  <c r="S539" i="102"/>
  <c r="R539" i="102"/>
  <c r="Q539" i="102"/>
  <c r="N540" i="102"/>
  <c r="M540" i="102"/>
  <c r="L540" i="102"/>
  <c r="N539" i="102"/>
  <c r="M539" i="102"/>
  <c r="L539" i="102"/>
  <c r="I540" i="102"/>
  <c r="H540" i="102"/>
  <c r="G540" i="102"/>
  <c r="I539" i="102"/>
  <c r="H539" i="102"/>
  <c r="G539" i="102"/>
  <c r="B540" i="102"/>
  <c r="C540" i="102"/>
  <c r="D540" i="102"/>
  <c r="C539" i="102"/>
  <c r="D539" i="102"/>
  <c r="B539" i="102"/>
  <c r="X536" i="102"/>
  <c r="W536" i="102"/>
  <c r="V536" i="102"/>
  <c r="S536" i="102"/>
  <c r="R536" i="102"/>
  <c r="Q536" i="102"/>
  <c r="N536" i="102"/>
  <c r="M536" i="102"/>
  <c r="L536" i="102"/>
  <c r="I536" i="102"/>
  <c r="H536" i="102"/>
  <c r="G536" i="102"/>
  <c r="D536" i="102"/>
  <c r="C536" i="102"/>
  <c r="B536" i="102"/>
  <c r="Y535" i="102"/>
  <c r="T535" i="102"/>
  <c r="O535" i="102"/>
  <c r="J535" i="102"/>
  <c r="E535" i="102"/>
  <c r="Y534" i="102"/>
  <c r="T534" i="102"/>
  <c r="O534" i="102"/>
  <c r="J534" i="102"/>
  <c r="E534" i="102"/>
  <c r="X531" i="102"/>
  <c r="W531" i="102"/>
  <c r="V531" i="102"/>
  <c r="S531" i="102"/>
  <c r="R531" i="102"/>
  <c r="Q531" i="102"/>
  <c r="N531" i="102"/>
  <c r="M531" i="102"/>
  <c r="L531" i="102"/>
  <c r="I531" i="102"/>
  <c r="H531" i="102"/>
  <c r="G531" i="102"/>
  <c r="D531" i="102"/>
  <c r="C531" i="102"/>
  <c r="B531" i="102"/>
  <c r="Y530" i="102"/>
  <c r="T530" i="102"/>
  <c r="O530" i="102"/>
  <c r="J530" i="102"/>
  <c r="E530" i="102"/>
  <c r="Y529" i="102"/>
  <c r="T529" i="102"/>
  <c r="O529" i="102"/>
  <c r="J529" i="102"/>
  <c r="E529" i="102"/>
  <c r="X526" i="102"/>
  <c r="W526" i="102"/>
  <c r="V526" i="102"/>
  <c r="S526" i="102"/>
  <c r="R526" i="102"/>
  <c r="Q526" i="102"/>
  <c r="N526" i="102"/>
  <c r="M526" i="102"/>
  <c r="L526" i="102"/>
  <c r="I526" i="102"/>
  <c r="H526" i="102"/>
  <c r="G526" i="102"/>
  <c r="D526" i="102"/>
  <c r="C526" i="102"/>
  <c r="B526" i="102"/>
  <c r="Y525" i="102"/>
  <c r="T525" i="102"/>
  <c r="O525" i="102"/>
  <c r="J525" i="102"/>
  <c r="E525" i="102"/>
  <c r="Y524" i="102"/>
  <c r="T524" i="102"/>
  <c r="O524" i="102"/>
  <c r="J524" i="102"/>
  <c r="E524" i="102"/>
  <c r="X521" i="102"/>
  <c r="W521" i="102"/>
  <c r="V521" i="102"/>
  <c r="S521" i="102"/>
  <c r="R521" i="102"/>
  <c r="Q521" i="102"/>
  <c r="N521" i="102"/>
  <c r="M521" i="102"/>
  <c r="L521" i="102"/>
  <c r="I521" i="102"/>
  <c r="H521" i="102"/>
  <c r="G521" i="102"/>
  <c r="D521" i="102"/>
  <c r="C521" i="102"/>
  <c r="B521" i="102"/>
  <c r="Y520" i="102"/>
  <c r="T520" i="102"/>
  <c r="O520" i="102"/>
  <c r="J520" i="102"/>
  <c r="E520" i="102"/>
  <c r="Y519" i="102"/>
  <c r="T519" i="102"/>
  <c r="O519" i="102"/>
  <c r="J519" i="102"/>
  <c r="E519" i="102"/>
  <c r="X486" i="102"/>
  <c r="W486" i="102"/>
  <c r="V486" i="102"/>
  <c r="S486" i="102"/>
  <c r="R486" i="102"/>
  <c r="Q486" i="102"/>
  <c r="N486" i="102"/>
  <c r="M486" i="102"/>
  <c r="L486" i="102"/>
  <c r="I486" i="102"/>
  <c r="H486" i="102"/>
  <c r="G486" i="102"/>
  <c r="D486" i="102"/>
  <c r="C486" i="102"/>
  <c r="B486" i="102"/>
  <c r="Y485" i="102"/>
  <c r="T485" i="102"/>
  <c r="O485" i="102"/>
  <c r="J485" i="102"/>
  <c r="E485" i="102"/>
  <c r="Y484" i="102"/>
  <c r="T484" i="102"/>
  <c r="O484" i="102"/>
  <c r="J484" i="102"/>
  <c r="E484" i="102"/>
  <c r="X476" i="102"/>
  <c r="W476" i="102"/>
  <c r="V476" i="102"/>
  <c r="S476" i="102"/>
  <c r="R476" i="102"/>
  <c r="Q476" i="102"/>
  <c r="N476" i="102"/>
  <c r="M476" i="102"/>
  <c r="L476" i="102"/>
  <c r="I476" i="102"/>
  <c r="H476" i="102"/>
  <c r="G476" i="102"/>
  <c r="D476" i="102"/>
  <c r="C476" i="102"/>
  <c r="B476" i="102"/>
  <c r="Y475" i="102"/>
  <c r="T475" i="102"/>
  <c r="O475" i="102"/>
  <c r="J475" i="102"/>
  <c r="E475" i="102"/>
  <c r="Y474" i="102"/>
  <c r="T474" i="102"/>
  <c r="O474" i="102"/>
  <c r="J474" i="102"/>
  <c r="E474" i="102"/>
  <c r="X465" i="102"/>
  <c r="W465" i="102"/>
  <c r="V465" i="102"/>
  <c r="X464" i="102"/>
  <c r="W464" i="102"/>
  <c r="V464" i="102"/>
  <c r="S465" i="102"/>
  <c r="R465" i="102"/>
  <c r="Q465" i="102"/>
  <c r="S464" i="102"/>
  <c r="R464" i="102"/>
  <c r="Q464" i="102"/>
  <c r="N465" i="102"/>
  <c r="M465" i="102"/>
  <c r="L465" i="102"/>
  <c r="N464" i="102"/>
  <c r="M464" i="102"/>
  <c r="L464" i="102"/>
  <c r="I465" i="102"/>
  <c r="H465" i="102"/>
  <c r="G465" i="102"/>
  <c r="I464" i="102"/>
  <c r="H464" i="102"/>
  <c r="G464" i="102"/>
  <c r="B465" i="102"/>
  <c r="C465" i="102"/>
  <c r="D465" i="102"/>
  <c r="C464" i="102"/>
  <c r="D464" i="102"/>
  <c r="B464" i="102"/>
  <c r="X461" i="102"/>
  <c r="W461" i="102"/>
  <c r="V461" i="102"/>
  <c r="S461" i="102"/>
  <c r="R461" i="102"/>
  <c r="Q461" i="102"/>
  <c r="N461" i="102"/>
  <c r="M461" i="102"/>
  <c r="L461" i="102"/>
  <c r="I461" i="102"/>
  <c r="H461" i="102"/>
  <c r="G461" i="102"/>
  <c r="D461" i="102"/>
  <c r="C461" i="102"/>
  <c r="B461" i="102"/>
  <c r="Y460" i="102"/>
  <c r="T460" i="102"/>
  <c r="O460" i="102"/>
  <c r="J460" i="102"/>
  <c r="E460" i="102"/>
  <c r="Y459" i="102"/>
  <c r="T459" i="102"/>
  <c r="O459" i="102"/>
  <c r="J459" i="102"/>
  <c r="E459" i="102"/>
  <c r="X456" i="102"/>
  <c r="W456" i="102"/>
  <c r="V456" i="102"/>
  <c r="S456" i="102"/>
  <c r="R456" i="102"/>
  <c r="Q456" i="102"/>
  <c r="N456" i="102"/>
  <c r="M456" i="102"/>
  <c r="L456" i="102"/>
  <c r="I456" i="102"/>
  <c r="H456" i="102"/>
  <c r="G456" i="102"/>
  <c r="D456" i="102"/>
  <c r="C456" i="102"/>
  <c r="B456" i="102"/>
  <c r="Y455" i="102"/>
  <c r="T455" i="102"/>
  <c r="O455" i="102"/>
  <c r="J455" i="102"/>
  <c r="E455" i="102"/>
  <c r="Y454" i="102"/>
  <c r="T454" i="102"/>
  <c r="O454" i="102"/>
  <c r="J454" i="102"/>
  <c r="E454" i="102"/>
  <c r="X451" i="102"/>
  <c r="W451" i="102"/>
  <c r="V451" i="102"/>
  <c r="S451" i="102"/>
  <c r="R451" i="102"/>
  <c r="Q451" i="102"/>
  <c r="N451" i="102"/>
  <c r="M451" i="102"/>
  <c r="L451" i="102"/>
  <c r="I451" i="102"/>
  <c r="H451" i="102"/>
  <c r="G451" i="102"/>
  <c r="D451" i="102"/>
  <c r="C451" i="102"/>
  <c r="B451" i="102"/>
  <c r="Y450" i="102"/>
  <c r="T450" i="102"/>
  <c r="O450" i="102"/>
  <c r="J450" i="102"/>
  <c r="E450" i="102"/>
  <c r="Y449" i="102"/>
  <c r="T449" i="102"/>
  <c r="O449" i="102"/>
  <c r="J449" i="102"/>
  <c r="E449" i="102"/>
  <c r="X446" i="102"/>
  <c r="W446" i="102"/>
  <c r="V446" i="102"/>
  <c r="S446" i="102"/>
  <c r="R446" i="102"/>
  <c r="Q446" i="102"/>
  <c r="N446" i="102"/>
  <c r="M446" i="102"/>
  <c r="L446" i="102"/>
  <c r="I446" i="102"/>
  <c r="H446" i="102"/>
  <c r="G446" i="102"/>
  <c r="D446" i="102"/>
  <c r="C446" i="102"/>
  <c r="B446" i="102"/>
  <c r="Y445" i="102"/>
  <c r="T445" i="102"/>
  <c r="O445" i="102"/>
  <c r="J445" i="102"/>
  <c r="E445" i="102"/>
  <c r="Y444" i="102"/>
  <c r="T444" i="102"/>
  <c r="O444" i="102"/>
  <c r="J444" i="102"/>
  <c r="E444" i="102"/>
  <c r="X441" i="102"/>
  <c r="W441" i="102"/>
  <c r="V441" i="102"/>
  <c r="S441" i="102"/>
  <c r="R441" i="102"/>
  <c r="Q441" i="102"/>
  <c r="N441" i="102"/>
  <c r="M441" i="102"/>
  <c r="L441" i="102"/>
  <c r="I441" i="102"/>
  <c r="H441" i="102"/>
  <c r="G441" i="102"/>
  <c r="D441" i="102"/>
  <c r="C441" i="102"/>
  <c r="B441" i="102"/>
  <c r="Y440" i="102"/>
  <c r="T440" i="102"/>
  <c r="O440" i="102"/>
  <c r="J440" i="102"/>
  <c r="E440" i="102"/>
  <c r="Y439" i="102"/>
  <c r="T439" i="102"/>
  <c r="O439" i="102"/>
  <c r="J439" i="102"/>
  <c r="E439" i="102"/>
  <c r="X436" i="102"/>
  <c r="W436" i="102"/>
  <c r="V436" i="102"/>
  <c r="S436" i="102"/>
  <c r="R436" i="102"/>
  <c r="Q436" i="102"/>
  <c r="N436" i="102"/>
  <c r="M436" i="102"/>
  <c r="L436" i="102"/>
  <c r="I436" i="102"/>
  <c r="H436" i="102"/>
  <c r="G436" i="102"/>
  <c r="D436" i="102"/>
  <c r="C436" i="102"/>
  <c r="B436" i="102"/>
  <c r="Y435" i="102"/>
  <c r="T435" i="102"/>
  <c r="O435" i="102"/>
  <c r="J435" i="102"/>
  <c r="E435" i="102"/>
  <c r="Y434" i="102"/>
  <c r="T434" i="102"/>
  <c r="O434" i="102"/>
  <c r="J434" i="102"/>
  <c r="E434" i="102"/>
  <c r="X425" i="102"/>
  <c r="W425" i="102"/>
  <c r="V425" i="102"/>
  <c r="X424" i="102"/>
  <c r="W424" i="102"/>
  <c r="V424" i="102"/>
  <c r="S425" i="102"/>
  <c r="R425" i="102"/>
  <c r="Q425" i="102"/>
  <c r="S424" i="102"/>
  <c r="R424" i="102"/>
  <c r="Q424" i="102"/>
  <c r="N425" i="102"/>
  <c r="M425" i="102"/>
  <c r="L425" i="102"/>
  <c r="N424" i="102"/>
  <c r="M424" i="102"/>
  <c r="L424" i="102"/>
  <c r="I425" i="102"/>
  <c r="H425" i="102"/>
  <c r="G425" i="102"/>
  <c r="I424" i="102"/>
  <c r="H424" i="102"/>
  <c r="G424" i="102"/>
  <c r="B425" i="102"/>
  <c r="C425" i="102"/>
  <c r="D425" i="102"/>
  <c r="C424" i="102"/>
  <c r="D424" i="102"/>
  <c r="B424" i="102"/>
  <c r="X421" i="102"/>
  <c r="W421" i="102"/>
  <c r="V421" i="102"/>
  <c r="S421" i="102"/>
  <c r="R421" i="102"/>
  <c r="Q421" i="102"/>
  <c r="N421" i="102"/>
  <c r="M421" i="102"/>
  <c r="L421" i="102"/>
  <c r="I421" i="102"/>
  <c r="H421" i="102"/>
  <c r="G421" i="102"/>
  <c r="D421" i="102"/>
  <c r="C421" i="102"/>
  <c r="B421" i="102"/>
  <c r="Y420" i="102"/>
  <c r="T420" i="102"/>
  <c r="O420" i="102"/>
  <c r="J420" i="102"/>
  <c r="E420" i="102"/>
  <c r="Y419" i="102"/>
  <c r="T419" i="102"/>
  <c r="O419" i="102"/>
  <c r="J419" i="102"/>
  <c r="E419" i="102"/>
  <c r="X416" i="102"/>
  <c r="W416" i="102"/>
  <c r="V416" i="102"/>
  <c r="S416" i="102"/>
  <c r="R416" i="102"/>
  <c r="Q416" i="102"/>
  <c r="N416" i="102"/>
  <c r="M416" i="102"/>
  <c r="L416" i="102"/>
  <c r="I416" i="102"/>
  <c r="H416" i="102"/>
  <c r="G416" i="102"/>
  <c r="D416" i="102"/>
  <c r="C416" i="102"/>
  <c r="B416" i="102"/>
  <c r="Y415" i="102"/>
  <c r="T415" i="102"/>
  <c r="O415" i="102"/>
  <c r="J415" i="102"/>
  <c r="E415" i="102"/>
  <c r="Y414" i="102"/>
  <c r="T414" i="102"/>
  <c r="O414" i="102"/>
  <c r="J414" i="102"/>
  <c r="E414" i="102"/>
  <c r="X411" i="102"/>
  <c r="W411" i="102"/>
  <c r="V411" i="102"/>
  <c r="S411" i="102"/>
  <c r="R411" i="102"/>
  <c r="Q411" i="102"/>
  <c r="N411" i="102"/>
  <c r="M411" i="102"/>
  <c r="L411" i="102"/>
  <c r="I411" i="102"/>
  <c r="H411" i="102"/>
  <c r="G411" i="102"/>
  <c r="D411" i="102"/>
  <c r="C411" i="102"/>
  <c r="B411" i="102"/>
  <c r="Y410" i="102"/>
  <c r="T410" i="102"/>
  <c r="O410" i="102"/>
  <c r="J410" i="102"/>
  <c r="E410" i="102"/>
  <c r="Y409" i="102"/>
  <c r="T409" i="102"/>
  <c r="O409" i="102"/>
  <c r="J409" i="102"/>
  <c r="E409" i="102"/>
  <c r="X406" i="102"/>
  <c r="W406" i="102"/>
  <c r="V406" i="102"/>
  <c r="S406" i="102"/>
  <c r="R406" i="102"/>
  <c r="Q406" i="102"/>
  <c r="N406" i="102"/>
  <c r="M406" i="102"/>
  <c r="L406" i="102"/>
  <c r="I406" i="102"/>
  <c r="H406" i="102"/>
  <c r="G406" i="102"/>
  <c r="D406" i="102"/>
  <c r="C406" i="102"/>
  <c r="B406" i="102"/>
  <c r="Y405" i="102"/>
  <c r="T405" i="102"/>
  <c r="O405" i="102"/>
  <c r="J405" i="102"/>
  <c r="E405" i="102"/>
  <c r="Y404" i="102"/>
  <c r="T404" i="102"/>
  <c r="O404" i="102"/>
  <c r="J404" i="102"/>
  <c r="E404" i="102"/>
  <c r="X401" i="102"/>
  <c r="W401" i="102"/>
  <c r="V401" i="102"/>
  <c r="S401" i="102"/>
  <c r="R401" i="102"/>
  <c r="Q401" i="102"/>
  <c r="N401" i="102"/>
  <c r="M401" i="102"/>
  <c r="L401" i="102"/>
  <c r="I401" i="102"/>
  <c r="H401" i="102"/>
  <c r="G401" i="102"/>
  <c r="D401" i="102"/>
  <c r="C401" i="102"/>
  <c r="B401" i="102"/>
  <c r="Y400" i="102"/>
  <c r="T400" i="102"/>
  <c r="O400" i="102"/>
  <c r="J400" i="102"/>
  <c r="E400" i="102"/>
  <c r="Y399" i="102"/>
  <c r="T399" i="102"/>
  <c r="O399" i="102"/>
  <c r="J399" i="102"/>
  <c r="E399" i="102"/>
  <c r="X396" i="102"/>
  <c r="W396" i="102"/>
  <c r="V396" i="102"/>
  <c r="S396" i="102"/>
  <c r="R396" i="102"/>
  <c r="Q396" i="102"/>
  <c r="N396" i="102"/>
  <c r="M396" i="102"/>
  <c r="L396" i="102"/>
  <c r="I396" i="102"/>
  <c r="H396" i="102"/>
  <c r="G396" i="102"/>
  <c r="D396" i="102"/>
  <c r="C396" i="102"/>
  <c r="B396" i="102"/>
  <c r="Y395" i="102"/>
  <c r="T395" i="102"/>
  <c r="O395" i="102"/>
  <c r="J395" i="102"/>
  <c r="E395" i="102"/>
  <c r="Y394" i="102"/>
  <c r="T394" i="102"/>
  <c r="O394" i="102"/>
  <c r="J394" i="102"/>
  <c r="E394" i="102"/>
  <c r="X391" i="102"/>
  <c r="W391" i="102"/>
  <c r="V391" i="102"/>
  <c r="S391" i="102"/>
  <c r="R391" i="102"/>
  <c r="Q391" i="102"/>
  <c r="N391" i="102"/>
  <c r="M391" i="102"/>
  <c r="L391" i="102"/>
  <c r="I391" i="102"/>
  <c r="H391" i="102"/>
  <c r="G391" i="102"/>
  <c r="D391" i="102"/>
  <c r="C391" i="102"/>
  <c r="B391" i="102"/>
  <c r="Y390" i="102"/>
  <c r="T390" i="102"/>
  <c r="O390" i="102"/>
  <c r="J390" i="102"/>
  <c r="E390" i="102"/>
  <c r="Y389" i="102"/>
  <c r="T389" i="102"/>
  <c r="O389" i="102"/>
  <c r="J389" i="102"/>
  <c r="E389" i="102"/>
  <c r="E379" i="102"/>
  <c r="X381" i="102"/>
  <c r="W381" i="102"/>
  <c r="V381" i="102"/>
  <c r="S381" i="102"/>
  <c r="R381" i="102"/>
  <c r="Q381" i="102"/>
  <c r="N381" i="102"/>
  <c r="M381" i="102"/>
  <c r="L381" i="102"/>
  <c r="I381" i="102"/>
  <c r="H381" i="102"/>
  <c r="G381" i="102"/>
  <c r="D381" i="102"/>
  <c r="C381" i="102"/>
  <c r="B381" i="102"/>
  <c r="Y380" i="102"/>
  <c r="T380" i="102"/>
  <c r="O380" i="102"/>
  <c r="J380" i="102"/>
  <c r="E380" i="102"/>
  <c r="Y379" i="102"/>
  <c r="T379" i="102"/>
  <c r="O379" i="102"/>
  <c r="J379" i="102"/>
  <c r="X565" i="102"/>
  <c r="W565" i="102"/>
  <c r="V565" i="102"/>
  <c r="S565" i="102"/>
  <c r="R565" i="102"/>
  <c r="Q565" i="102"/>
  <c r="N565" i="102"/>
  <c r="M565" i="102"/>
  <c r="L565" i="102"/>
  <c r="I565" i="102"/>
  <c r="H565" i="102"/>
  <c r="G565" i="102"/>
  <c r="D565" i="102"/>
  <c r="C565" i="102"/>
  <c r="B565" i="102"/>
  <c r="X564" i="102"/>
  <c r="W564" i="102"/>
  <c r="V564" i="102"/>
  <c r="S564" i="102"/>
  <c r="R564" i="102"/>
  <c r="Q564" i="102"/>
  <c r="M564" i="102"/>
  <c r="L564" i="102"/>
  <c r="I564" i="102"/>
  <c r="H564" i="102"/>
  <c r="G564" i="102"/>
  <c r="D564" i="102"/>
  <c r="C564" i="102"/>
  <c r="B564" i="102"/>
  <c r="X561" i="102"/>
  <c r="W561" i="102"/>
  <c r="V561" i="102"/>
  <c r="S561" i="102"/>
  <c r="R561" i="102"/>
  <c r="Q561" i="102"/>
  <c r="N561" i="102"/>
  <c r="M561" i="102"/>
  <c r="L561" i="102"/>
  <c r="I561" i="102"/>
  <c r="H561" i="102"/>
  <c r="G561" i="102"/>
  <c r="D561" i="102"/>
  <c r="C561" i="102"/>
  <c r="B561" i="102"/>
  <c r="Y560" i="102"/>
  <c r="T560" i="102"/>
  <c r="O560" i="102"/>
  <c r="J560" i="102"/>
  <c r="E560" i="102"/>
  <c r="Y559" i="102"/>
  <c r="T559" i="102"/>
  <c r="O559" i="102"/>
  <c r="J559" i="102"/>
  <c r="E559" i="102"/>
  <c r="X556" i="102"/>
  <c r="W556" i="102"/>
  <c r="V556" i="102"/>
  <c r="S556" i="102"/>
  <c r="R556" i="102"/>
  <c r="Q556" i="102"/>
  <c r="N556" i="102"/>
  <c r="M556" i="102"/>
  <c r="L556" i="102"/>
  <c r="I556" i="102"/>
  <c r="H556" i="102"/>
  <c r="G556" i="102"/>
  <c r="D556" i="102"/>
  <c r="C556" i="102"/>
  <c r="B556" i="102"/>
  <c r="Y555" i="102"/>
  <c r="T555" i="102"/>
  <c r="O555" i="102"/>
  <c r="J555" i="102"/>
  <c r="E555" i="102"/>
  <c r="Y554" i="102"/>
  <c r="T554" i="102"/>
  <c r="J554" i="102"/>
  <c r="E554" i="102"/>
  <c r="X551" i="102"/>
  <c r="W551" i="102"/>
  <c r="V551" i="102"/>
  <c r="S551" i="102"/>
  <c r="R551" i="102"/>
  <c r="Q551" i="102"/>
  <c r="N551" i="102"/>
  <c r="M551" i="102"/>
  <c r="L551" i="102"/>
  <c r="I551" i="102"/>
  <c r="H551" i="102"/>
  <c r="G551" i="102"/>
  <c r="D551" i="102"/>
  <c r="C551" i="102"/>
  <c r="B551" i="102"/>
  <c r="Y550" i="102"/>
  <c r="T550" i="102"/>
  <c r="O550" i="102"/>
  <c r="J550" i="102"/>
  <c r="E550" i="102"/>
  <c r="Y549" i="102"/>
  <c r="T549" i="102"/>
  <c r="O549" i="102"/>
  <c r="J549" i="102"/>
  <c r="E549" i="102"/>
  <c r="X510" i="102"/>
  <c r="W510" i="102"/>
  <c r="V510" i="102"/>
  <c r="S510" i="102"/>
  <c r="R510" i="102"/>
  <c r="Q510" i="102"/>
  <c r="N510" i="102"/>
  <c r="M510" i="102"/>
  <c r="L510" i="102"/>
  <c r="I510" i="102"/>
  <c r="H510" i="102"/>
  <c r="G510" i="102"/>
  <c r="D510" i="102"/>
  <c r="C510" i="102"/>
  <c r="B510" i="102"/>
  <c r="X509" i="102"/>
  <c r="W509" i="102"/>
  <c r="V509" i="102"/>
  <c r="S509" i="102"/>
  <c r="R509" i="102"/>
  <c r="Q509" i="102"/>
  <c r="N509" i="102"/>
  <c r="M509" i="102"/>
  <c r="L509" i="102"/>
  <c r="I509" i="102"/>
  <c r="H509" i="102"/>
  <c r="G509" i="102"/>
  <c r="D509" i="102"/>
  <c r="C509" i="102"/>
  <c r="B509" i="102"/>
  <c r="X506" i="102"/>
  <c r="W506" i="102"/>
  <c r="V506" i="102"/>
  <c r="S506" i="102"/>
  <c r="R506" i="102"/>
  <c r="Q506" i="102"/>
  <c r="N506" i="102"/>
  <c r="M506" i="102"/>
  <c r="L506" i="102"/>
  <c r="I506" i="102"/>
  <c r="H506" i="102"/>
  <c r="G506" i="102"/>
  <c r="D506" i="102"/>
  <c r="C506" i="102"/>
  <c r="B506" i="102"/>
  <c r="Y505" i="102"/>
  <c r="T505" i="102"/>
  <c r="O505" i="102"/>
  <c r="J505" i="102"/>
  <c r="E505" i="102"/>
  <c r="Y504" i="102"/>
  <c r="T504" i="102"/>
  <c r="O504" i="102"/>
  <c r="J504" i="102"/>
  <c r="E504" i="102"/>
  <c r="X501" i="102"/>
  <c r="W501" i="102"/>
  <c r="V501" i="102"/>
  <c r="S501" i="102"/>
  <c r="R501" i="102"/>
  <c r="Q501" i="102"/>
  <c r="N501" i="102"/>
  <c r="M501" i="102"/>
  <c r="L501" i="102"/>
  <c r="I501" i="102"/>
  <c r="H501" i="102"/>
  <c r="G501" i="102"/>
  <c r="D501" i="102"/>
  <c r="C501" i="102"/>
  <c r="B501" i="102"/>
  <c r="Y500" i="102"/>
  <c r="T500" i="102"/>
  <c r="O500" i="102"/>
  <c r="J500" i="102"/>
  <c r="E500" i="102"/>
  <c r="Y499" i="102"/>
  <c r="T499" i="102"/>
  <c r="O499" i="102"/>
  <c r="J499" i="102"/>
  <c r="E499" i="102"/>
  <c r="X496" i="102"/>
  <c r="W496" i="102"/>
  <c r="V496" i="102"/>
  <c r="S496" i="102"/>
  <c r="R496" i="102"/>
  <c r="Q496" i="102"/>
  <c r="N496" i="102"/>
  <c r="M496" i="102"/>
  <c r="L496" i="102"/>
  <c r="I496" i="102"/>
  <c r="H496" i="102"/>
  <c r="G496" i="102"/>
  <c r="D496" i="102"/>
  <c r="C496" i="102"/>
  <c r="B496" i="102"/>
  <c r="Y495" i="102"/>
  <c r="T495" i="102"/>
  <c r="O495" i="102"/>
  <c r="J495" i="102"/>
  <c r="E495" i="102"/>
  <c r="Y494" i="102"/>
  <c r="T494" i="102"/>
  <c r="O494" i="102"/>
  <c r="J494" i="102"/>
  <c r="E494" i="102"/>
  <c r="X370" i="102"/>
  <c r="W370" i="102"/>
  <c r="V370" i="102"/>
  <c r="B313" i="104" s="1"/>
  <c r="S370" i="102"/>
  <c r="R370" i="102"/>
  <c r="Q370" i="102"/>
  <c r="N370" i="102"/>
  <c r="M370" i="102"/>
  <c r="L370" i="102"/>
  <c r="I370" i="102"/>
  <c r="H370" i="102"/>
  <c r="G370" i="102"/>
  <c r="D370" i="102"/>
  <c r="C370" i="102"/>
  <c r="B370" i="102"/>
  <c r="X369" i="102"/>
  <c r="W369" i="102"/>
  <c r="V369" i="102"/>
  <c r="S369" i="102"/>
  <c r="R369" i="102"/>
  <c r="Q369" i="102"/>
  <c r="N369" i="102"/>
  <c r="M369" i="102"/>
  <c r="L369" i="102"/>
  <c r="I369" i="102"/>
  <c r="H369" i="102"/>
  <c r="G369" i="102"/>
  <c r="D369" i="102"/>
  <c r="C369" i="102"/>
  <c r="B369" i="102"/>
  <c r="X366" i="102"/>
  <c r="W366" i="102"/>
  <c r="V366" i="102"/>
  <c r="S366" i="102"/>
  <c r="R366" i="102"/>
  <c r="Q366" i="102"/>
  <c r="N366" i="102"/>
  <c r="M366" i="102"/>
  <c r="L366" i="102"/>
  <c r="I366" i="102"/>
  <c r="H366" i="102"/>
  <c r="G366" i="102"/>
  <c r="D366" i="102"/>
  <c r="C366" i="102"/>
  <c r="B366" i="102"/>
  <c r="Y365" i="102"/>
  <c r="T365" i="102"/>
  <c r="O365" i="102"/>
  <c r="J365" i="102"/>
  <c r="E365" i="102"/>
  <c r="Y364" i="102"/>
  <c r="T364" i="102"/>
  <c r="O364" i="102"/>
  <c r="J364" i="102"/>
  <c r="E364" i="102"/>
  <c r="X361" i="102"/>
  <c r="W361" i="102"/>
  <c r="V361" i="102"/>
  <c r="S361" i="102"/>
  <c r="R361" i="102"/>
  <c r="Q361" i="102"/>
  <c r="N361" i="102"/>
  <c r="M361" i="102"/>
  <c r="L361" i="102"/>
  <c r="I361" i="102"/>
  <c r="H361" i="102"/>
  <c r="G361" i="102"/>
  <c r="D361" i="102"/>
  <c r="C361" i="102"/>
  <c r="B361" i="102"/>
  <c r="Y360" i="102"/>
  <c r="T360" i="102"/>
  <c r="O360" i="102"/>
  <c r="J360" i="102"/>
  <c r="E360" i="102"/>
  <c r="Y359" i="102"/>
  <c r="T359" i="102"/>
  <c r="O359" i="102"/>
  <c r="J359" i="102"/>
  <c r="E359" i="102"/>
  <c r="X356" i="102"/>
  <c r="W356" i="102"/>
  <c r="V356" i="102"/>
  <c r="S356" i="102"/>
  <c r="R356" i="102"/>
  <c r="Q356" i="102"/>
  <c r="N356" i="102"/>
  <c r="M356" i="102"/>
  <c r="L356" i="102"/>
  <c r="I356" i="102"/>
  <c r="H356" i="102"/>
  <c r="G356" i="102"/>
  <c r="D356" i="102"/>
  <c r="C356" i="102"/>
  <c r="B356" i="102"/>
  <c r="Y355" i="102"/>
  <c r="T355" i="102"/>
  <c r="O355" i="102"/>
  <c r="J355" i="102"/>
  <c r="E355" i="102"/>
  <c r="Y354" i="102"/>
  <c r="T354" i="102"/>
  <c r="O354" i="102"/>
  <c r="J354" i="102"/>
  <c r="E354" i="102"/>
  <c r="X345" i="102"/>
  <c r="W345" i="102"/>
  <c r="V345" i="102"/>
  <c r="S345" i="102"/>
  <c r="R345" i="102"/>
  <c r="Q345" i="102"/>
  <c r="N345" i="102"/>
  <c r="M345" i="102"/>
  <c r="L345" i="102"/>
  <c r="I345" i="102"/>
  <c r="H345" i="102"/>
  <c r="G345" i="102"/>
  <c r="D345" i="102"/>
  <c r="C345" i="102"/>
  <c r="B345" i="102"/>
  <c r="X344" i="102"/>
  <c r="W344" i="102"/>
  <c r="V344" i="102"/>
  <c r="S344" i="102"/>
  <c r="R344" i="102"/>
  <c r="Q344" i="102"/>
  <c r="N344" i="102"/>
  <c r="M344" i="102"/>
  <c r="L344" i="102"/>
  <c r="I344" i="102"/>
  <c r="H344" i="102"/>
  <c r="G344" i="102"/>
  <c r="D344" i="102"/>
  <c r="C344" i="102"/>
  <c r="B344" i="102"/>
  <c r="X341" i="102"/>
  <c r="W341" i="102"/>
  <c r="V341" i="102"/>
  <c r="S341" i="102"/>
  <c r="R341" i="102"/>
  <c r="Q341" i="102"/>
  <c r="N341" i="102"/>
  <c r="M341" i="102"/>
  <c r="L341" i="102"/>
  <c r="I341" i="102"/>
  <c r="H341" i="102"/>
  <c r="G341" i="102"/>
  <c r="D341" i="102"/>
  <c r="C341" i="102"/>
  <c r="B341" i="102"/>
  <c r="Y340" i="102"/>
  <c r="T340" i="102"/>
  <c r="O340" i="102"/>
  <c r="J340" i="102"/>
  <c r="E340" i="102"/>
  <c r="Y339" i="102"/>
  <c r="T339" i="102"/>
  <c r="O339" i="102"/>
  <c r="J339" i="102"/>
  <c r="E339" i="102"/>
  <c r="X336" i="102"/>
  <c r="W336" i="102"/>
  <c r="V336" i="102"/>
  <c r="S336" i="102"/>
  <c r="R336" i="102"/>
  <c r="Q336" i="102"/>
  <c r="N336" i="102"/>
  <c r="M336" i="102"/>
  <c r="L336" i="102"/>
  <c r="I336" i="102"/>
  <c r="H336" i="102"/>
  <c r="G336" i="102"/>
  <c r="D336" i="102"/>
  <c r="C336" i="102"/>
  <c r="B336" i="102"/>
  <c r="Y335" i="102"/>
  <c r="T335" i="102"/>
  <c r="O335" i="102"/>
  <c r="J335" i="102"/>
  <c r="E335" i="102"/>
  <c r="Y334" i="102"/>
  <c r="T334" i="102"/>
  <c r="O334" i="102"/>
  <c r="J334" i="102"/>
  <c r="E334" i="102"/>
  <c r="X331" i="102"/>
  <c r="W331" i="102"/>
  <c r="V331" i="102"/>
  <c r="S331" i="102"/>
  <c r="R331" i="102"/>
  <c r="Q331" i="102"/>
  <c r="N331" i="102"/>
  <c r="M331" i="102"/>
  <c r="L331" i="102"/>
  <c r="I331" i="102"/>
  <c r="H331" i="102"/>
  <c r="G331" i="102"/>
  <c r="D331" i="102"/>
  <c r="C331" i="102"/>
  <c r="B331" i="102"/>
  <c r="Y330" i="102"/>
  <c r="T330" i="102"/>
  <c r="O330" i="102"/>
  <c r="J330" i="102"/>
  <c r="E330" i="102"/>
  <c r="Y329" i="102"/>
  <c r="T329" i="102"/>
  <c r="O329" i="102"/>
  <c r="J329" i="102"/>
  <c r="E329" i="102"/>
  <c r="X320" i="102"/>
  <c r="W320" i="102"/>
  <c r="V320" i="102"/>
  <c r="S320" i="102"/>
  <c r="R320" i="102"/>
  <c r="Q320" i="102"/>
  <c r="N320" i="102"/>
  <c r="M320" i="102"/>
  <c r="L320" i="102"/>
  <c r="I320" i="102"/>
  <c r="H320" i="102"/>
  <c r="G320" i="102"/>
  <c r="D320" i="102"/>
  <c r="C320" i="102"/>
  <c r="B320" i="102"/>
  <c r="X319" i="102"/>
  <c r="W319" i="102"/>
  <c r="V319" i="102"/>
  <c r="S319" i="102"/>
  <c r="R319" i="102"/>
  <c r="Q319" i="102"/>
  <c r="N319" i="102"/>
  <c r="M319" i="102"/>
  <c r="L319" i="102"/>
  <c r="I319" i="102"/>
  <c r="H319" i="102"/>
  <c r="G319" i="102"/>
  <c r="D319" i="102"/>
  <c r="C319" i="102"/>
  <c r="B319" i="102"/>
  <c r="X316" i="102"/>
  <c r="W316" i="102"/>
  <c r="V316" i="102"/>
  <c r="S316" i="102"/>
  <c r="R316" i="102"/>
  <c r="Q316" i="102"/>
  <c r="N316" i="102"/>
  <c r="M316" i="102"/>
  <c r="L316" i="102"/>
  <c r="I316" i="102"/>
  <c r="H316" i="102"/>
  <c r="G316" i="102"/>
  <c r="D316" i="102"/>
  <c r="C316" i="102"/>
  <c r="B316" i="102"/>
  <c r="Y315" i="102"/>
  <c r="T315" i="102"/>
  <c r="O315" i="102"/>
  <c r="J315" i="102"/>
  <c r="E315" i="102"/>
  <c r="Y314" i="102"/>
  <c r="T314" i="102"/>
  <c r="O314" i="102"/>
  <c r="J314" i="102"/>
  <c r="E314" i="102"/>
  <c r="X311" i="102"/>
  <c r="W311" i="102"/>
  <c r="V311" i="102"/>
  <c r="S311" i="102"/>
  <c r="R311" i="102"/>
  <c r="Q311" i="102"/>
  <c r="N311" i="102"/>
  <c r="M311" i="102"/>
  <c r="L311" i="102"/>
  <c r="I311" i="102"/>
  <c r="H311" i="102"/>
  <c r="G311" i="102"/>
  <c r="D311" i="102"/>
  <c r="C311" i="102"/>
  <c r="B311" i="102"/>
  <c r="Y310" i="102"/>
  <c r="T310" i="102"/>
  <c r="O310" i="102"/>
  <c r="J310" i="102"/>
  <c r="E310" i="102"/>
  <c r="Y309" i="102"/>
  <c r="T309" i="102"/>
  <c r="O309" i="102"/>
  <c r="J309" i="102"/>
  <c r="E309" i="102"/>
  <c r="X306" i="102"/>
  <c r="W306" i="102"/>
  <c r="V306" i="102"/>
  <c r="S306" i="102"/>
  <c r="R306" i="102"/>
  <c r="Q306" i="102"/>
  <c r="N306" i="102"/>
  <c r="M306" i="102"/>
  <c r="L306" i="102"/>
  <c r="I306" i="102"/>
  <c r="H306" i="102"/>
  <c r="G306" i="102"/>
  <c r="D306" i="102"/>
  <c r="C306" i="102"/>
  <c r="B306" i="102"/>
  <c r="Y305" i="102"/>
  <c r="T305" i="102"/>
  <c r="O305" i="102"/>
  <c r="J305" i="102"/>
  <c r="E305" i="102"/>
  <c r="Y304" i="102"/>
  <c r="T304" i="102"/>
  <c r="O304" i="102"/>
  <c r="J304" i="102"/>
  <c r="E304" i="102"/>
  <c r="X295" i="102"/>
  <c r="W295" i="102"/>
  <c r="V295" i="102"/>
  <c r="X294" i="102"/>
  <c r="W294" i="102"/>
  <c r="V294" i="102"/>
  <c r="S295" i="102"/>
  <c r="R295" i="102"/>
  <c r="Q295" i="102"/>
  <c r="S294" i="102"/>
  <c r="R294" i="102"/>
  <c r="Q294" i="102"/>
  <c r="N295" i="102"/>
  <c r="M295" i="102"/>
  <c r="L295" i="102"/>
  <c r="N294" i="102"/>
  <c r="M294" i="102"/>
  <c r="L294" i="102"/>
  <c r="I295" i="102"/>
  <c r="H295" i="102"/>
  <c r="G295" i="102"/>
  <c r="I294" i="102"/>
  <c r="H294" i="102"/>
  <c r="G294" i="102"/>
  <c r="B295" i="102"/>
  <c r="C295" i="102"/>
  <c r="D295" i="102"/>
  <c r="C294" i="102"/>
  <c r="D294" i="102"/>
  <c r="B294" i="102"/>
  <c r="X291" i="102"/>
  <c r="W291" i="102"/>
  <c r="V291" i="102"/>
  <c r="S291" i="102"/>
  <c r="R291" i="102"/>
  <c r="Q291" i="102"/>
  <c r="N291" i="102"/>
  <c r="M291" i="102"/>
  <c r="L291" i="102"/>
  <c r="I291" i="102"/>
  <c r="H291" i="102"/>
  <c r="G291" i="102"/>
  <c r="D291" i="102"/>
  <c r="C291" i="102"/>
  <c r="B291" i="102"/>
  <c r="Y290" i="102"/>
  <c r="T290" i="102"/>
  <c r="O290" i="102"/>
  <c r="J290" i="102"/>
  <c r="E290" i="102"/>
  <c r="Y289" i="102"/>
  <c r="T289" i="102"/>
  <c r="O289" i="102"/>
  <c r="J289" i="102"/>
  <c r="E289" i="102"/>
  <c r="X286" i="102"/>
  <c r="W286" i="102"/>
  <c r="V286" i="102"/>
  <c r="S286" i="102"/>
  <c r="R286" i="102"/>
  <c r="Q286" i="102"/>
  <c r="N286" i="102"/>
  <c r="M286" i="102"/>
  <c r="L286" i="102"/>
  <c r="I286" i="102"/>
  <c r="H286" i="102"/>
  <c r="G286" i="102"/>
  <c r="D286" i="102"/>
  <c r="C286" i="102"/>
  <c r="B286" i="102"/>
  <c r="Y285" i="102"/>
  <c r="T285" i="102"/>
  <c r="O285" i="102"/>
  <c r="J285" i="102"/>
  <c r="E285" i="102"/>
  <c r="Y284" i="102"/>
  <c r="T284" i="102"/>
  <c r="O284" i="102"/>
  <c r="J284" i="102"/>
  <c r="E284" i="102"/>
  <c r="X275" i="102"/>
  <c r="W275" i="102"/>
  <c r="V275" i="102"/>
  <c r="X274" i="102"/>
  <c r="W274" i="102"/>
  <c r="V274" i="102"/>
  <c r="S275" i="102"/>
  <c r="R275" i="102"/>
  <c r="Q275" i="102"/>
  <c r="S274" i="102"/>
  <c r="R274" i="102"/>
  <c r="Q274" i="102"/>
  <c r="N275" i="102"/>
  <c r="M275" i="102"/>
  <c r="L275" i="102"/>
  <c r="N274" i="102"/>
  <c r="M274" i="102"/>
  <c r="L274" i="102"/>
  <c r="I275" i="102"/>
  <c r="H275" i="102"/>
  <c r="G275" i="102"/>
  <c r="I274" i="102"/>
  <c r="H274" i="102"/>
  <c r="G274" i="102"/>
  <c r="B275" i="102"/>
  <c r="C275" i="102"/>
  <c r="D275" i="102"/>
  <c r="C274" i="102"/>
  <c r="D274" i="102"/>
  <c r="B274" i="102"/>
  <c r="X271" i="102"/>
  <c r="W271" i="102"/>
  <c r="V271" i="102"/>
  <c r="S271" i="102"/>
  <c r="R271" i="102"/>
  <c r="Q271" i="102"/>
  <c r="N271" i="102"/>
  <c r="M271" i="102"/>
  <c r="L271" i="102"/>
  <c r="I271" i="102"/>
  <c r="H271" i="102"/>
  <c r="G271" i="102"/>
  <c r="D271" i="102"/>
  <c r="C271" i="102"/>
  <c r="B271" i="102"/>
  <c r="Y270" i="102"/>
  <c r="T270" i="102"/>
  <c r="O270" i="102"/>
  <c r="J270" i="102"/>
  <c r="E270" i="102"/>
  <c r="Y269" i="102"/>
  <c r="T269" i="102"/>
  <c r="O269" i="102"/>
  <c r="J269" i="102"/>
  <c r="E269" i="102"/>
  <c r="X266" i="102"/>
  <c r="W266" i="102"/>
  <c r="V266" i="102"/>
  <c r="S266" i="102"/>
  <c r="R266" i="102"/>
  <c r="Q266" i="102"/>
  <c r="N266" i="102"/>
  <c r="M266" i="102"/>
  <c r="L266" i="102"/>
  <c r="I266" i="102"/>
  <c r="H266" i="102"/>
  <c r="G266" i="102"/>
  <c r="D266" i="102"/>
  <c r="C266" i="102"/>
  <c r="B266" i="102"/>
  <c r="Y265" i="102"/>
  <c r="T265" i="102"/>
  <c r="O265" i="102"/>
  <c r="J265" i="102"/>
  <c r="E265" i="102"/>
  <c r="Y264" i="102"/>
  <c r="T264" i="102"/>
  <c r="O264" i="102"/>
  <c r="J264" i="102"/>
  <c r="E264" i="102"/>
  <c r="X261" i="102"/>
  <c r="W261" i="102"/>
  <c r="V261" i="102"/>
  <c r="S261" i="102"/>
  <c r="R261" i="102"/>
  <c r="Q261" i="102"/>
  <c r="N261" i="102"/>
  <c r="M261" i="102"/>
  <c r="L261" i="102"/>
  <c r="I261" i="102"/>
  <c r="H261" i="102"/>
  <c r="G261" i="102"/>
  <c r="D261" i="102"/>
  <c r="C261" i="102"/>
  <c r="B261" i="102"/>
  <c r="Y260" i="102"/>
  <c r="T260" i="102"/>
  <c r="O260" i="102"/>
  <c r="J260" i="102"/>
  <c r="E260" i="102"/>
  <c r="Y259" i="102"/>
  <c r="T259" i="102"/>
  <c r="O259" i="102"/>
  <c r="J259" i="102"/>
  <c r="E259" i="102"/>
  <c r="X256" i="102"/>
  <c r="W256" i="102"/>
  <c r="V256" i="102"/>
  <c r="S256" i="102"/>
  <c r="R256" i="102"/>
  <c r="Q256" i="102"/>
  <c r="N256" i="102"/>
  <c r="M256" i="102"/>
  <c r="L256" i="102"/>
  <c r="I256" i="102"/>
  <c r="H256" i="102"/>
  <c r="G256" i="102"/>
  <c r="D256" i="102"/>
  <c r="C256" i="102"/>
  <c r="B256" i="102"/>
  <c r="Y255" i="102"/>
  <c r="T255" i="102"/>
  <c r="O255" i="102"/>
  <c r="J255" i="102"/>
  <c r="E255" i="102"/>
  <c r="Y254" i="102"/>
  <c r="T254" i="102"/>
  <c r="O254" i="102"/>
  <c r="J254" i="102"/>
  <c r="E254" i="102"/>
  <c r="X251" i="102"/>
  <c r="W251" i="102"/>
  <c r="V251" i="102"/>
  <c r="S251" i="102"/>
  <c r="R251" i="102"/>
  <c r="Q251" i="102"/>
  <c r="N251" i="102"/>
  <c r="M251" i="102"/>
  <c r="L251" i="102"/>
  <c r="I251" i="102"/>
  <c r="H251" i="102"/>
  <c r="G251" i="102"/>
  <c r="D251" i="102"/>
  <c r="C251" i="102"/>
  <c r="B251" i="102"/>
  <c r="Y250" i="102"/>
  <c r="T250" i="102"/>
  <c r="O250" i="102"/>
  <c r="J250" i="102"/>
  <c r="E250" i="102"/>
  <c r="Y249" i="102"/>
  <c r="T249" i="102"/>
  <c r="O249" i="102"/>
  <c r="J249" i="102"/>
  <c r="E249" i="102"/>
  <c r="B239" i="102"/>
  <c r="B236" i="102"/>
  <c r="E234" i="102"/>
  <c r="X240" i="102"/>
  <c r="W240" i="102"/>
  <c r="V240" i="102"/>
  <c r="S240" i="102"/>
  <c r="R240" i="102"/>
  <c r="Q240" i="102"/>
  <c r="N240" i="102"/>
  <c r="M240" i="102"/>
  <c r="L240" i="102"/>
  <c r="I240" i="102"/>
  <c r="H240" i="102"/>
  <c r="G240" i="102"/>
  <c r="D240" i="102"/>
  <c r="C240" i="102"/>
  <c r="B240" i="102"/>
  <c r="X239" i="102"/>
  <c r="W239" i="102"/>
  <c r="V239" i="102"/>
  <c r="S239" i="102"/>
  <c r="R239" i="102"/>
  <c r="Q239" i="102"/>
  <c r="N239" i="102"/>
  <c r="M239" i="102"/>
  <c r="L239" i="102"/>
  <c r="I239" i="102"/>
  <c r="H239" i="102"/>
  <c r="G239" i="102"/>
  <c r="D239" i="102"/>
  <c r="C239" i="102"/>
  <c r="X236" i="102"/>
  <c r="W236" i="102"/>
  <c r="V236" i="102"/>
  <c r="S236" i="102"/>
  <c r="R236" i="102"/>
  <c r="Q236" i="102"/>
  <c r="N236" i="102"/>
  <c r="M236" i="102"/>
  <c r="L236" i="102"/>
  <c r="I236" i="102"/>
  <c r="H236" i="102"/>
  <c r="G236" i="102"/>
  <c r="D236" i="102"/>
  <c r="C236" i="102"/>
  <c r="Y235" i="102"/>
  <c r="T235" i="102"/>
  <c r="O235" i="102"/>
  <c r="J235" i="102"/>
  <c r="E235" i="102"/>
  <c r="Y234" i="102"/>
  <c r="T234" i="102"/>
  <c r="O234" i="102"/>
  <c r="J234" i="102"/>
  <c r="X231" i="102"/>
  <c r="W231" i="102"/>
  <c r="V231" i="102"/>
  <c r="S231" i="102"/>
  <c r="R231" i="102"/>
  <c r="Q231" i="102"/>
  <c r="N231" i="102"/>
  <c r="M231" i="102"/>
  <c r="L231" i="102"/>
  <c r="I231" i="102"/>
  <c r="H231" i="102"/>
  <c r="G231" i="102"/>
  <c r="D231" i="102"/>
  <c r="C231" i="102"/>
  <c r="B231" i="102"/>
  <c r="Y230" i="102"/>
  <c r="T230" i="102"/>
  <c r="O230" i="102"/>
  <c r="J230" i="102"/>
  <c r="E230" i="102"/>
  <c r="Y229" i="102"/>
  <c r="T229" i="102"/>
  <c r="O229" i="102"/>
  <c r="J229" i="102"/>
  <c r="E229" i="102"/>
  <c r="X226" i="102"/>
  <c r="W226" i="102"/>
  <c r="V226" i="102"/>
  <c r="S226" i="102"/>
  <c r="R226" i="102"/>
  <c r="Q226" i="102"/>
  <c r="N226" i="102"/>
  <c r="M226" i="102"/>
  <c r="L226" i="102"/>
  <c r="I226" i="102"/>
  <c r="H226" i="102"/>
  <c r="G226" i="102"/>
  <c r="D226" i="102"/>
  <c r="C226" i="102"/>
  <c r="B226" i="102"/>
  <c r="Y225" i="102"/>
  <c r="T225" i="102"/>
  <c r="O225" i="102"/>
  <c r="J225" i="102"/>
  <c r="E225" i="102"/>
  <c r="Y224" i="102"/>
  <c r="T224" i="102"/>
  <c r="O224" i="102"/>
  <c r="J224" i="102"/>
  <c r="E224" i="102"/>
  <c r="X215" i="102"/>
  <c r="W215" i="102"/>
  <c r="V215" i="102"/>
  <c r="S215" i="102"/>
  <c r="R215" i="102"/>
  <c r="Q215" i="102"/>
  <c r="N215" i="102"/>
  <c r="M215" i="102"/>
  <c r="L215" i="102"/>
  <c r="I215" i="102"/>
  <c r="H215" i="102"/>
  <c r="G215" i="102"/>
  <c r="D215" i="102"/>
  <c r="C215" i="102"/>
  <c r="B215" i="102"/>
  <c r="X214" i="102"/>
  <c r="W214" i="102"/>
  <c r="V214" i="102"/>
  <c r="S214" i="102"/>
  <c r="R214" i="102"/>
  <c r="Q214" i="102"/>
  <c r="N214" i="102"/>
  <c r="M214" i="102"/>
  <c r="L214" i="102"/>
  <c r="I214" i="102"/>
  <c r="H214" i="102"/>
  <c r="G214" i="102"/>
  <c r="D214" i="102"/>
  <c r="C214" i="102"/>
  <c r="B214" i="102"/>
  <c r="X211" i="102"/>
  <c r="W211" i="102"/>
  <c r="V211" i="102"/>
  <c r="S211" i="102"/>
  <c r="R211" i="102"/>
  <c r="Q211" i="102"/>
  <c r="N211" i="102"/>
  <c r="M211" i="102"/>
  <c r="L211" i="102"/>
  <c r="I211" i="102"/>
  <c r="H211" i="102"/>
  <c r="G211" i="102"/>
  <c r="D211" i="102"/>
  <c r="C211" i="102"/>
  <c r="B211" i="102"/>
  <c r="Y210" i="102"/>
  <c r="T210" i="102"/>
  <c r="O210" i="102"/>
  <c r="J210" i="102"/>
  <c r="E210" i="102"/>
  <c r="Y209" i="102"/>
  <c r="T209" i="102"/>
  <c r="O209" i="102"/>
  <c r="J209" i="102"/>
  <c r="E209" i="102"/>
  <c r="X206" i="102"/>
  <c r="W206" i="102"/>
  <c r="V206" i="102"/>
  <c r="S206" i="102"/>
  <c r="R206" i="102"/>
  <c r="Q206" i="102"/>
  <c r="N206" i="102"/>
  <c r="M206" i="102"/>
  <c r="L206" i="102"/>
  <c r="I206" i="102"/>
  <c r="H206" i="102"/>
  <c r="G206" i="102"/>
  <c r="D206" i="102"/>
  <c r="C206" i="102"/>
  <c r="B206" i="102"/>
  <c r="Y205" i="102"/>
  <c r="T205" i="102"/>
  <c r="O205" i="102"/>
  <c r="J205" i="102"/>
  <c r="E205" i="102"/>
  <c r="Y204" i="102"/>
  <c r="T204" i="102"/>
  <c r="O204" i="102"/>
  <c r="J204" i="102"/>
  <c r="E204" i="102"/>
  <c r="X201" i="102"/>
  <c r="W201" i="102"/>
  <c r="V201" i="102"/>
  <c r="S201" i="102"/>
  <c r="R201" i="102"/>
  <c r="Q201" i="102"/>
  <c r="N201" i="102"/>
  <c r="M201" i="102"/>
  <c r="L201" i="102"/>
  <c r="I201" i="102"/>
  <c r="H201" i="102"/>
  <c r="G201" i="102"/>
  <c r="D201" i="102"/>
  <c r="C201" i="102"/>
  <c r="B201" i="102"/>
  <c r="Y200" i="102"/>
  <c r="T200" i="102"/>
  <c r="O200" i="102"/>
  <c r="J200" i="102"/>
  <c r="E200" i="102"/>
  <c r="Y199" i="102"/>
  <c r="T199" i="102"/>
  <c r="O199" i="102"/>
  <c r="J199" i="102"/>
  <c r="E199" i="102"/>
  <c r="B189" i="102"/>
  <c r="X190" i="102"/>
  <c r="W190" i="102"/>
  <c r="V190" i="102"/>
  <c r="S190" i="102"/>
  <c r="R190" i="102"/>
  <c r="Q190" i="102"/>
  <c r="N190" i="102"/>
  <c r="M190" i="102"/>
  <c r="L190" i="102"/>
  <c r="I190" i="102"/>
  <c r="H190" i="102"/>
  <c r="G190" i="102"/>
  <c r="D190" i="102"/>
  <c r="C190" i="102"/>
  <c r="B190" i="102"/>
  <c r="X189" i="102"/>
  <c r="W189" i="102"/>
  <c r="V189" i="102"/>
  <c r="S189" i="102"/>
  <c r="R189" i="102"/>
  <c r="Q189" i="102"/>
  <c r="N189" i="102"/>
  <c r="M189" i="102"/>
  <c r="L189" i="102"/>
  <c r="I189" i="102"/>
  <c r="H189" i="102"/>
  <c r="G189" i="102"/>
  <c r="D189" i="102"/>
  <c r="C189" i="102"/>
  <c r="X186" i="102"/>
  <c r="W186" i="102"/>
  <c r="V186" i="102"/>
  <c r="S186" i="102"/>
  <c r="R186" i="102"/>
  <c r="Q186" i="102"/>
  <c r="N186" i="102"/>
  <c r="M186" i="102"/>
  <c r="L186" i="102"/>
  <c r="I186" i="102"/>
  <c r="H186" i="102"/>
  <c r="G186" i="102"/>
  <c r="D186" i="102"/>
  <c r="C186" i="102"/>
  <c r="B186" i="102"/>
  <c r="Y185" i="102"/>
  <c r="T185" i="102"/>
  <c r="O185" i="102"/>
  <c r="J185" i="102"/>
  <c r="E185" i="102"/>
  <c r="Y184" i="102"/>
  <c r="T184" i="102"/>
  <c r="O184" i="102"/>
  <c r="J184" i="102"/>
  <c r="E184" i="102"/>
  <c r="X181" i="102"/>
  <c r="W181" i="102"/>
  <c r="V181" i="102"/>
  <c r="S181" i="102"/>
  <c r="R181" i="102"/>
  <c r="Q181" i="102"/>
  <c r="N181" i="102"/>
  <c r="M181" i="102"/>
  <c r="L181" i="102"/>
  <c r="I181" i="102"/>
  <c r="H181" i="102"/>
  <c r="G181" i="102"/>
  <c r="D181" i="102"/>
  <c r="C181" i="102"/>
  <c r="B181" i="102"/>
  <c r="Y180" i="102"/>
  <c r="T180" i="102"/>
  <c r="O180" i="102"/>
  <c r="J180" i="102"/>
  <c r="E180" i="102"/>
  <c r="Y179" i="102"/>
  <c r="T179" i="102"/>
  <c r="O179" i="102"/>
  <c r="J179" i="102"/>
  <c r="E179" i="102"/>
  <c r="X176" i="102"/>
  <c r="W176" i="102"/>
  <c r="V176" i="102"/>
  <c r="S176" i="102"/>
  <c r="R176" i="102"/>
  <c r="Q176" i="102"/>
  <c r="N176" i="102"/>
  <c r="M176" i="102"/>
  <c r="L176" i="102"/>
  <c r="I176" i="102"/>
  <c r="H176" i="102"/>
  <c r="G176" i="102"/>
  <c r="D176" i="102"/>
  <c r="C176" i="102"/>
  <c r="B176" i="102"/>
  <c r="Y175" i="102"/>
  <c r="T175" i="102"/>
  <c r="O175" i="102"/>
  <c r="J175" i="102"/>
  <c r="E175" i="102"/>
  <c r="Y174" i="102"/>
  <c r="T174" i="102"/>
  <c r="O174" i="102"/>
  <c r="J174" i="102"/>
  <c r="E174" i="102"/>
  <c r="X166" i="102"/>
  <c r="W166" i="102"/>
  <c r="V166" i="102"/>
  <c r="S166" i="102"/>
  <c r="R166" i="102"/>
  <c r="Q166" i="102"/>
  <c r="N166" i="102"/>
  <c r="M166" i="102"/>
  <c r="L166" i="102"/>
  <c r="I166" i="102"/>
  <c r="H166" i="102"/>
  <c r="G166" i="102"/>
  <c r="D166" i="102"/>
  <c r="C166" i="102"/>
  <c r="B166" i="102"/>
  <c r="Y165" i="102"/>
  <c r="T165" i="102"/>
  <c r="O165" i="102"/>
  <c r="J165" i="102"/>
  <c r="E165" i="102"/>
  <c r="Y164" i="102"/>
  <c r="T164" i="102"/>
  <c r="O164" i="102"/>
  <c r="J164" i="102"/>
  <c r="E164" i="102"/>
  <c r="X155" i="102"/>
  <c r="W155" i="102"/>
  <c r="V155" i="102"/>
  <c r="X154" i="102"/>
  <c r="W154" i="102"/>
  <c r="V154" i="102"/>
  <c r="S155" i="102"/>
  <c r="R155" i="102"/>
  <c r="Q155" i="102"/>
  <c r="S154" i="102"/>
  <c r="R154" i="102"/>
  <c r="Q154" i="102"/>
  <c r="N155" i="102"/>
  <c r="M155" i="102"/>
  <c r="L155" i="102"/>
  <c r="N154" i="102"/>
  <c r="M154" i="102"/>
  <c r="L154" i="102"/>
  <c r="I155" i="102"/>
  <c r="H155" i="102"/>
  <c r="G155" i="102"/>
  <c r="I154" i="102"/>
  <c r="H154" i="102"/>
  <c r="G154" i="102"/>
  <c r="B155" i="102"/>
  <c r="C155" i="102"/>
  <c r="D155" i="102"/>
  <c r="C154" i="102"/>
  <c r="D154" i="102"/>
  <c r="B154" i="102"/>
  <c r="B151" i="102"/>
  <c r="X151" i="102"/>
  <c r="W151" i="102"/>
  <c r="V151" i="102"/>
  <c r="S151" i="102"/>
  <c r="R151" i="102"/>
  <c r="Q151" i="102"/>
  <c r="N151" i="102"/>
  <c r="M151" i="102"/>
  <c r="L151" i="102"/>
  <c r="I151" i="102"/>
  <c r="H151" i="102"/>
  <c r="G151" i="102"/>
  <c r="D151" i="102"/>
  <c r="C151" i="102"/>
  <c r="Y150" i="102"/>
  <c r="T150" i="102"/>
  <c r="O150" i="102"/>
  <c r="J150" i="102"/>
  <c r="E150" i="102"/>
  <c r="Y149" i="102"/>
  <c r="T149" i="102"/>
  <c r="O149" i="102"/>
  <c r="J149" i="102"/>
  <c r="E149" i="102"/>
  <c r="X146" i="102"/>
  <c r="W146" i="102"/>
  <c r="V146" i="102"/>
  <c r="S146" i="102"/>
  <c r="R146" i="102"/>
  <c r="Q146" i="102"/>
  <c r="N146" i="102"/>
  <c r="M146" i="102"/>
  <c r="L146" i="102"/>
  <c r="I146" i="102"/>
  <c r="H146" i="102"/>
  <c r="G146" i="102"/>
  <c r="D146" i="102"/>
  <c r="C146" i="102"/>
  <c r="B146" i="102"/>
  <c r="Y145" i="102"/>
  <c r="T145" i="102"/>
  <c r="O145" i="102"/>
  <c r="J145" i="102"/>
  <c r="E145" i="102"/>
  <c r="Y144" i="102"/>
  <c r="T144" i="102"/>
  <c r="O144" i="102"/>
  <c r="J144" i="102"/>
  <c r="E144" i="102"/>
  <c r="X141" i="102"/>
  <c r="W141" i="102"/>
  <c r="V141" i="102"/>
  <c r="S141" i="102"/>
  <c r="R141" i="102"/>
  <c r="Q141" i="102"/>
  <c r="N141" i="102"/>
  <c r="M141" i="102"/>
  <c r="L141" i="102"/>
  <c r="I141" i="102"/>
  <c r="H141" i="102"/>
  <c r="G141" i="102"/>
  <c r="D141" i="102"/>
  <c r="C141" i="102"/>
  <c r="B141" i="102"/>
  <c r="Y140" i="102"/>
  <c r="T140" i="102"/>
  <c r="O140" i="102"/>
  <c r="J140" i="102"/>
  <c r="E140" i="102"/>
  <c r="Y139" i="102"/>
  <c r="T139" i="102"/>
  <c r="O139" i="102"/>
  <c r="J139" i="102"/>
  <c r="E139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E134" i="102"/>
  <c r="X131" i="102"/>
  <c r="W131" i="102"/>
  <c r="V131" i="102"/>
  <c r="S131" i="102"/>
  <c r="R131" i="102"/>
  <c r="Q131" i="102"/>
  <c r="N131" i="102"/>
  <c r="M131" i="102"/>
  <c r="L131" i="102"/>
  <c r="I131" i="102"/>
  <c r="H131" i="102"/>
  <c r="G131" i="102"/>
  <c r="D131" i="102"/>
  <c r="C131" i="102"/>
  <c r="B131" i="102"/>
  <c r="Y130" i="102"/>
  <c r="T130" i="102"/>
  <c r="O130" i="102"/>
  <c r="J130" i="102"/>
  <c r="E130" i="102"/>
  <c r="Y129" i="102"/>
  <c r="T129" i="102"/>
  <c r="O129" i="102"/>
  <c r="J129" i="102"/>
  <c r="E129" i="102"/>
  <c r="X126" i="102"/>
  <c r="W126" i="102"/>
  <c r="V126" i="102"/>
  <c r="S126" i="102"/>
  <c r="R126" i="102"/>
  <c r="Q126" i="102"/>
  <c r="N126" i="102"/>
  <c r="M126" i="102"/>
  <c r="L126" i="102"/>
  <c r="I126" i="102"/>
  <c r="H126" i="102"/>
  <c r="G126" i="102"/>
  <c r="D126" i="102"/>
  <c r="C126" i="102"/>
  <c r="B126" i="102"/>
  <c r="Y125" i="102"/>
  <c r="T125" i="102"/>
  <c r="O125" i="102"/>
  <c r="J125" i="102"/>
  <c r="E125" i="102"/>
  <c r="Y124" i="102"/>
  <c r="T124" i="102"/>
  <c r="O124" i="102"/>
  <c r="J124" i="102"/>
  <c r="E124" i="102"/>
  <c r="X121" i="102"/>
  <c r="W121" i="102"/>
  <c r="V121" i="102"/>
  <c r="S121" i="102"/>
  <c r="R121" i="102"/>
  <c r="Q121" i="102"/>
  <c r="N121" i="102"/>
  <c r="M121" i="102"/>
  <c r="L121" i="102"/>
  <c r="I121" i="102"/>
  <c r="H121" i="102"/>
  <c r="G121" i="102"/>
  <c r="D121" i="102"/>
  <c r="C121" i="102"/>
  <c r="B121" i="102"/>
  <c r="Y120" i="102"/>
  <c r="T120" i="102"/>
  <c r="O120" i="102"/>
  <c r="J120" i="102"/>
  <c r="E120" i="102"/>
  <c r="Y119" i="102"/>
  <c r="T119" i="102"/>
  <c r="O119" i="102"/>
  <c r="J119" i="102"/>
  <c r="E119" i="102"/>
  <c r="X116" i="102"/>
  <c r="W116" i="102"/>
  <c r="V116" i="102"/>
  <c r="S116" i="102"/>
  <c r="R116" i="102"/>
  <c r="Q116" i="102"/>
  <c r="N116" i="102"/>
  <c r="M116" i="102"/>
  <c r="L116" i="102"/>
  <c r="I116" i="102"/>
  <c r="H116" i="102"/>
  <c r="G116" i="102"/>
  <c r="D116" i="102"/>
  <c r="C116" i="102"/>
  <c r="B116" i="102"/>
  <c r="Y115" i="102"/>
  <c r="T115" i="102"/>
  <c r="O115" i="102"/>
  <c r="J115" i="102"/>
  <c r="E115" i="102"/>
  <c r="Y114" i="102"/>
  <c r="T114" i="102"/>
  <c r="O114" i="102"/>
  <c r="J114" i="102"/>
  <c r="E114" i="102"/>
  <c r="X111" i="102"/>
  <c r="W111" i="102"/>
  <c r="V111" i="102"/>
  <c r="S111" i="102"/>
  <c r="R111" i="102"/>
  <c r="Q111" i="102"/>
  <c r="N111" i="102"/>
  <c r="M111" i="102"/>
  <c r="L111" i="102"/>
  <c r="I111" i="102"/>
  <c r="H111" i="102"/>
  <c r="G111" i="102"/>
  <c r="D111" i="102"/>
  <c r="C111" i="102"/>
  <c r="B111" i="102"/>
  <c r="Y110" i="102"/>
  <c r="T110" i="102"/>
  <c r="O110" i="102"/>
  <c r="J110" i="102"/>
  <c r="E110" i="102"/>
  <c r="Y109" i="102"/>
  <c r="T109" i="102"/>
  <c r="O109" i="102"/>
  <c r="J109" i="102"/>
  <c r="E109" i="102"/>
  <c r="X106" i="102"/>
  <c r="W106" i="102"/>
  <c r="V106" i="102"/>
  <c r="S106" i="102"/>
  <c r="R106" i="102"/>
  <c r="Q106" i="102"/>
  <c r="N106" i="102"/>
  <c r="M106" i="102"/>
  <c r="L106" i="102"/>
  <c r="I106" i="102"/>
  <c r="H106" i="102"/>
  <c r="G106" i="102"/>
  <c r="D106" i="102"/>
  <c r="C106" i="102"/>
  <c r="B106" i="102"/>
  <c r="Y105" i="102"/>
  <c r="T105" i="102"/>
  <c r="O105" i="102"/>
  <c r="J105" i="102"/>
  <c r="E105" i="102"/>
  <c r="Y104" i="102"/>
  <c r="T104" i="102"/>
  <c r="O104" i="102"/>
  <c r="J104" i="102"/>
  <c r="E104" i="102"/>
  <c r="X101" i="102"/>
  <c r="W101" i="102"/>
  <c r="V101" i="102"/>
  <c r="S101" i="102"/>
  <c r="R101" i="102"/>
  <c r="Q101" i="102"/>
  <c r="N101" i="102"/>
  <c r="M101" i="102"/>
  <c r="L101" i="102"/>
  <c r="I101" i="102"/>
  <c r="H101" i="102"/>
  <c r="G101" i="102"/>
  <c r="D101" i="102"/>
  <c r="C101" i="102"/>
  <c r="B101" i="102"/>
  <c r="Y100" i="102"/>
  <c r="T100" i="102"/>
  <c r="O100" i="102"/>
  <c r="J100" i="102"/>
  <c r="E100" i="102"/>
  <c r="Y99" i="102"/>
  <c r="T99" i="102"/>
  <c r="O99" i="102"/>
  <c r="J99" i="102"/>
  <c r="E99" i="102"/>
  <c r="X96" i="102"/>
  <c r="W96" i="102"/>
  <c r="V96" i="102"/>
  <c r="S96" i="102"/>
  <c r="R96" i="102"/>
  <c r="Q96" i="102"/>
  <c r="N96" i="102"/>
  <c r="M96" i="102"/>
  <c r="L96" i="102"/>
  <c r="I96" i="102"/>
  <c r="H96" i="102"/>
  <c r="G96" i="102"/>
  <c r="D96" i="102"/>
  <c r="C96" i="102"/>
  <c r="B96" i="102"/>
  <c r="Y95" i="102"/>
  <c r="T95" i="102"/>
  <c r="O95" i="102"/>
  <c r="J95" i="102"/>
  <c r="E95" i="102"/>
  <c r="Y94" i="102"/>
  <c r="T94" i="102"/>
  <c r="O94" i="102"/>
  <c r="J94" i="102"/>
  <c r="E94" i="102"/>
  <c r="X91" i="102"/>
  <c r="W91" i="102"/>
  <c r="V91" i="102"/>
  <c r="S91" i="102"/>
  <c r="R91" i="102"/>
  <c r="Q91" i="102"/>
  <c r="N91" i="102"/>
  <c r="M91" i="102"/>
  <c r="L91" i="102"/>
  <c r="I91" i="102"/>
  <c r="H91" i="102"/>
  <c r="G91" i="102"/>
  <c r="D91" i="102"/>
  <c r="C91" i="102"/>
  <c r="B91" i="102"/>
  <c r="Y90" i="102"/>
  <c r="T90" i="102"/>
  <c r="O90" i="102"/>
  <c r="J90" i="102"/>
  <c r="E90" i="102"/>
  <c r="Y89" i="102"/>
  <c r="T89" i="102"/>
  <c r="O89" i="102"/>
  <c r="J89" i="102"/>
  <c r="E89" i="102"/>
  <c r="X86" i="102"/>
  <c r="W86" i="102"/>
  <c r="V86" i="102"/>
  <c r="S86" i="102"/>
  <c r="R86" i="102"/>
  <c r="Q86" i="102"/>
  <c r="N86" i="102"/>
  <c r="M86" i="102"/>
  <c r="L86" i="102"/>
  <c r="I86" i="102"/>
  <c r="H86" i="102"/>
  <c r="G86" i="102"/>
  <c r="D86" i="102"/>
  <c r="C86" i="102"/>
  <c r="B86" i="102"/>
  <c r="Y85" i="102"/>
  <c r="T85" i="102"/>
  <c r="O85" i="102"/>
  <c r="J85" i="102"/>
  <c r="E85" i="102"/>
  <c r="Y84" i="102"/>
  <c r="T84" i="102"/>
  <c r="O84" i="102"/>
  <c r="J84" i="102"/>
  <c r="E84" i="102"/>
  <c r="X81" i="102"/>
  <c r="W81" i="102"/>
  <c r="V81" i="102"/>
  <c r="S81" i="102"/>
  <c r="R81" i="102"/>
  <c r="Q81" i="102"/>
  <c r="N81" i="102"/>
  <c r="M81" i="102"/>
  <c r="L81" i="102"/>
  <c r="I81" i="102"/>
  <c r="H81" i="102"/>
  <c r="G81" i="102"/>
  <c r="D81" i="102"/>
  <c r="C81" i="102"/>
  <c r="B81" i="102"/>
  <c r="Y80" i="102"/>
  <c r="T80" i="102"/>
  <c r="O80" i="102"/>
  <c r="J80" i="102"/>
  <c r="E80" i="102"/>
  <c r="Y79" i="102"/>
  <c r="T79" i="102"/>
  <c r="O79" i="102"/>
  <c r="J79" i="102"/>
  <c r="E79" i="102"/>
  <c r="X76" i="102"/>
  <c r="W76" i="102"/>
  <c r="V76" i="102"/>
  <c r="S76" i="102"/>
  <c r="R76" i="102"/>
  <c r="Q76" i="102"/>
  <c r="N76" i="102"/>
  <c r="M76" i="102"/>
  <c r="L76" i="102"/>
  <c r="I76" i="102"/>
  <c r="H76" i="102"/>
  <c r="G76" i="102"/>
  <c r="D76" i="102"/>
  <c r="C76" i="102"/>
  <c r="B76" i="102"/>
  <c r="Y75" i="102"/>
  <c r="T75" i="102"/>
  <c r="O75" i="102"/>
  <c r="J75" i="102"/>
  <c r="E75" i="102"/>
  <c r="Y74" i="102"/>
  <c r="T74" i="102"/>
  <c r="O74" i="102"/>
  <c r="J74" i="102"/>
  <c r="E74" i="102"/>
  <c r="X65" i="102"/>
  <c r="W65" i="102"/>
  <c r="V65" i="102"/>
  <c r="X64" i="102"/>
  <c r="W64" i="102"/>
  <c r="V64" i="102"/>
  <c r="S65" i="102"/>
  <c r="R65" i="102"/>
  <c r="Q65" i="102"/>
  <c r="S64" i="102"/>
  <c r="R64" i="102"/>
  <c r="Q64" i="102"/>
  <c r="N65" i="102"/>
  <c r="M65" i="102"/>
  <c r="L65" i="102"/>
  <c r="N64" i="102"/>
  <c r="M64" i="102"/>
  <c r="L64" i="102"/>
  <c r="I65" i="102"/>
  <c r="H65" i="102"/>
  <c r="G65" i="102"/>
  <c r="I64" i="102"/>
  <c r="H64" i="102"/>
  <c r="G64" i="102"/>
  <c r="B65" i="102"/>
  <c r="C65" i="102"/>
  <c r="D65" i="102"/>
  <c r="C64" i="102"/>
  <c r="D64" i="102"/>
  <c r="B64" i="102"/>
  <c r="X61" i="102"/>
  <c r="W61" i="102"/>
  <c r="V61" i="102"/>
  <c r="S61" i="102"/>
  <c r="R61" i="102"/>
  <c r="Q61" i="102"/>
  <c r="N61" i="102"/>
  <c r="M61" i="102"/>
  <c r="L61" i="102"/>
  <c r="I61" i="102"/>
  <c r="H61" i="102"/>
  <c r="G61" i="102"/>
  <c r="D61" i="102"/>
  <c r="C61" i="102"/>
  <c r="B61" i="102"/>
  <c r="Y60" i="102"/>
  <c r="T60" i="102"/>
  <c r="O60" i="102"/>
  <c r="J60" i="102"/>
  <c r="E60" i="102"/>
  <c r="Y59" i="102"/>
  <c r="T59" i="102"/>
  <c r="O59" i="102"/>
  <c r="J59" i="102"/>
  <c r="E59" i="102"/>
  <c r="X56" i="102"/>
  <c r="W56" i="102"/>
  <c r="V56" i="102"/>
  <c r="S56" i="102"/>
  <c r="R56" i="102"/>
  <c r="Q56" i="102"/>
  <c r="N56" i="102"/>
  <c r="M56" i="102"/>
  <c r="L56" i="102"/>
  <c r="I56" i="102"/>
  <c r="H56" i="102"/>
  <c r="G56" i="102"/>
  <c r="D56" i="102"/>
  <c r="C56" i="102"/>
  <c r="B56" i="102"/>
  <c r="Y55" i="102"/>
  <c r="T55" i="102"/>
  <c r="O55" i="102"/>
  <c r="J55" i="102"/>
  <c r="E55" i="102"/>
  <c r="Y54" i="102"/>
  <c r="T54" i="102"/>
  <c r="O54" i="102"/>
  <c r="J54" i="102"/>
  <c r="E54" i="102"/>
  <c r="X51" i="102"/>
  <c r="W51" i="102"/>
  <c r="V51" i="102"/>
  <c r="S51" i="102"/>
  <c r="R51" i="102"/>
  <c r="Q51" i="102"/>
  <c r="N51" i="102"/>
  <c r="M51" i="102"/>
  <c r="L51" i="102"/>
  <c r="I51" i="102"/>
  <c r="H51" i="102"/>
  <c r="G51" i="102"/>
  <c r="D51" i="102"/>
  <c r="C51" i="102"/>
  <c r="B51" i="102"/>
  <c r="Y50" i="102"/>
  <c r="T50" i="102"/>
  <c r="O50" i="102"/>
  <c r="J50" i="102"/>
  <c r="E50" i="102"/>
  <c r="Y49" i="102"/>
  <c r="T49" i="102"/>
  <c r="O49" i="102"/>
  <c r="J49" i="102"/>
  <c r="E49" i="102"/>
  <c r="X40" i="102"/>
  <c r="W40" i="102"/>
  <c r="V40" i="102"/>
  <c r="X39" i="102"/>
  <c r="W39" i="102"/>
  <c r="V39" i="102"/>
  <c r="S40" i="102"/>
  <c r="R40" i="102"/>
  <c r="Q40" i="102"/>
  <c r="S39" i="102"/>
  <c r="R39" i="102"/>
  <c r="Q39" i="102"/>
  <c r="N40" i="102"/>
  <c r="M40" i="102"/>
  <c r="L40" i="102"/>
  <c r="N39" i="102"/>
  <c r="M39" i="102"/>
  <c r="L39" i="102"/>
  <c r="I40" i="102"/>
  <c r="H40" i="102"/>
  <c r="G40" i="102"/>
  <c r="I39" i="102"/>
  <c r="H39" i="102"/>
  <c r="G39" i="102"/>
  <c r="B40" i="102"/>
  <c r="C40" i="102"/>
  <c r="D40" i="102"/>
  <c r="C39" i="102"/>
  <c r="D39" i="102"/>
  <c r="B39" i="102"/>
  <c r="X36" i="102"/>
  <c r="W36" i="102"/>
  <c r="V36" i="102"/>
  <c r="S36" i="102"/>
  <c r="R36" i="102"/>
  <c r="Q36" i="102"/>
  <c r="N36" i="102"/>
  <c r="M36" i="102"/>
  <c r="L36" i="102"/>
  <c r="I36" i="102"/>
  <c r="H36" i="102"/>
  <c r="G36" i="102"/>
  <c r="D36" i="102"/>
  <c r="C36" i="102"/>
  <c r="B36" i="102"/>
  <c r="Y35" i="102"/>
  <c r="T35" i="102"/>
  <c r="O35" i="102"/>
  <c r="J35" i="102"/>
  <c r="E35" i="102"/>
  <c r="Y34" i="102"/>
  <c r="T34" i="102"/>
  <c r="O34" i="102"/>
  <c r="J34" i="102"/>
  <c r="E34" i="102"/>
  <c r="X31" i="102"/>
  <c r="W31" i="102"/>
  <c r="V31" i="102"/>
  <c r="S31" i="102"/>
  <c r="R31" i="102"/>
  <c r="Q31" i="102"/>
  <c r="N31" i="102"/>
  <c r="M31" i="102"/>
  <c r="L31" i="102"/>
  <c r="I31" i="102"/>
  <c r="H31" i="102"/>
  <c r="G31" i="102"/>
  <c r="D31" i="102"/>
  <c r="C31" i="102"/>
  <c r="B31" i="102"/>
  <c r="Y30" i="102"/>
  <c r="T30" i="102"/>
  <c r="O30" i="102"/>
  <c r="J30" i="102"/>
  <c r="E30" i="102"/>
  <c r="Y29" i="102"/>
  <c r="T29" i="102"/>
  <c r="O29" i="102"/>
  <c r="J29" i="102"/>
  <c r="E29" i="102"/>
  <c r="X21" i="102"/>
  <c r="W21" i="102"/>
  <c r="V21" i="102"/>
  <c r="S21" i="102"/>
  <c r="R21" i="102"/>
  <c r="Q21" i="102"/>
  <c r="N21" i="102"/>
  <c r="M21" i="102"/>
  <c r="L21" i="102"/>
  <c r="I21" i="102"/>
  <c r="H21" i="102"/>
  <c r="G21" i="102"/>
  <c r="D21" i="102"/>
  <c r="C21" i="102"/>
  <c r="B21" i="102"/>
  <c r="Y20" i="102"/>
  <c r="T20" i="102"/>
  <c r="O20" i="102"/>
  <c r="J20" i="102"/>
  <c r="E20" i="102"/>
  <c r="Y19" i="102"/>
  <c r="T19" i="102"/>
  <c r="O19" i="102"/>
  <c r="J19" i="102"/>
  <c r="E19" i="102"/>
  <c r="X11" i="102"/>
  <c r="W11" i="102"/>
  <c r="V11" i="102"/>
  <c r="Y10" i="102"/>
  <c r="Y9" i="102"/>
  <c r="S11" i="102"/>
  <c r="R11" i="102"/>
  <c r="Q11" i="102"/>
  <c r="T10" i="102"/>
  <c r="T9" i="102"/>
  <c r="N11" i="102"/>
  <c r="M11" i="102"/>
  <c r="L11" i="102"/>
  <c r="O10" i="102"/>
  <c r="O9" i="102"/>
  <c r="I11" i="102"/>
  <c r="H11" i="102"/>
  <c r="G11" i="102"/>
  <c r="J10" i="102"/>
  <c r="J9" i="102"/>
  <c r="C11" i="102"/>
  <c r="D11" i="102"/>
  <c r="B11" i="102"/>
  <c r="E10" i="102"/>
  <c r="E9" i="102"/>
  <c r="J251" i="102" l="1"/>
  <c r="O425" i="102"/>
  <c r="Y425" i="102"/>
  <c r="O506" i="102"/>
  <c r="X426" i="102"/>
  <c r="T201" i="102"/>
  <c r="H66" i="102"/>
  <c r="G276" i="102"/>
  <c r="S41" i="102"/>
  <c r="E539" i="102"/>
  <c r="T39" i="102"/>
  <c r="O131" i="102"/>
  <c r="V321" i="102"/>
  <c r="T31" i="102"/>
  <c r="X156" i="102"/>
  <c r="Y155" i="102"/>
  <c r="J190" i="102"/>
  <c r="E206" i="102"/>
  <c r="E274" i="102"/>
  <c r="H241" i="102"/>
  <c r="N276" i="102"/>
  <c r="S566" i="102"/>
  <c r="N566" i="102"/>
  <c r="D41" i="102"/>
  <c r="W41" i="102"/>
  <c r="C66" i="102"/>
  <c r="Y76" i="102"/>
  <c r="Q156" i="102"/>
  <c r="J306" i="102"/>
  <c r="E496" i="102"/>
  <c r="T565" i="102"/>
  <c r="T381" i="102"/>
  <c r="O396" i="102"/>
  <c r="C41" i="102"/>
  <c r="X41" i="102"/>
  <c r="E214" i="102"/>
  <c r="T215" i="102"/>
  <c r="C276" i="102"/>
  <c r="Q41" i="102"/>
  <c r="E151" i="102"/>
  <c r="B156" i="102"/>
  <c r="W296" i="102"/>
  <c r="H321" i="102"/>
  <c r="I566" i="102"/>
  <c r="D156" i="102"/>
  <c r="T166" i="102"/>
  <c r="V241" i="102"/>
  <c r="O286" i="102"/>
  <c r="C296" i="102"/>
  <c r="I321" i="102"/>
  <c r="O536" i="102"/>
  <c r="N541" i="102"/>
  <c r="Y295" i="102"/>
  <c r="O56" i="102"/>
  <c r="M276" i="102"/>
  <c r="J401" i="102"/>
  <c r="E416" i="102"/>
  <c r="T11" i="102"/>
  <c r="E176" i="102"/>
  <c r="O236" i="102"/>
  <c r="Q296" i="102"/>
  <c r="T425" i="102"/>
  <c r="L511" i="102"/>
  <c r="M41" i="102"/>
  <c r="E56" i="102"/>
  <c r="S66" i="102"/>
  <c r="J81" i="102"/>
  <c r="J186" i="102"/>
  <c r="H276" i="102"/>
  <c r="O561" i="102"/>
  <c r="O416" i="102"/>
  <c r="N466" i="102"/>
  <c r="J146" i="102"/>
  <c r="J151" i="102"/>
  <c r="Y540" i="102"/>
  <c r="E36" i="102"/>
  <c r="M541" i="102"/>
  <c r="O39" i="102"/>
  <c r="O186" i="102"/>
  <c r="E465" i="102"/>
  <c r="L296" i="102"/>
  <c r="T316" i="102"/>
  <c r="B511" i="102"/>
  <c r="G466" i="102"/>
  <c r="Y451" i="102"/>
  <c r="R541" i="102"/>
  <c r="T261" i="102"/>
  <c r="O291" i="102"/>
  <c r="T465" i="102"/>
  <c r="J11" i="102"/>
  <c r="Y21" i="102"/>
  <c r="E39" i="102"/>
  <c r="I41" i="102"/>
  <c r="V41" i="102"/>
  <c r="E51" i="102"/>
  <c r="T101" i="102"/>
  <c r="E106" i="102"/>
  <c r="O116" i="102"/>
  <c r="M156" i="102"/>
  <c r="M191" i="102"/>
  <c r="E190" i="102"/>
  <c r="O201" i="102"/>
  <c r="I216" i="102"/>
  <c r="W216" i="102"/>
  <c r="O215" i="102"/>
  <c r="E240" i="102"/>
  <c r="E236" i="102"/>
  <c r="J256" i="102"/>
  <c r="T266" i="102"/>
  <c r="E271" i="102"/>
  <c r="E294" i="102"/>
  <c r="Y294" i="102"/>
  <c r="O316" i="102"/>
  <c r="E320" i="102"/>
  <c r="L346" i="102"/>
  <c r="X346" i="102"/>
  <c r="I371" i="102"/>
  <c r="W371" i="102"/>
  <c r="H511" i="102"/>
  <c r="H566" i="102"/>
  <c r="W566" i="102"/>
  <c r="T406" i="102"/>
  <c r="O421" i="102"/>
  <c r="C426" i="102"/>
  <c r="X541" i="102"/>
  <c r="Y186" i="102"/>
  <c r="B466" i="102"/>
  <c r="Y64" i="102"/>
  <c r="E76" i="102"/>
  <c r="T189" i="102"/>
  <c r="E201" i="102"/>
  <c r="E215" i="102"/>
  <c r="O231" i="102"/>
  <c r="T239" i="102"/>
  <c r="T331" i="102"/>
  <c r="E336" i="102"/>
  <c r="E356" i="102"/>
  <c r="O366" i="102"/>
  <c r="B371" i="102"/>
  <c r="E565" i="102"/>
  <c r="E381" i="102"/>
  <c r="O391" i="102"/>
  <c r="Y401" i="102"/>
  <c r="J406" i="102"/>
  <c r="J424" i="102"/>
  <c r="N426" i="102"/>
  <c r="O436" i="102"/>
  <c r="T451" i="102"/>
  <c r="T456" i="102"/>
  <c r="T461" i="102"/>
  <c r="G41" i="102"/>
  <c r="R296" i="102"/>
  <c r="H426" i="102"/>
  <c r="O36" i="102"/>
  <c r="J56" i="102"/>
  <c r="X66" i="102"/>
  <c r="E86" i="102"/>
  <c r="O86" i="102"/>
  <c r="O96" i="102"/>
  <c r="Y106" i="102"/>
  <c r="J111" i="102"/>
  <c r="O136" i="102"/>
  <c r="Y146" i="102"/>
  <c r="Y151" i="102"/>
  <c r="Y166" i="102"/>
  <c r="J176" i="102"/>
  <c r="Y275" i="102"/>
  <c r="I426" i="102"/>
  <c r="Y424" i="102"/>
  <c r="E436" i="102"/>
  <c r="Y456" i="102"/>
  <c r="J461" i="102"/>
  <c r="E65" i="102"/>
  <c r="Y65" i="102"/>
  <c r="J76" i="102"/>
  <c r="Y189" i="102"/>
  <c r="J201" i="102"/>
  <c r="T211" i="102"/>
  <c r="J215" i="102"/>
  <c r="E251" i="102"/>
  <c r="E275" i="102"/>
  <c r="T295" i="102"/>
  <c r="Y306" i="102"/>
  <c r="Y311" i="102"/>
  <c r="J316" i="102"/>
  <c r="Y345" i="102"/>
  <c r="J356" i="102"/>
  <c r="O401" i="102"/>
  <c r="Y416" i="102"/>
  <c r="D426" i="102"/>
  <c r="J425" i="102"/>
  <c r="J231" i="102"/>
  <c r="X371" i="102"/>
  <c r="E11" i="102"/>
  <c r="C191" i="102"/>
  <c r="C321" i="102"/>
  <c r="E155" i="102"/>
  <c r="M566" i="102"/>
  <c r="Y526" i="102"/>
  <c r="Y11" i="102"/>
  <c r="J21" i="102"/>
  <c r="Y39" i="102"/>
  <c r="T61" i="102"/>
  <c r="O101" i="102"/>
  <c r="Y111" i="102"/>
  <c r="Y121" i="102"/>
  <c r="J126" i="102"/>
  <c r="O141" i="102"/>
  <c r="J189" i="102"/>
  <c r="Y190" i="102"/>
  <c r="T206" i="102"/>
  <c r="T226" i="102"/>
  <c r="E231" i="102"/>
  <c r="G241" i="102"/>
  <c r="S241" i="102"/>
  <c r="O256" i="102"/>
  <c r="Y261" i="102"/>
  <c r="Y266" i="102"/>
  <c r="J271" i="102"/>
  <c r="Y274" i="102"/>
  <c r="J331" i="102"/>
  <c r="D346" i="102"/>
  <c r="R346" i="102"/>
  <c r="E366" i="102"/>
  <c r="C371" i="102"/>
  <c r="Q371" i="102"/>
  <c r="T496" i="102"/>
  <c r="E501" i="102"/>
  <c r="E509" i="102"/>
  <c r="T510" i="102"/>
  <c r="E551" i="102"/>
  <c r="E556" i="102"/>
  <c r="E564" i="102"/>
  <c r="E391" i="102"/>
  <c r="J465" i="102"/>
  <c r="X466" i="102"/>
  <c r="E486" i="102"/>
  <c r="T486" i="102"/>
  <c r="E521" i="102"/>
  <c r="O531" i="102"/>
  <c r="Y536" i="102"/>
  <c r="O539" i="102"/>
  <c r="S541" i="102"/>
  <c r="N321" i="102"/>
  <c r="J501" i="102"/>
  <c r="W511" i="102"/>
  <c r="N346" i="102"/>
  <c r="D241" i="102"/>
  <c r="L276" i="102"/>
  <c r="I296" i="102"/>
  <c r="M511" i="102"/>
  <c r="D541" i="102"/>
  <c r="M66" i="102"/>
  <c r="Y81" i="102"/>
  <c r="T91" i="102"/>
  <c r="O151" i="102"/>
  <c r="G156" i="102"/>
  <c r="N156" i="102"/>
  <c r="W276" i="102"/>
  <c r="M296" i="102"/>
  <c r="T366" i="102"/>
  <c r="J370" i="102"/>
  <c r="E506" i="102"/>
  <c r="T509" i="102"/>
  <c r="T551" i="102"/>
  <c r="E561" i="102"/>
  <c r="E441" i="102"/>
  <c r="Y461" i="102"/>
  <c r="D466" i="102"/>
  <c r="R466" i="102"/>
  <c r="Y465" i="102"/>
  <c r="J476" i="102"/>
  <c r="T521" i="102"/>
  <c r="I511" i="102"/>
  <c r="J556" i="102"/>
  <c r="O31" i="102"/>
  <c r="M216" i="102"/>
  <c r="M371" i="102"/>
  <c r="E31" i="102"/>
  <c r="D321" i="102"/>
  <c r="E40" i="102"/>
  <c r="J65" i="102"/>
  <c r="W66" i="102"/>
  <c r="Y91" i="102"/>
  <c r="J96" i="102"/>
  <c r="J136" i="102"/>
  <c r="E141" i="102"/>
  <c r="T146" i="102"/>
  <c r="T151" i="102"/>
  <c r="H156" i="102"/>
  <c r="O155" i="102"/>
  <c r="T155" i="102"/>
  <c r="O176" i="102"/>
  <c r="I191" i="102"/>
  <c r="S216" i="102"/>
  <c r="G296" i="102"/>
  <c r="N296" i="102"/>
  <c r="Y316" i="102"/>
  <c r="O320" i="102"/>
  <c r="Y336" i="102"/>
  <c r="Y356" i="102"/>
  <c r="Y370" i="102"/>
  <c r="T506" i="102"/>
  <c r="T561" i="102"/>
  <c r="E401" i="102"/>
  <c r="J416" i="102"/>
  <c r="T421" i="102"/>
  <c r="W426" i="102"/>
  <c r="J436" i="102"/>
  <c r="O464" i="102"/>
  <c r="S466" i="102"/>
  <c r="Y476" i="102"/>
  <c r="J486" i="102"/>
  <c r="G541" i="102"/>
  <c r="E306" i="102"/>
  <c r="T121" i="102"/>
  <c r="E331" i="102"/>
  <c r="B346" i="102"/>
  <c r="E186" i="102"/>
  <c r="R241" i="102"/>
  <c r="R321" i="102"/>
  <c r="T64" i="102"/>
  <c r="T76" i="102"/>
  <c r="Y126" i="102"/>
  <c r="Y131" i="102"/>
  <c r="Y136" i="102"/>
  <c r="J141" i="102"/>
  <c r="V156" i="102"/>
  <c r="E166" i="102"/>
  <c r="O181" i="102"/>
  <c r="X191" i="102"/>
  <c r="H216" i="102"/>
  <c r="T231" i="102"/>
  <c r="L241" i="102"/>
  <c r="X241" i="102"/>
  <c r="T256" i="102"/>
  <c r="O271" i="102"/>
  <c r="D276" i="102"/>
  <c r="J286" i="102"/>
  <c r="H296" i="102"/>
  <c r="O311" i="102"/>
  <c r="O319" i="102"/>
  <c r="Y341" i="102"/>
  <c r="O345" i="102"/>
  <c r="Y361" i="102"/>
  <c r="J366" i="102"/>
  <c r="G511" i="102"/>
  <c r="S511" i="102"/>
  <c r="E536" i="102"/>
  <c r="T540" i="102"/>
  <c r="I541" i="102"/>
  <c r="E21" i="102"/>
  <c r="Y36" i="102"/>
  <c r="T40" i="102"/>
  <c r="Y56" i="102"/>
  <c r="E64" i="102"/>
  <c r="T136" i="102"/>
  <c r="T275" i="102"/>
  <c r="D296" i="102"/>
  <c r="J295" i="102"/>
  <c r="O424" i="102"/>
  <c r="S426" i="102"/>
  <c r="Y436" i="102"/>
  <c r="J441" i="102"/>
  <c r="E456" i="102"/>
  <c r="N41" i="102"/>
  <c r="R41" i="102"/>
  <c r="O51" i="102"/>
  <c r="Y61" i="102"/>
  <c r="E189" i="102"/>
  <c r="T251" i="102"/>
  <c r="E256" i="102"/>
  <c r="O261" i="102"/>
  <c r="O266" i="102"/>
  <c r="O496" i="102"/>
  <c r="Y506" i="102"/>
  <c r="Y561" i="102"/>
  <c r="O565" i="102"/>
  <c r="O381" i="102"/>
  <c r="Y391" i="102"/>
  <c r="J396" i="102"/>
  <c r="E406" i="102"/>
  <c r="O411" i="102"/>
  <c r="O526" i="102"/>
  <c r="C541" i="102"/>
  <c r="J540" i="102"/>
  <c r="T539" i="102"/>
  <c r="O40" i="102"/>
  <c r="E261" i="102"/>
  <c r="Y446" i="102"/>
  <c r="S156" i="102"/>
  <c r="O226" i="102"/>
  <c r="B241" i="102"/>
  <c r="N241" i="102"/>
  <c r="R276" i="102"/>
  <c r="E295" i="102"/>
  <c r="N511" i="102"/>
  <c r="B426" i="102"/>
  <c r="E424" i="102"/>
  <c r="J451" i="102"/>
  <c r="J456" i="102"/>
  <c r="Y441" i="102"/>
  <c r="E540" i="102"/>
  <c r="O126" i="102"/>
  <c r="O154" i="102"/>
  <c r="L156" i="102"/>
  <c r="J31" i="102"/>
  <c r="T36" i="102"/>
  <c r="T56" i="102"/>
  <c r="O61" i="102"/>
  <c r="G66" i="102"/>
  <c r="N66" i="102"/>
  <c r="J86" i="102"/>
  <c r="E96" i="102"/>
  <c r="O106" i="102"/>
  <c r="Y116" i="102"/>
  <c r="J121" i="102"/>
  <c r="T126" i="102"/>
  <c r="E131" i="102"/>
  <c r="T186" i="102"/>
  <c r="D191" i="102"/>
  <c r="R191" i="102"/>
  <c r="O211" i="102"/>
  <c r="N216" i="102"/>
  <c r="O274" i="102"/>
  <c r="J311" i="102"/>
  <c r="Y319" i="102"/>
  <c r="T336" i="102"/>
  <c r="T341" i="102"/>
  <c r="G346" i="102"/>
  <c r="S346" i="102"/>
  <c r="J345" i="102"/>
  <c r="D371" i="102"/>
  <c r="R371" i="102"/>
  <c r="C511" i="102"/>
  <c r="C566" i="102"/>
  <c r="Q566" i="102"/>
  <c r="E464" i="102"/>
  <c r="I466" i="102"/>
  <c r="Y464" i="102"/>
  <c r="E476" i="102"/>
  <c r="J531" i="102"/>
  <c r="O11" i="102"/>
  <c r="O239" i="102"/>
  <c r="E461" i="102"/>
  <c r="O21" i="102"/>
  <c r="J40" i="102"/>
  <c r="Y40" i="102"/>
  <c r="J51" i="102"/>
  <c r="T96" i="102"/>
  <c r="E126" i="102"/>
  <c r="O166" i="102"/>
  <c r="Y181" i="102"/>
  <c r="S191" i="102"/>
  <c r="C216" i="102"/>
  <c r="Q216" i="102"/>
  <c r="O251" i="102"/>
  <c r="S276" i="102"/>
  <c r="Y291" i="102"/>
  <c r="O306" i="102"/>
  <c r="X321" i="102"/>
  <c r="Y331" i="102"/>
  <c r="H346" i="102"/>
  <c r="V346" i="102"/>
  <c r="T361" i="102"/>
  <c r="G371" i="102"/>
  <c r="S371" i="102"/>
  <c r="Y406" i="102"/>
  <c r="J411" i="102"/>
  <c r="E421" i="102"/>
  <c r="J536" i="102"/>
  <c r="Y539" i="102"/>
  <c r="T21" i="102"/>
  <c r="L41" i="102"/>
  <c r="Y51" i="102"/>
  <c r="O65" i="102"/>
  <c r="O76" i="102"/>
  <c r="T86" i="102"/>
  <c r="E91" i="102"/>
  <c r="Y101" i="102"/>
  <c r="J116" i="102"/>
  <c r="T141" i="102"/>
  <c r="E146" i="102"/>
  <c r="Y176" i="102"/>
  <c r="J181" i="102"/>
  <c r="N191" i="102"/>
  <c r="T190" i="102"/>
  <c r="O206" i="102"/>
  <c r="Y211" i="102"/>
  <c r="O214" i="102"/>
  <c r="X216" i="102"/>
  <c r="Y226" i="102"/>
  <c r="Y231" i="102"/>
  <c r="J236" i="102"/>
  <c r="Y236" i="102"/>
  <c r="I241" i="102"/>
  <c r="Y239" i="102"/>
  <c r="O240" i="102"/>
  <c r="Y271" i="102"/>
  <c r="Y286" i="102"/>
  <c r="J291" i="102"/>
  <c r="S296" i="102"/>
  <c r="T311" i="102"/>
  <c r="G321" i="102"/>
  <c r="S321" i="102"/>
  <c r="J320" i="102"/>
  <c r="Y320" i="102"/>
  <c r="E341" i="102"/>
  <c r="E344" i="102"/>
  <c r="T344" i="102"/>
  <c r="T345" i="102"/>
  <c r="T356" i="102"/>
  <c r="E361" i="102"/>
  <c r="E369" i="102"/>
  <c r="N371" i="102"/>
  <c r="T370" i="102"/>
  <c r="O501" i="102"/>
  <c r="O509" i="102"/>
  <c r="X511" i="102"/>
  <c r="O551" i="102"/>
  <c r="O556" i="102"/>
  <c r="O564" i="102"/>
  <c r="X566" i="102"/>
  <c r="Y396" i="102"/>
  <c r="T401" i="102"/>
  <c r="O406" i="102"/>
  <c r="Y411" i="102"/>
  <c r="T416" i="102"/>
  <c r="M426" i="102"/>
  <c r="J446" i="102"/>
  <c r="O461" i="102"/>
  <c r="T476" i="102"/>
  <c r="O521" i="102"/>
  <c r="Y531" i="102"/>
  <c r="T536" i="102"/>
  <c r="W541" i="102"/>
  <c r="I66" i="102"/>
  <c r="R66" i="102"/>
  <c r="O81" i="102"/>
  <c r="E101" i="102"/>
  <c r="T106" i="102"/>
  <c r="O111" i="102"/>
  <c r="W156" i="102"/>
  <c r="H191" i="102"/>
  <c r="E211" i="102"/>
  <c r="D216" i="102"/>
  <c r="R216" i="102"/>
  <c r="E226" i="102"/>
  <c r="E239" i="102"/>
  <c r="T240" i="102"/>
  <c r="E266" i="102"/>
  <c r="I276" i="102"/>
  <c r="E286" i="102"/>
  <c r="M321" i="102"/>
  <c r="J336" i="102"/>
  <c r="J341" i="102"/>
  <c r="I346" i="102"/>
  <c r="Y344" i="102"/>
  <c r="H371" i="102"/>
  <c r="Y369" i="102"/>
  <c r="J496" i="102"/>
  <c r="D511" i="102"/>
  <c r="R511" i="102"/>
  <c r="J510" i="102"/>
  <c r="D566" i="102"/>
  <c r="R566" i="102"/>
  <c r="J565" i="102"/>
  <c r="J381" i="102"/>
  <c r="T391" i="102"/>
  <c r="E396" i="102"/>
  <c r="E411" i="102"/>
  <c r="J421" i="102"/>
  <c r="O441" i="102"/>
  <c r="O446" i="102"/>
  <c r="O451" i="102"/>
  <c r="Y486" i="102"/>
  <c r="T526" i="102"/>
  <c r="E531" i="102"/>
  <c r="T51" i="102"/>
  <c r="E61" i="102"/>
  <c r="O64" i="102"/>
  <c r="T81" i="102"/>
  <c r="Y86" i="102"/>
  <c r="J91" i="102"/>
  <c r="Y96" i="102"/>
  <c r="J101" i="102"/>
  <c r="T111" i="102"/>
  <c r="E116" i="102"/>
  <c r="O121" i="102"/>
  <c r="T131" i="102"/>
  <c r="Y141" i="102"/>
  <c r="E154" i="102"/>
  <c r="T176" i="102"/>
  <c r="E181" i="102"/>
  <c r="W191" i="102"/>
  <c r="O190" i="102"/>
  <c r="Y201" i="102"/>
  <c r="J206" i="102"/>
  <c r="J214" i="102"/>
  <c r="Y215" i="102"/>
  <c r="Y256" i="102"/>
  <c r="J261" i="102"/>
  <c r="T271" i="102"/>
  <c r="J275" i="102"/>
  <c r="T286" i="102"/>
  <c r="E291" i="102"/>
  <c r="T306" i="102"/>
  <c r="E311" i="102"/>
  <c r="E319" i="102"/>
  <c r="O331" i="102"/>
  <c r="O336" i="102"/>
  <c r="O356" i="102"/>
  <c r="J361" i="102"/>
  <c r="Y366" i="102"/>
  <c r="L371" i="102"/>
  <c r="Y496" i="102"/>
  <c r="T501" i="102"/>
  <c r="Y510" i="102"/>
  <c r="J551" i="102"/>
  <c r="T556" i="102"/>
  <c r="J564" i="102"/>
  <c r="Y565" i="102"/>
  <c r="Y381" i="102"/>
  <c r="T396" i="102"/>
  <c r="T411" i="102"/>
  <c r="Y421" i="102"/>
  <c r="T424" i="102"/>
  <c r="T436" i="102"/>
  <c r="T441" i="102"/>
  <c r="O456" i="102"/>
  <c r="O476" i="102"/>
  <c r="J521" i="102"/>
  <c r="E526" i="102"/>
  <c r="T531" i="102"/>
  <c r="Y31" i="102"/>
  <c r="J36" i="102"/>
  <c r="H41" i="102"/>
  <c r="J61" i="102"/>
  <c r="T65" i="102"/>
  <c r="E81" i="102"/>
  <c r="O91" i="102"/>
  <c r="J106" i="102"/>
  <c r="E111" i="102"/>
  <c r="T116" i="102"/>
  <c r="E121" i="102"/>
  <c r="J131" i="102"/>
  <c r="E136" i="102"/>
  <c r="O146" i="102"/>
  <c r="I156" i="102"/>
  <c r="R156" i="102"/>
  <c r="J166" i="102"/>
  <c r="T181" i="102"/>
  <c r="O189" i="102"/>
  <c r="Y206" i="102"/>
  <c r="J211" i="102"/>
  <c r="Y214" i="102"/>
  <c r="J226" i="102"/>
  <c r="T236" i="102"/>
  <c r="J240" i="102"/>
  <c r="Y240" i="102"/>
  <c r="Y251" i="102"/>
  <c r="J266" i="102"/>
  <c r="Q276" i="102"/>
  <c r="X276" i="102"/>
  <c r="T291" i="102"/>
  <c r="X296" i="102"/>
  <c r="E316" i="102"/>
  <c r="T319" i="102"/>
  <c r="T320" i="102"/>
  <c r="O341" i="102"/>
  <c r="O344" i="102"/>
  <c r="E345" i="102"/>
  <c r="O361" i="102"/>
  <c r="O369" i="102"/>
  <c r="Y501" i="102"/>
  <c r="J506" i="102"/>
  <c r="Y509" i="102"/>
  <c r="Y551" i="102"/>
  <c r="Y556" i="102"/>
  <c r="J561" i="102"/>
  <c r="Y564" i="102"/>
  <c r="J391" i="102"/>
  <c r="R426" i="102"/>
  <c r="E446" i="102"/>
  <c r="T446" i="102"/>
  <c r="E451" i="102"/>
  <c r="H466" i="102"/>
  <c r="O465" i="102"/>
  <c r="O486" i="102"/>
  <c r="Y521" i="102"/>
  <c r="J526" i="102"/>
  <c r="H541" i="102"/>
  <c r="O540" i="102"/>
  <c r="Q541" i="102"/>
  <c r="J539" i="102"/>
  <c r="B541" i="102"/>
  <c r="V541" i="102"/>
  <c r="L541" i="102"/>
  <c r="V466" i="102"/>
  <c r="T464" i="102"/>
  <c r="L466" i="102"/>
  <c r="Q466" i="102"/>
  <c r="J464" i="102"/>
  <c r="C466" i="102"/>
  <c r="M466" i="102"/>
  <c r="W466" i="102"/>
  <c r="G426" i="102"/>
  <c r="E425" i="102"/>
  <c r="V426" i="102"/>
  <c r="Q426" i="102"/>
  <c r="L426" i="102"/>
  <c r="G566" i="102"/>
  <c r="T564" i="102"/>
  <c r="B566" i="102"/>
  <c r="L566" i="102"/>
  <c r="V566" i="102"/>
  <c r="J509" i="102"/>
  <c r="O510" i="102"/>
  <c r="V511" i="102"/>
  <c r="Q511" i="102"/>
  <c r="E510" i="102"/>
  <c r="J369" i="102"/>
  <c r="T369" i="102"/>
  <c r="E370" i="102"/>
  <c r="O370" i="102"/>
  <c r="V371" i="102"/>
  <c r="Q346" i="102"/>
  <c r="J344" i="102"/>
  <c r="C346" i="102"/>
  <c r="M346" i="102"/>
  <c r="W346" i="102"/>
  <c r="Q321" i="102"/>
  <c r="J319" i="102"/>
  <c r="B321" i="102"/>
  <c r="L321" i="102"/>
  <c r="W321" i="102"/>
  <c r="O294" i="102"/>
  <c r="J294" i="102"/>
  <c r="T294" i="102"/>
  <c r="O295" i="102"/>
  <c r="V296" i="102"/>
  <c r="B296" i="102"/>
  <c r="J274" i="102"/>
  <c r="T274" i="102"/>
  <c r="O275" i="102"/>
  <c r="V276" i="102"/>
  <c r="B276" i="102"/>
  <c r="Q241" i="102"/>
  <c r="J239" i="102"/>
  <c r="M241" i="102"/>
  <c r="C241" i="102"/>
  <c r="W241" i="102"/>
  <c r="G216" i="102"/>
  <c r="T214" i="102"/>
  <c r="B216" i="102"/>
  <c r="L216" i="102"/>
  <c r="V216" i="102"/>
  <c r="G191" i="102"/>
  <c r="B191" i="102"/>
  <c r="L191" i="102"/>
  <c r="Q191" i="102"/>
  <c r="V191" i="102"/>
  <c r="Y154" i="102"/>
  <c r="J155" i="102"/>
  <c r="C156" i="102"/>
  <c r="J154" i="102"/>
  <c r="T154" i="102"/>
  <c r="D66" i="102"/>
  <c r="J64" i="102"/>
  <c r="B66" i="102"/>
  <c r="V66" i="102"/>
  <c r="L66" i="102"/>
  <c r="Q66" i="102"/>
  <c r="J39" i="102"/>
  <c r="B41" i="102"/>
  <c r="N1294" i="103"/>
  <c r="M1294" i="103"/>
  <c r="L1294" i="103"/>
  <c r="I1294" i="103"/>
  <c r="H1294" i="103"/>
  <c r="G1294" i="103"/>
  <c r="D1294" i="103"/>
  <c r="C1294" i="103"/>
  <c r="B1294" i="103"/>
  <c r="O1292" i="103"/>
  <c r="J1292" i="103"/>
  <c r="E1292" i="103"/>
  <c r="O1291" i="103"/>
  <c r="J1291" i="103"/>
  <c r="E1291" i="103"/>
  <c r="O1290" i="103"/>
  <c r="J1290" i="103"/>
  <c r="E1290" i="103"/>
  <c r="O1289" i="103"/>
  <c r="J1289" i="103"/>
  <c r="E1289" i="103"/>
  <c r="O1288" i="103"/>
  <c r="J1288" i="103"/>
  <c r="E1288" i="103"/>
  <c r="O1287" i="103"/>
  <c r="J1287" i="103"/>
  <c r="E1287" i="103"/>
  <c r="O1286" i="103"/>
  <c r="J1286" i="103"/>
  <c r="E1286" i="103"/>
  <c r="O1285" i="103"/>
  <c r="J1285" i="103"/>
  <c r="E1285" i="103"/>
  <c r="O1284" i="103"/>
  <c r="J1284" i="103"/>
  <c r="E1284" i="103"/>
  <c r="O1282" i="103"/>
  <c r="J1282" i="103"/>
  <c r="E1282" i="103"/>
  <c r="L1281" i="103"/>
  <c r="G1281" i="103"/>
  <c r="B1281" i="103"/>
  <c r="N1277" i="103"/>
  <c r="M1277" i="103"/>
  <c r="L1277" i="103"/>
  <c r="I1277" i="103"/>
  <c r="H1277" i="103"/>
  <c r="G1277" i="103"/>
  <c r="D1277" i="103"/>
  <c r="C1277" i="103"/>
  <c r="B1277" i="103"/>
  <c r="O1275" i="103"/>
  <c r="J1275" i="103"/>
  <c r="E1275" i="103"/>
  <c r="O1274" i="103"/>
  <c r="J1274" i="103"/>
  <c r="E1274" i="103"/>
  <c r="O1273" i="103"/>
  <c r="J1273" i="103"/>
  <c r="E1273" i="103"/>
  <c r="O1272" i="103"/>
  <c r="J1272" i="103"/>
  <c r="E1272" i="103"/>
  <c r="O1271" i="103"/>
  <c r="J1271" i="103"/>
  <c r="E1271" i="103"/>
  <c r="O1270" i="103"/>
  <c r="J1270" i="103"/>
  <c r="E1270" i="103"/>
  <c r="O1269" i="103"/>
  <c r="J1269" i="103"/>
  <c r="E1269" i="103"/>
  <c r="O1268" i="103"/>
  <c r="J1268" i="103"/>
  <c r="E1268" i="103"/>
  <c r="O1267" i="103"/>
  <c r="J1267" i="103"/>
  <c r="E1267" i="103"/>
  <c r="O1265" i="103"/>
  <c r="J1265" i="103"/>
  <c r="E1265" i="103"/>
  <c r="L1264" i="103"/>
  <c r="G1264" i="103"/>
  <c r="B1264" i="103"/>
  <c r="N1260" i="103"/>
  <c r="M1260" i="103"/>
  <c r="L1260" i="103"/>
  <c r="I1260" i="103"/>
  <c r="H1260" i="103"/>
  <c r="G1260" i="103"/>
  <c r="D1260" i="103"/>
  <c r="C1260" i="103"/>
  <c r="B1260" i="103"/>
  <c r="O1258" i="103"/>
  <c r="J1258" i="103"/>
  <c r="E1258" i="103"/>
  <c r="O1257" i="103"/>
  <c r="J1257" i="103"/>
  <c r="E1257" i="103"/>
  <c r="O1256" i="103"/>
  <c r="J1256" i="103"/>
  <c r="E1256" i="103"/>
  <c r="O1255" i="103"/>
  <c r="J1255" i="103"/>
  <c r="E1255" i="103"/>
  <c r="O1254" i="103"/>
  <c r="J1254" i="103"/>
  <c r="E1254" i="103"/>
  <c r="O1253" i="103"/>
  <c r="J1253" i="103"/>
  <c r="E1253" i="103"/>
  <c r="O1252" i="103"/>
  <c r="J1252" i="103"/>
  <c r="E1252" i="103"/>
  <c r="O1251" i="103"/>
  <c r="J1251" i="103"/>
  <c r="E1251" i="103"/>
  <c r="O1250" i="103"/>
  <c r="J1250" i="103"/>
  <c r="E1250" i="103"/>
  <c r="O1248" i="103"/>
  <c r="J1248" i="103"/>
  <c r="E1248" i="103"/>
  <c r="L1247" i="103"/>
  <c r="G1247" i="103"/>
  <c r="B1247" i="103"/>
  <c r="N1243" i="103"/>
  <c r="M1243" i="103"/>
  <c r="L1243" i="103"/>
  <c r="I1243" i="103"/>
  <c r="H1243" i="103"/>
  <c r="G1243" i="103"/>
  <c r="D1243" i="103"/>
  <c r="C1243" i="103"/>
  <c r="B1243" i="103"/>
  <c r="O1241" i="103"/>
  <c r="J1241" i="103"/>
  <c r="E1241" i="103"/>
  <c r="O1240" i="103"/>
  <c r="J1240" i="103"/>
  <c r="E1240" i="103"/>
  <c r="O1239" i="103"/>
  <c r="J1239" i="103"/>
  <c r="E1239" i="103"/>
  <c r="O1238" i="103"/>
  <c r="J1238" i="103"/>
  <c r="E1238" i="103"/>
  <c r="O1237" i="103"/>
  <c r="J1237" i="103"/>
  <c r="E1237" i="103"/>
  <c r="O1236" i="103"/>
  <c r="J1236" i="103"/>
  <c r="E1236" i="103"/>
  <c r="O1235" i="103"/>
  <c r="J1235" i="103"/>
  <c r="E1235" i="103"/>
  <c r="O1234" i="103"/>
  <c r="J1234" i="103"/>
  <c r="E1234" i="103"/>
  <c r="O1233" i="103"/>
  <c r="J1233" i="103"/>
  <c r="E1233" i="103"/>
  <c r="O1231" i="103"/>
  <c r="J1231" i="103"/>
  <c r="E1231" i="103"/>
  <c r="L1230" i="103"/>
  <c r="G1230" i="103"/>
  <c r="B1230" i="103"/>
  <c r="N1226" i="103"/>
  <c r="M1226" i="103"/>
  <c r="L1226" i="103"/>
  <c r="I1226" i="103"/>
  <c r="H1226" i="103"/>
  <c r="G1226" i="103"/>
  <c r="D1226" i="103"/>
  <c r="C1226" i="103"/>
  <c r="B1226" i="103"/>
  <c r="O1224" i="103"/>
  <c r="J1224" i="103"/>
  <c r="E1224" i="103"/>
  <c r="O1223" i="103"/>
  <c r="J1223" i="103"/>
  <c r="E1223" i="103"/>
  <c r="O1222" i="103"/>
  <c r="J1222" i="103"/>
  <c r="E1222" i="103"/>
  <c r="O1221" i="103"/>
  <c r="J1221" i="103"/>
  <c r="E1221" i="103"/>
  <c r="O1220" i="103"/>
  <c r="J1220" i="103"/>
  <c r="E1220" i="103"/>
  <c r="O1219" i="103"/>
  <c r="J1219" i="103"/>
  <c r="E1219" i="103"/>
  <c r="O1218" i="103"/>
  <c r="J1218" i="103"/>
  <c r="E1218" i="103"/>
  <c r="O1217" i="103"/>
  <c r="J1217" i="103"/>
  <c r="E1217" i="103"/>
  <c r="O1216" i="103"/>
  <c r="J1216" i="103"/>
  <c r="E1216" i="103"/>
  <c r="O1214" i="103"/>
  <c r="J1214" i="103"/>
  <c r="E1214" i="103"/>
  <c r="L1213" i="103"/>
  <c r="G1213" i="103"/>
  <c r="B1213" i="103"/>
  <c r="N1209" i="103"/>
  <c r="M1209" i="103"/>
  <c r="L1209" i="103"/>
  <c r="I1209" i="103"/>
  <c r="H1209" i="103"/>
  <c r="G1209" i="103"/>
  <c r="D1209" i="103"/>
  <c r="C1209" i="103"/>
  <c r="B1209" i="103"/>
  <c r="O1207" i="103"/>
  <c r="J1207" i="103"/>
  <c r="E1207" i="103"/>
  <c r="O1206" i="103"/>
  <c r="J1206" i="103"/>
  <c r="E1206" i="103"/>
  <c r="O1205" i="103"/>
  <c r="J1205" i="103"/>
  <c r="E1205" i="103"/>
  <c r="O1204" i="103"/>
  <c r="J1204" i="103"/>
  <c r="E1204" i="103"/>
  <c r="O1203" i="103"/>
  <c r="J1203" i="103"/>
  <c r="E1203" i="103"/>
  <c r="O1202" i="103"/>
  <c r="J1202" i="103"/>
  <c r="E1202" i="103"/>
  <c r="O1201" i="103"/>
  <c r="J1201" i="103"/>
  <c r="E1201" i="103"/>
  <c r="O1200" i="103"/>
  <c r="J1200" i="103"/>
  <c r="E1200" i="103"/>
  <c r="O1199" i="103"/>
  <c r="J1199" i="103"/>
  <c r="E1199" i="103"/>
  <c r="O1197" i="103"/>
  <c r="J1197" i="103"/>
  <c r="E1197" i="103"/>
  <c r="L1196" i="103"/>
  <c r="G1196" i="103"/>
  <c r="B1196" i="103"/>
  <c r="N1192" i="103"/>
  <c r="M1192" i="103"/>
  <c r="L1192" i="103"/>
  <c r="I1192" i="103"/>
  <c r="H1192" i="103"/>
  <c r="G1192" i="103"/>
  <c r="D1192" i="103"/>
  <c r="C1192" i="103"/>
  <c r="B1192" i="103"/>
  <c r="O1190" i="103"/>
  <c r="J1190" i="103"/>
  <c r="E1190" i="103"/>
  <c r="O1189" i="103"/>
  <c r="J1189" i="103"/>
  <c r="E1189" i="103"/>
  <c r="O1188" i="103"/>
  <c r="J1188" i="103"/>
  <c r="E1188" i="103"/>
  <c r="O1187" i="103"/>
  <c r="J1187" i="103"/>
  <c r="E1187" i="103"/>
  <c r="O1186" i="103"/>
  <c r="J1186" i="103"/>
  <c r="E1186" i="103"/>
  <c r="O1185" i="103"/>
  <c r="J1185" i="103"/>
  <c r="E1185" i="103"/>
  <c r="O1184" i="103"/>
  <c r="J1184" i="103"/>
  <c r="E1184" i="103"/>
  <c r="O1183" i="103"/>
  <c r="J1183" i="103"/>
  <c r="E1183" i="103"/>
  <c r="O1182" i="103"/>
  <c r="J1182" i="103"/>
  <c r="E1182" i="103"/>
  <c r="O1180" i="103"/>
  <c r="J1180" i="103"/>
  <c r="E1180" i="103"/>
  <c r="L1179" i="103"/>
  <c r="G1179" i="103"/>
  <c r="B1179" i="103"/>
  <c r="N1175" i="103"/>
  <c r="M1175" i="103"/>
  <c r="L1175" i="103"/>
  <c r="I1175" i="103"/>
  <c r="H1175" i="103"/>
  <c r="G1175" i="103"/>
  <c r="D1175" i="103"/>
  <c r="C1175" i="103"/>
  <c r="B1175" i="103"/>
  <c r="O1173" i="103"/>
  <c r="J1173" i="103"/>
  <c r="E1173" i="103"/>
  <c r="O1172" i="103"/>
  <c r="J1172" i="103"/>
  <c r="E1172" i="103"/>
  <c r="O1171" i="103"/>
  <c r="J1171" i="103"/>
  <c r="E1171" i="103"/>
  <c r="O1170" i="103"/>
  <c r="J1170" i="103"/>
  <c r="E1170" i="103"/>
  <c r="O1169" i="103"/>
  <c r="J1169" i="103"/>
  <c r="E1169" i="103"/>
  <c r="O1168" i="103"/>
  <c r="J1168" i="103"/>
  <c r="E1168" i="103"/>
  <c r="O1167" i="103"/>
  <c r="J1167" i="103"/>
  <c r="E1167" i="103"/>
  <c r="O1166" i="103"/>
  <c r="J1166" i="103"/>
  <c r="E1166" i="103"/>
  <c r="O1165" i="103"/>
  <c r="J1165" i="103"/>
  <c r="E1165" i="103"/>
  <c r="O1163" i="103"/>
  <c r="J1163" i="103"/>
  <c r="E1163" i="103"/>
  <c r="L1162" i="103"/>
  <c r="G1162" i="103"/>
  <c r="B1162" i="103"/>
  <c r="N1158" i="103"/>
  <c r="M1158" i="103"/>
  <c r="L1158" i="103"/>
  <c r="I1158" i="103"/>
  <c r="H1158" i="103"/>
  <c r="G1158" i="103"/>
  <c r="D1158" i="103"/>
  <c r="C1158" i="103"/>
  <c r="B1158" i="103"/>
  <c r="O1156" i="103"/>
  <c r="J1156" i="103"/>
  <c r="E1156" i="103"/>
  <c r="O1155" i="103"/>
  <c r="J1155" i="103"/>
  <c r="E1155" i="103"/>
  <c r="O1154" i="103"/>
  <c r="J1154" i="103"/>
  <c r="E1154" i="103"/>
  <c r="O1153" i="103"/>
  <c r="J1153" i="103"/>
  <c r="E1153" i="103"/>
  <c r="O1152" i="103"/>
  <c r="J1152" i="103"/>
  <c r="E1152" i="103"/>
  <c r="O1151" i="103"/>
  <c r="J1151" i="103"/>
  <c r="E1151" i="103"/>
  <c r="O1150" i="103"/>
  <c r="J1150" i="103"/>
  <c r="E1150" i="103"/>
  <c r="O1149" i="103"/>
  <c r="J1149" i="103"/>
  <c r="E1149" i="103"/>
  <c r="O1148" i="103"/>
  <c r="J1148" i="103"/>
  <c r="E1148" i="103"/>
  <c r="O1146" i="103"/>
  <c r="J1146" i="103"/>
  <c r="E1146" i="103"/>
  <c r="L1145" i="103"/>
  <c r="G1145" i="103"/>
  <c r="B1145" i="103"/>
  <c r="N1141" i="103"/>
  <c r="M1141" i="103"/>
  <c r="L1141" i="103"/>
  <c r="I1141" i="103"/>
  <c r="H1141" i="103"/>
  <c r="G1141" i="103"/>
  <c r="D1141" i="103"/>
  <c r="C1141" i="103"/>
  <c r="B1141" i="103"/>
  <c r="O1139" i="103"/>
  <c r="J1139" i="103"/>
  <c r="E1139" i="103"/>
  <c r="O1138" i="103"/>
  <c r="J1138" i="103"/>
  <c r="E1138" i="103"/>
  <c r="O1137" i="103"/>
  <c r="J1137" i="103"/>
  <c r="E1137" i="103"/>
  <c r="O1136" i="103"/>
  <c r="J1136" i="103"/>
  <c r="E1136" i="103"/>
  <c r="O1135" i="103"/>
  <c r="J1135" i="103"/>
  <c r="E1135" i="103"/>
  <c r="O1134" i="103"/>
  <c r="J1134" i="103"/>
  <c r="E1134" i="103"/>
  <c r="O1133" i="103"/>
  <c r="J1133" i="103"/>
  <c r="E1133" i="103"/>
  <c r="O1132" i="103"/>
  <c r="J1132" i="103"/>
  <c r="E1132" i="103"/>
  <c r="O1131" i="103"/>
  <c r="J1131" i="103"/>
  <c r="E1131" i="103"/>
  <c r="O1129" i="103"/>
  <c r="J1129" i="103"/>
  <c r="E1129" i="103"/>
  <c r="L1128" i="103"/>
  <c r="G1128" i="103"/>
  <c r="B1128" i="103"/>
  <c r="N1124" i="103"/>
  <c r="M1124" i="103"/>
  <c r="L1124" i="103"/>
  <c r="I1124" i="103"/>
  <c r="H1124" i="103"/>
  <c r="G1124" i="103"/>
  <c r="D1124" i="103"/>
  <c r="C1124" i="103"/>
  <c r="B1124" i="103"/>
  <c r="O1122" i="103"/>
  <c r="J1122" i="103"/>
  <c r="E1122" i="103"/>
  <c r="O1121" i="103"/>
  <c r="J1121" i="103"/>
  <c r="E1121" i="103"/>
  <c r="O1120" i="103"/>
  <c r="J1120" i="103"/>
  <c r="E1120" i="103"/>
  <c r="O1119" i="103"/>
  <c r="J1119" i="103"/>
  <c r="E1119" i="103"/>
  <c r="O1118" i="103"/>
  <c r="J1118" i="103"/>
  <c r="E1118" i="103"/>
  <c r="O1117" i="103"/>
  <c r="J1117" i="103"/>
  <c r="E1117" i="103"/>
  <c r="O1116" i="103"/>
  <c r="J1116" i="103"/>
  <c r="E1116" i="103"/>
  <c r="O1115" i="103"/>
  <c r="J1115" i="103"/>
  <c r="E1115" i="103"/>
  <c r="O1114" i="103"/>
  <c r="J1114" i="103"/>
  <c r="E1114" i="103"/>
  <c r="O1112" i="103"/>
  <c r="J1112" i="103"/>
  <c r="E1112" i="103"/>
  <c r="L1111" i="103"/>
  <c r="G1111" i="103"/>
  <c r="B1111" i="103"/>
  <c r="N1107" i="103"/>
  <c r="M1107" i="103"/>
  <c r="L1107" i="103"/>
  <c r="I1107" i="103"/>
  <c r="H1107" i="103"/>
  <c r="G1107" i="103"/>
  <c r="D1107" i="103"/>
  <c r="C1107" i="103"/>
  <c r="B1107" i="103"/>
  <c r="O1105" i="103"/>
  <c r="J1105" i="103"/>
  <c r="E1105" i="103"/>
  <c r="O1104" i="103"/>
  <c r="J1104" i="103"/>
  <c r="E1104" i="103"/>
  <c r="O1103" i="103"/>
  <c r="J1103" i="103"/>
  <c r="E1103" i="103"/>
  <c r="O1102" i="103"/>
  <c r="J1102" i="103"/>
  <c r="E1102" i="103"/>
  <c r="O1101" i="103"/>
  <c r="J1101" i="103"/>
  <c r="E1101" i="103"/>
  <c r="O1100" i="103"/>
  <c r="J1100" i="103"/>
  <c r="E1100" i="103"/>
  <c r="O1099" i="103"/>
  <c r="J1099" i="103"/>
  <c r="E1099" i="103"/>
  <c r="O1098" i="103"/>
  <c r="J1098" i="103"/>
  <c r="E1098" i="103"/>
  <c r="O1097" i="103"/>
  <c r="J1097" i="103"/>
  <c r="E1097" i="103"/>
  <c r="O1095" i="103"/>
  <c r="J1095" i="103"/>
  <c r="E1095" i="103"/>
  <c r="L1094" i="103"/>
  <c r="G1094" i="103"/>
  <c r="B1094" i="103"/>
  <c r="N1090" i="103"/>
  <c r="M1090" i="103"/>
  <c r="L1090" i="103"/>
  <c r="I1090" i="103"/>
  <c r="H1090" i="103"/>
  <c r="G1090" i="103"/>
  <c r="D1090" i="103"/>
  <c r="C1090" i="103"/>
  <c r="B1090" i="103"/>
  <c r="O1088" i="103"/>
  <c r="J1088" i="103"/>
  <c r="E1088" i="103"/>
  <c r="O1087" i="103"/>
  <c r="J1087" i="103"/>
  <c r="E1087" i="103"/>
  <c r="O1086" i="103"/>
  <c r="J1086" i="103"/>
  <c r="E1086" i="103"/>
  <c r="O1085" i="103"/>
  <c r="J1085" i="103"/>
  <c r="E1085" i="103"/>
  <c r="O1084" i="103"/>
  <c r="J1084" i="103"/>
  <c r="E1084" i="103"/>
  <c r="O1083" i="103"/>
  <c r="J1083" i="103"/>
  <c r="E1083" i="103"/>
  <c r="O1082" i="103"/>
  <c r="J1082" i="103"/>
  <c r="E1082" i="103"/>
  <c r="O1081" i="103"/>
  <c r="J1081" i="103"/>
  <c r="E1081" i="103"/>
  <c r="O1080" i="103"/>
  <c r="J1080" i="103"/>
  <c r="E1080" i="103"/>
  <c r="O1078" i="103"/>
  <c r="J1078" i="103"/>
  <c r="E1078" i="103"/>
  <c r="L1077" i="103"/>
  <c r="G1077" i="103"/>
  <c r="B1077" i="103"/>
  <c r="N1073" i="103"/>
  <c r="M1073" i="103"/>
  <c r="L1073" i="103"/>
  <c r="I1073" i="103"/>
  <c r="H1073" i="103"/>
  <c r="G1073" i="103"/>
  <c r="D1073" i="103"/>
  <c r="C1073" i="103"/>
  <c r="B1073" i="103"/>
  <c r="O1071" i="103"/>
  <c r="J1071" i="103"/>
  <c r="E1071" i="103"/>
  <c r="O1070" i="103"/>
  <c r="J1070" i="103"/>
  <c r="E1070" i="103"/>
  <c r="O1069" i="103"/>
  <c r="J1069" i="103"/>
  <c r="E1069" i="103"/>
  <c r="O1068" i="103"/>
  <c r="J1068" i="103"/>
  <c r="E1068" i="103"/>
  <c r="O1067" i="103"/>
  <c r="J1067" i="103"/>
  <c r="E1067" i="103"/>
  <c r="O1066" i="103"/>
  <c r="J1066" i="103"/>
  <c r="E1066" i="103"/>
  <c r="O1065" i="103"/>
  <c r="J1065" i="103"/>
  <c r="E1065" i="103"/>
  <c r="O1064" i="103"/>
  <c r="J1064" i="103"/>
  <c r="E1064" i="103"/>
  <c r="O1063" i="103"/>
  <c r="J1063" i="103"/>
  <c r="E1063" i="103"/>
  <c r="O1061" i="103"/>
  <c r="J1061" i="103"/>
  <c r="E1061" i="103"/>
  <c r="L1060" i="103"/>
  <c r="G1060" i="103"/>
  <c r="B1060" i="103"/>
  <c r="N1056" i="103"/>
  <c r="M1056" i="103"/>
  <c r="L1056" i="103"/>
  <c r="I1056" i="103"/>
  <c r="H1056" i="103"/>
  <c r="G1056" i="103"/>
  <c r="D1056" i="103"/>
  <c r="C1056" i="103"/>
  <c r="B1056" i="103"/>
  <c r="O1054" i="103"/>
  <c r="J1054" i="103"/>
  <c r="E1054" i="103"/>
  <c r="O1053" i="103"/>
  <c r="J1053" i="103"/>
  <c r="E1053" i="103"/>
  <c r="O1052" i="103"/>
  <c r="J1052" i="103"/>
  <c r="E1052" i="103"/>
  <c r="O1051" i="103"/>
  <c r="J1051" i="103"/>
  <c r="E1051" i="103"/>
  <c r="O1050" i="103"/>
  <c r="J1050" i="103"/>
  <c r="E1050" i="103"/>
  <c r="O1049" i="103"/>
  <c r="J1049" i="103"/>
  <c r="E1049" i="103"/>
  <c r="O1048" i="103"/>
  <c r="J1048" i="103"/>
  <c r="E1048" i="103"/>
  <c r="O1047" i="103"/>
  <c r="J1047" i="103"/>
  <c r="E1047" i="103"/>
  <c r="O1046" i="103"/>
  <c r="J1046" i="103"/>
  <c r="E1046" i="103"/>
  <c r="O1044" i="103"/>
  <c r="J1044" i="103"/>
  <c r="E1044" i="103"/>
  <c r="L1043" i="103"/>
  <c r="G1043" i="103"/>
  <c r="B1043" i="103"/>
  <c r="N1039" i="103"/>
  <c r="M1039" i="103"/>
  <c r="L1039" i="103"/>
  <c r="I1039" i="103"/>
  <c r="H1039" i="103"/>
  <c r="G1039" i="103"/>
  <c r="D1039" i="103"/>
  <c r="C1039" i="103"/>
  <c r="B1039" i="103"/>
  <c r="O1037" i="103"/>
  <c r="J1037" i="103"/>
  <c r="E1037" i="103"/>
  <c r="O1036" i="103"/>
  <c r="J1036" i="103"/>
  <c r="E1036" i="103"/>
  <c r="O1035" i="103"/>
  <c r="J1035" i="103"/>
  <c r="E1035" i="103"/>
  <c r="O1034" i="103"/>
  <c r="J1034" i="103"/>
  <c r="E1034" i="103"/>
  <c r="O1033" i="103"/>
  <c r="J1033" i="103"/>
  <c r="E1033" i="103"/>
  <c r="O1032" i="103"/>
  <c r="J1032" i="103"/>
  <c r="E1032" i="103"/>
  <c r="O1031" i="103"/>
  <c r="J1031" i="103"/>
  <c r="E1031" i="103"/>
  <c r="O1030" i="103"/>
  <c r="J1030" i="103"/>
  <c r="E1030" i="103"/>
  <c r="O1029" i="103"/>
  <c r="J1029" i="103"/>
  <c r="E1029" i="103"/>
  <c r="O1027" i="103"/>
  <c r="J1027" i="103"/>
  <c r="E1027" i="103"/>
  <c r="L1026" i="103"/>
  <c r="G1026" i="103"/>
  <c r="B1026" i="103"/>
  <c r="N1022" i="103"/>
  <c r="M1022" i="103"/>
  <c r="L1022" i="103"/>
  <c r="I1022" i="103"/>
  <c r="H1022" i="103"/>
  <c r="G1022" i="103"/>
  <c r="D1022" i="103"/>
  <c r="C1022" i="103"/>
  <c r="B1022" i="103"/>
  <c r="O1020" i="103"/>
  <c r="J1020" i="103"/>
  <c r="E1020" i="103"/>
  <c r="O1019" i="103"/>
  <c r="J1019" i="103"/>
  <c r="E1019" i="103"/>
  <c r="O1018" i="103"/>
  <c r="J1018" i="103"/>
  <c r="E1018" i="103"/>
  <c r="O1017" i="103"/>
  <c r="J1017" i="103"/>
  <c r="E1017" i="103"/>
  <c r="O1016" i="103"/>
  <c r="J1016" i="103"/>
  <c r="E1016" i="103"/>
  <c r="O1015" i="103"/>
  <c r="J1015" i="103"/>
  <c r="E1015" i="103"/>
  <c r="O1014" i="103"/>
  <c r="J1014" i="103"/>
  <c r="E1014" i="103"/>
  <c r="O1013" i="103"/>
  <c r="J1013" i="103"/>
  <c r="E1013" i="103"/>
  <c r="O1012" i="103"/>
  <c r="J1012" i="103"/>
  <c r="E1012" i="103"/>
  <c r="O1010" i="103"/>
  <c r="J1010" i="103"/>
  <c r="E1010" i="103"/>
  <c r="L1009" i="103"/>
  <c r="G1009" i="103"/>
  <c r="B1009" i="103"/>
  <c r="N1005" i="103"/>
  <c r="M1005" i="103"/>
  <c r="L1005" i="103"/>
  <c r="I1005" i="103"/>
  <c r="H1005" i="103"/>
  <c r="G1005" i="103"/>
  <c r="D1005" i="103"/>
  <c r="C1005" i="103"/>
  <c r="B1005" i="103"/>
  <c r="O1003" i="103"/>
  <c r="J1003" i="103"/>
  <c r="E1003" i="103"/>
  <c r="O1002" i="103"/>
  <c r="J1002" i="103"/>
  <c r="E1002" i="103"/>
  <c r="O1001" i="103"/>
  <c r="J1001" i="103"/>
  <c r="E1001" i="103"/>
  <c r="O1000" i="103"/>
  <c r="J1000" i="103"/>
  <c r="E1000" i="103"/>
  <c r="O999" i="103"/>
  <c r="J999" i="103"/>
  <c r="E999" i="103"/>
  <c r="O998" i="103"/>
  <c r="J998" i="103"/>
  <c r="E998" i="103"/>
  <c r="O997" i="103"/>
  <c r="J997" i="103"/>
  <c r="E997" i="103"/>
  <c r="O996" i="103"/>
  <c r="J996" i="103"/>
  <c r="E996" i="103"/>
  <c r="O995" i="103"/>
  <c r="J995" i="103"/>
  <c r="E995" i="103"/>
  <c r="O993" i="103"/>
  <c r="J993" i="103"/>
  <c r="E993" i="103"/>
  <c r="L992" i="103"/>
  <c r="G992" i="103"/>
  <c r="B992" i="103"/>
  <c r="N988" i="103"/>
  <c r="M988" i="103"/>
  <c r="L988" i="103"/>
  <c r="I988" i="103"/>
  <c r="H988" i="103"/>
  <c r="G988" i="103"/>
  <c r="D988" i="103"/>
  <c r="C988" i="103"/>
  <c r="B988" i="103"/>
  <c r="O986" i="103"/>
  <c r="J986" i="103"/>
  <c r="E986" i="103"/>
  <c r="O985" i="103"/>
  <c r="J985" i="103"/>
  <c r="E985" i="103"/>
  <c r="O984" i="103"/>
  <c r="J984" i="103"/>
  <c r="E984" i="103"/>
  <c r="O983" i="103"/>
  <c r="J983" i="103"/>
  <c r="E983" i="103"/>
  <c r="O982" i="103"/>
  <c r="J982" i="103"/>
  <c r="E982" i="103"/>
  <c r="O981" i="103"/>
  <c r="J981" i="103"/>
  <c r="E981" i="103"/>
  <c r="O980" i="103"/>
  <c r="J980" i="103"/>
  <c r="E980" i="103"/>
  <c r="O979" i="103"/>
  <c r="J979" i="103"/>
  <c r="E979" i="103"/>
  <c r="O978" i="103"/>
  <c r="J978" i="103"/>
  <c r="E978" i="103"/>
  <c r="O976" i="103"/>
  <c r="J976" i="103"/>
  <c r="E976" i="103"/>
  <c r="L975" i="103"/>
  <c r="G975" i="103"/>
  <c r="B975" i="103"/>
  <c r="N971" i="103"/>
  <c r="M971" i="103"/>
  <c r="L971" i="103"/>
  <c r="I971" i="103"/>
  <c r="H971" i="103"/>
  <c r="G971" i="103"/>
  <c r="D971" i="103"/>
  <c r="C971" i="103"/>
  <c r="B971" i="103"/>
  <c r="O969" i="103"/>
  <c r="J969" i="103"/>
  <c r="E969" i="103"/>
  <c r="O968" i="103"/>
  <c r="J968" i="103"/>
  <c r="E968" i="103"/>
  <c r="O967" i="103"/>
  <c r="J967" i="103"/>
  <c r="E967" i="103"/>
  <c r="O966" i="103"/>
  <c r="J966" i="103"/>
  <c r="E966" i="103"/>
  <c r="O965" i="103"/>
  <c r="J965" i="103"/>
  <c r="E965" i="103"/>
  <c r="O964" i="103"/>
  <c r="J964" i="103"/>
  <c r="E964" i="103"/>
  <c r="O963" i="103"/>
  <c r="J963" i="103"/>
  <c r="E963" i="103"/>
  <c r="O962" i="103"/>
  <c r="J962" i="103"/>
  <c r="E962" i="103"/>
  <c r="O961" i="103"/>
  <c r="J961" i="103"/>
  <c r="E961" i="103"/>
  <c r="O959" i="103"/>
  <c r="J959" i="103"/>
  <c r="E959" i="103"/>
  <c r="L958" i="103"/>
  <c r="G958" i="103"/>
  <c r="B958" i="103"/>
  <c r="N954" i="103"/>
  <c r="M954" i="103"/>
  <c r="L954" i="103"/>
  <c r="I954" i="103"/>
  <c r="H954" i="103"/>
  <c r="G954" i="103"/>
  <c r="D954" i="103"/>
  <c r="C954" i="103"/>
  <c r="B954" i="103"/>
  <c r="O952" i="103"/>
  <c r="J952" i="103"/>
  <c r="E952" i="103"/>
  <c r="O951" i="103"/>
  <c r="J951" i="103"/>
  <c r="E951" i="103"/>
  <c r="O950" i="103"/>
  <c r="J950" i="103"/>
  <c r="E950" i="103"/>
  <c r="O949" i="103"/>
  <c r="J949" i="103"/>
  <c r="E949" i="103"/>
  <c r="O948" i="103"/>
  <c r="J948" i="103"/>
  <c r="E948" i="103"/>
  <c r="O947" i="103"/>
  <c r="J947" i="103"/>
  <c r="E947" i="103"/>
  <c r="O946" i="103"/>
  <c r="J946" i="103"/>
  <c r="E946" i="103"/>
  <c r="O945" i="103"/>
  <c r="J945" i="103"/>
  <c r="E945" i="103"/>
  <c r="O944" i="103"/>
  <c r="J944" i="103"/>
  <c r="E944" i="103"/>
  <c r="O942" i="103"/>
  <c r="J942" i="103"/>
  <c r="E942" i="103"/>
  <c r="L941" i="103"/>
  <c r="G941" i="103"/>
  <c r="B941" i="103"/>
  <c r="N937" i="103"/>
  <c r="M937" i="103"/>
  <c r="L937" i="103"/>
  <c r="I937" i="103"/>
  <c r="H937" i="103"/>
  <c r="G937" i="103"/>
  <c r="D937" i="103"/>
  <c r="C937" i="103"/>
  <c r="B937" i="103"/>
  <c r="O935" i="103"/>
  <c r="J935" i="103"/>
  <c r="E935" i="103"/>
  <c r="O934" i="103"/>
  <c r="J934" i="103"/>
  <c r="E934" i="103"/>
  <c r="O933" i="103"/>
  <c r="J933" i="103"/>
  <c r="E933" i="103"/>
  <c r="O932" i="103"/>
  <c r="J932" i="103"/>
  <c r="E932" i="103"/>
  <c r="O931" i="103"/>
  <c r="J931" i="103"/>
  <c r="E931" i="103"/>
  <c r="O930" i="103"/>
  <c r="J930" i="103"/>
  <c r="E930" i="103"/>
  <c r="O929" i="103"/>
  <c r="J929" i="103"/>
  <c r="E929" i="103"/>
  <c r="O928" i="103"/>
  <c r="J928" i="103"/>
  <c r="E928" i="103"/>
  <c r="O927" i="103"/>
  <c r="J927" i="103"/>
  <c r="E927" i="103"/>
  <c r="O925" i="103"/>
  <c r="J925" i="103"/>
  <c r="E925" i="103"/>
  <c r="L924" i="103"/>
  <c r="G924" i="103"/>
  <c r="B924" i="103"/>
  <c r="N920" i="103"/>
  <c r="M920" i="103"/>
  <c r="L920" i="103"/>
  <c r="I920" i="103"/>
  <c r="H920" i="103"/>
  <c r="G920" i="103"/>
  <c r="D920" i="103"/>
  <c r="C920" i="103"/>
  <c r="B920" i="103"/>
  <c r="O918" i="103"/>
  <c r="J918" i="103"/>
  <c r="E918" i="103"/>
  <c r="O917" i="103"/>
  <c r="J917" i="103"/>
  <c r="E917" i="103"/>
  <c r="O916" i="103"/>
  <c r="J916" i="103"/>
  <c r="E916" i="103"/>
  <c r="O915" i="103"/>
  <c r="J915" i="103"/>
  <c r="E915" i="103"/>
  <c r="O914" i="103"/>
  <c r="J914" i="103"/>
  <c r="E914" i="103"/>
  <c r="O913" i="103"/>
  <c r="J913" i="103"/>
  <c r="E913" i="103"/>
  <c r="O912" i="103"/>
  <c r="J912" i="103"/>
  <c r="E912" i="103"/>
  <c r="O911" i="103"/>
  <c r="J911" i="103"/>
  <c r="E911" i="103"/>
  <c r="O910" i="103"/>
  <c r="J910" i="103"/>
  <c r="E910" i="103"/>
  <c r="O908" i="103"/>
  <c r="J908" i="103"/>
  <c r="E908" i="103"/>
  <c r="L907" i="103"/>
  <c r="G907" i="103"/>
  <c r="B907" i="103"/>
  <c r="N903" i="103"/>
  <c r="M903" i="103"/>
  <c r="L903" i="103"/>
  <c r="I903" i="103"/>
  <c r="H903" i="103"/>
  <c r="G903" i="103"/>
  <c r="D903" i="103"/>
  <c r="C903" i="103"/>
  <c r="B903" i="103"/>
  <c r="O901" i="103"/>
  <c r="J901" i="103"/>
  <c r="E901" i="103"/>
  <c r="O900" i="103"/>
  <c r="J900" i="103"/>
  <c r="E900" i="103"/>
  <c r="O899" i="103"/>
  <c r="J899" i="103"/>
  <c r="E899" i="103"/>
  <c r="O898" i="103"/>
  <c r="J898" i="103"/>
  <c r="E898" i="103"/>
  <c r="O897" i="103"/>
  <c r="J897" i="103"/>
  <c r="E897" i="103"/>
  <c r="O896" i="103"/>
  <c r="J896" i="103"/>
  <c r="E896" i="103"/>
  <c r="O895" i="103"/>
  <c r="J895" i="103"/>
  <c r="E895" i="103"/>
  <c r="O894" i="103"/>
  <c r="J894" i="103"/>
  <c r="E894" i="103"/>
  <c r="O893" i="103"/>
  <c r="J893" i="103"/>
  <c r="E893" i="103"/>
  <c r="O891" i="103"/>
  <c r="J891" i="103"/>
  <c r="E891" i="103"/>
  <c r="L890" i="103"/>
  <c r="G890" i="103"/>
  <c r="B890" i="103"/>
  <c r="N886" i="103"/>
  <c r="M886" i="103"/>
  <c r="L886" i="103"/>
  <c r="I886" i="103"/>
  <c r="H886" i="103"/>
  <c r="G886" i="103"/>
  <c r="D886" i="103"/>
  <c r="C886" i="103"/>
  <c r="B886" i="103"/>
  <c r="O884" i="103"/>
  <c r="J884" i="103"/>
  <c r="E884" i="103"/>
  <c r="O883" i="103"/>
  <c r="J883" i="103"/>
  <c r="E883" i="103"/>
  <c r="O882" i="103"/>
  <c r="J882" i="103"/>
  <c r="E882" i="103"/>
  <c r="O881" i="103"/>
  <c r="J881" i="103"/>
  <c r="E881" i="103"/>
  <c r="O880" i="103"/>
  <c r="J880" i="103"/>
  <c r="E880" i="103"/>
  <c r="O879" i="103"/>
  <c r="J879" i="103"/>
  <c r="E879" i="103"/>
  <c r="O878" i="103"/>
  <c r="J878" i="103"/>
  <c r="E878" i="103"/>
  <c r="O877" i="103"/>
  <c r="J877" i="103"/>
  <c r="E877" i="103"/>
  <c r="O876" i="103"/>
  <c r="J876" i="103"/>
  <c r="E876" i="103"/>
  <c r="O874" i="103"/>
  <c r="J874" i="103"/>
  <c r="E874" i="103"/>
  <c r="L873" i="103"/>
  <c r="G873" i="103"/>
  <c r="B873" i="103"/>
  <c r="N869" i="103"/>
  <c r="M869" i="103"/>
  <c r="L869" i="103"/>
  <c r="I869" i="103"/>
  <c r="H869" i="103"/>
  <c r="G869" i="103"/>
  <c r="D869" i="103"/>
  <c r="C869" i="103"/>
  <c r="B869" i="103"/>
  <c r="O867" i="103"/>
  <c r="J867" i="103"/>
  <c r="E867" i="103"/>
  <c r="O866" i="103"/>
  <c r="J866" i="103"/>
  <c r="E866" i="103"/>
  <c r="O865" i="103"/>
  <c r="J865" i="103"/>
  <c r="E865" i="103"/>
  <c r="O864" i="103"/>
  <c r="J864" i="103"/>
  <c r="E864" i="103"/>
  <c r="O863" i="103"/>
  <c r="J863" i="103"/>
  <c r="E863" i="103"/>
  <c r="O862" i="103"/>
  <c r="J862" i="103"/>
  <c r="E862" i="103"/>
  <c r="O861" i="103"/>
  <c r="J861" i="103"/>
  <c r="E861" i="103"/>
  <c r="O860" i="103"/>
  <c r="J860" i="103"/>
  <c r="E860" i="103"/>
  <c r="O859" i="103"/>
  <c r="J859" i="103"/>
  <c r="E859" i="103"/>
  <c r="O857" i="103"/>
  <c r="J857" i="103"/>
  <c r="E857" i="103"/>
  <c r="L856" i="103"/>
  <c r="G856" i="103"/>
  <c r="B856" i="103"/>
  <c r="N852" i="103"/>
  <c r="M852" i="103"/>
  <c r="L852" i="103"/>
  <c r="I852" i="103"/>
  <c r="H852" i="103"/>
  <c r="G852" i="103"/>
  <c r="D852" i="103"/>
  <c r="C852" i="103"/>
  <c r="B852" i="103"/>
  <c r="O850" i="103"/>
  <c r="J850" i="103"/>
  <c r="E850" i="103"/>
  <c r="O849" i="103"/>
  <c r="J849" i="103"/>
  <c r="E849" i="103"/>
  <c r="O848" i="103"/>
  <c r="J848" i="103"/>
  <c r="E848" i="103"/>
  <c r="O847" i="103"/>
  <c r="J847" i="103"/>
  <c r="E847" i="103"/>
  <c r="O846" i="103"/>
  <c r="J846" i="103"/>
  <c r="E846" i="103"/>
  <c r="O845" i="103"/>
  <c r="J845" i="103"/>
  <c r="E845" i="103"/>
  <c r="O844" i="103"/>
  <c r="J844" i="103"/>
  <c r="E844" i="103"/>
  <c r="O843" i="103"/>
  <c r="J843" i="103"/>
  <c r="E843" i="103"/>
  <c r="O842" i="103"/>
  <c r="J842" i="103"/>
  <c r="E842" i="103"/>
  <c r="O840" i="103"/>
  <c r="J840" i="103"/>
  <c r="E840" i="103"/>
  <c r="L839" i="103"/>
  <c r="G839" i="103"/>
  <c r="B839" i="103"/>
  <c r="N835" i="103"/>
  <c r="M835" i="103"/>
  <c r="L835" i="103"/>
  <c r="I835" i="103"/>
  <c r="H835" i="103"/>
  <c r="G835" i="103"/>
  <c r="D835" i="103"/>
  <c r="C835" i="103"/>
  <c r="B835" i="103"/>
  <c r="O833" i="103"/>
  <c r="J833" i="103"/>
  <c r="E833" i="103"/>
  <c r="O832" i="103"/>
  <c r="J832" i="103"/>
  <c r="E832" i="103"/>
  <c r="O831" i="103"/>
  <c r="J831" i="103"/>
  <c r="E831" i="103"/>
  <c r="O830" i="103"/>
  <c r="J830" i="103"/>
  <c r="E830" i="103"/>
  <c r="O829" i="103"/>
  <c r="J829" i="103"/>
  <c r="E829" i="103"/>
  <c r="O828" i="103"/>
  <c r="J828" i="103"/>
  <c r="E828" i="103"/>
  <c r="O827" i="103"/>
  <c r="J827" i="103"/>
  <c r="E827" i="103"/>
  <c r="O826" i="103"/>
  <c r="J826" i="103"/>
  <c r="E826" i="103"/>
  <c r="O825" i="103"/>
  <c r="J825" i="103"/>
  <c r="E825" i="103"/>
  <c r="O823" i="103"/>
  <c r="J823" i="103"/>
  <c r="E823" i="103"/>
  <c r="L822" i="103"/>
  <c r="G822" i="103"/>
  <c r="B822" i="103"/>
  <c r="N818" i="103"/>
  <c r="M818" i="103"/>
  <c r="L818" i="103"/>
  <c r="I818" i="103"/>
  <c r="H818" i="103"/>
  <c r="G818" i="103"/>
  <c r="D818" i="103"/>
  <c r="C818" i="103"/>
  <c r="B818" i="103"/>
  <c r="O816" i="103"/>
  <c r="J816" i="103"/>
  <c r="E816" i="103"/>
  <c r="O815" i="103"/>
  <c r="J815" i="103"/>
  <c r="E815" i="103"/>
  <c r="O814" i="103"/>
  <c r="J814" i="103"/>
  <c r="E814" i="103"/>
  <c r="O813" i="103"/>
  <c r="J813" i="103"/>
  <c r="E813" i="103"/>
  <c r="O812" i="103"/>
  <c r="J812" i="103"/>
  <c r="E812" i="103"/>
  <c r="O811" i="103"/>
  <c r="J811" i="103"/>
  <c r="E811" i="103"/>
  <c r="O810" i="103"/>
  <c r="J810" i="103"/>
  <c r="E810" i="103"/>
  <c r="O809" i="103"/>
  <c r="J809" i="103"/>
  <c r="E809" i="103"/>
  <c r="O808" i="103"/>
  <c r="J808" i="103"/>
  <c r="E808" i="103"/>
  <c r="O806" i="103"/>
  <c r="J806" i="103"/>
  <c r="E806" i="103"/>
  <c r="L805" i="103"/>
  <c r="G805" i="103"/>
  <c r="B805" i="103"/>
  <c r="N801" i="103"/>
  <c r="M801" i="103"/>
  <c r="L801" i="103"/>
  <c r="I801" i="103"/>
  <c r="H801" i="103"/>
  <c r="G801" i="103"/>
  <c r="D801" i="103"/>
  <c r="C801" i="103"/>
  <c r="B801" i="103"/>
  <c r="O799" i="103"/>
  <c r="J799" i="103"/>
  <c r="E799" i="103"/>
  <c r="O798" i="103"/>
  <c r="J798" i="103"/>
  <c r="E798" i="103"/>
  <c r="O797" i="103"/>
  <c r="J797" i="103"/>
  <c r="E797" i="103"/>
  <c r="O796" i="103"/>
  <c r="J796" i="103"/>
  <c r="E796" i="103"/>
  <c r="O795" i="103"/>
  <c r="J795" i="103"/>
  <c r="E795" i="103"/>
  <c r="O794" i="103"/>
  <c r="J794" i="103"/>
  <c r="E794" i="103"/>
  <c r="O793" i="103"/>
  <c r="J793" i="103"/>
  <c r="E793" i="103"/>
  <c r="O792" i="103"/>
  <c r="J792" i="103"/>
  <c r="E792" i="103"/>
  <c r="O791" i="103"/>
  <c r="J791" i="103"/>
  <c r="E791" i="103"/>
  <c r="O789" i="103"/>
  <c r="J789" i="103"/>
  <c r="E789" i="103"/>
  <c r="L788" i="103"/>
  <c r="G788" i="103"/>
  <c r="B788" i="103"/>
  <c r="N784" i="103"/>
  <c r="M784" i="103"/>
  <c r="L784" i="103"/>
  <c r="I784" i="103"/>
  <c r="H784" i="103"/>
  <c r="G784" i="103"/>
  <c r="D784" i="103"/>
  <c r="C784" i="103"/>
  <c r="B784" i="103"/>
  <c r="O782" i="103"/>
  <c r="J782" i="103"/>
  <c r="E782" i="103"/>
  <c r="O781" i="103"/>
  <c r="J781" i="103"/>
  <c r="E781" i="103"/>
  <c r="O780" i="103"/>
  <c r="J780" i="103"/>
  <c r="E780" i="103"/>
  <c r="O779" i="103"/>
  <c r="J779" i="103"/>
  <c r="E779" i="103"/>
  <c r="O778" i="103"/>
  <c r="J778" i="103"/>
  <c r="E778" i="103"/>
  <c r="O777" i="103"/>
  <c r="J777" i="103"/>
  <c r="E777" i="103"/>
  <c r="O776" i="103"/>
  <c r="J776" i="103"/>
  <c r="E776" i="103"/>
  <c r="O775" i="103"/>
  <c r="J775" i="103"/>
  <c r="E775" i="103"/>
  <c r="O774" i="103"/>
  <c r="J774" i="103"/>
  <c r="E774" i="103"/>
  <c r="O772" i="103"/>
  <c r="J772" i="103"/>
  <c r="E772" i="103"/>
  <c r="L771" i="103"/>
  <c r="G771" i="103"/>
  <c r="B771" i="103"/>
  <c r="N767" i="103"/>
  <c r="M767" i="103"/>
  <c r="L767" i="103"/>
  <c r="I767" i="103"/>
  <c r="H767" i="103"/>
  <c r="G767" i="103"/>
  <c r="D767" i="103"/>
  <c r="C767" i="103"/>
  <c r="B767" i="103"/>
  <c r="O765" i="103"/>
  <c r="J765" i="103"/>
  <c r="E765" i="103"/>
  <c r="O764" i="103"/>
  <c r="J764" i="103"/>
  <c r="E764" i="103"/>
  <c r="O763" i="103"/>
  <c r="J763" i="103"/>
  <c r="E763" i="103"/>
  <c r="O762" i="103"/>
  <c r="J762" i="103"/>
  <c r="E762" i="103"/>
  <c r="O761" i="103"/>
  <c r="J761" i="103"/>
  <c r="E761" i="103"/>
  <c r="O760" i="103"/>
  <c r="J760" i="103"/>
  <c r="E760" i="103"/>
  <c r="O759" i="103"/>
  <c r="J759" i="103"/>
  <c r="E759" i="103"/>
  <c r="O758" i="103"/>
  <c r="J758" i="103"/>
  <c r="E758" i="103"/>
  <c r="O757" i="103"/>
  <c r="J757" i="103"/>
  <c r="E757" i="103"/>
  <c r="O755" i="103"/>
  <c r="J755" i="103"/>
  <c r="E755" i="103"/>
  <c r="L754" i="103"/>
  <c r="G754" i="103"/>
  <c r="B754" i="103"/>
  <c r="N750" i="103"/>
  <c r="M750" i="103"/>
  <c r="L750" i="103"/>
  <c r="I750" i="103"/>
  <c r="H750" i="103"/>
  <c r="G750" i="103"/>
  <c r="D750" i="103"/>
  <c r="C750" i="103"/>
  <c r="B750" i="103"/>
  <c r="O748" i="103"/>
  <c r="J748" i="103"/>
  <c r="E748" i="103"/>
  <c r="O747" i="103"/>
  <c r="J747" i="103"/>
  <c r="E747" i="103"/>
  <c r="O746" i="103"/>
  <c r="J746" i="103"/>
  <c r="E746" i="103"/>
  <c r="O745" i="103"/>
  <c r="J745" i="103"/>
  <c r="E745" i="103"/>
  <c r="O744" i="103"/>
  <c r="J744" i="103"/>
  <c r="E744" i="103"/>
  <c r="O743" i="103"/>
  <c r="J743" i="103"/>
  <c r="E743" i="103"/>
  <c r="O742" i="103"/>
  <c r="J742" i="103"/>
  <c r="E742" i="103"/>
  <c r="O741" i="103"/>
  <c r="J741" i="103"/>
  <c r="E741" i="103"/>
  <c r="O740" i="103"/>
  <c r="J740" i="103"/>
  <c r="E740" i="103"/>
  <c r="O738" i="103"/>
  <c r="J738" i="103"/>
  <c r="E738" i="103"/>
  <c r="L737" i="103"/>
  <c r="G737" i="103"/>
  <c r="B737" i="103"/>
  <c r="N733" i="103"/>
  <c r="M733" i="103"/>
  <c r="L733" i="103"/>
  <c r="I733" i="103"/>
  <c r="H733" i="103"/>
  <c r="G733" i="103"/>
  <c r="D733" i="103"/>
  <c r="C733" i="103"/>
  <c r="B733" i="103"/>
  <c r="O731" i="103"/>
  <c r="J731" i="103"/>
  <c r="E731" i="103"/>
  <c r="O730" i="103"/>
  <c r="J730" i="103"/>
  <c r="E730" i="103"/>
  <c r="O729" i="103"/>
  <c r="J729" i="103"/>
  <c r="E729" i="103"/>
  <c r="O728" i="103"/>
  <c r="J728" i="103"/>
  <c r="E728" i="103"/>
  <c r="O727" i="103"/>
  <c r="J727" i="103"/>
  <c r="E727" i="103"/>
  <c r="O726" i="103"/>
  <c r="J726" i="103"/>
  <c r="E726" i="103"/>
  <c r="O725" i="103"/>
  <c r="J725" i="103"/>
  <c r="E725" i="103"/>
  <c r="O724" i="103"/>
  <c r="J724" i="103"/>
  <c r="E724" i="103"/>
  <c r="O723" i="103"/>
  <c r="J723" i="103"/>
  <c r="E723" i="103"/>
  <c r="O721" i="103"/>
  <c r="J721" i="103"/>
  <c r="E721" i="103"/>
  <c r="L720" i="103"/>
  <c r="G720" i="103"/>
  <c r="B720" i="103"/>
  <c r="N716" i="103"/>
  <c r="M716" i="103"/>
  <c r="L716" i="103"/>
  <c r="I716" i="103"/>
  <c r="H716" i="103"/>
  <c r="G716" i="103"/>
  <c r="D716" i="103"/>
  <c r="C716" i="103"/>
  <c r="B716" i="103"/>
  <c r="O714" i="103"/>
  <c r="J714" i="103"/>
  <c r="E714" i="103"/>
  <c r="O713" i="103"/>
  <c r="J713" i="103"/>
  <c r="E713" i="103"/>
  <c r="O712" i="103"/>
  <c r="J712" i="103"/>
  <c r="E712" i="103"/>
  <c r="O711" i="103"/>
  <c r="J711" i="103"/>
  <c r="E711" i="103"/>
  <c r="O710" i="103"/>
  <c r="J710" i="103"/>
  <c r="E710" i="103"/>
  <c r="O709" i="103"/>
  <c r="J709" i="103"/>
  <c r="E709" i="103"/>
  <c r="O708" i="103"/>
  <c r="J708" i="103"/>
  <c r="E708" i="103"/>
  <c r="O707" i="103"/>
  <c r="J707" i="103"/>
  <c r="E707" i="103"/>
  <c r="O706" i="103"/>
  <c r="J706" i="103"/>
  <c r="E706" i="103"/>
  <c r="O704" i="103"/>
  <c r="J704" i="103"/>
  <c r="E704" i="103"/>
  <c r="L703" i="103"/>
  <c r="G703" i="103"/>
  <c r="B703" i="103"/>
  <c r="N699" i="103"/>
  <c r="M699" i="103"/>
  <c r="L699" i="103"/>
  <c r="I699" i="103"/>
  <c r="H699" i="103"/>
  <c r="G699" i="103"/>
  <c r="D699" i="103"/>
  <c r="C699" i="103"/>
  <c r="B699" i="103"/>
  <c r="O697" i="103"/>
  <c r="J697" i="103"/>
  <c r="E697" i="103"/>
  <c r="O696" i="103"/>
  <c r="J696" i="103"/>
  <c r="E696" i="103"/>
  <c r="O695" i="103"/>
  <c r="J695" i="103"/>
  <c r="E695" i="103"/>
  <c r="O694" i="103"/>
  <c r="J694" i="103"/>
  <c r="E694" i="103"/>
  <c r="O693" i="103"/>
  <c r="J693" i="103"/>
  <c r="E693" i="103"/>
  <c r="O692" i="103"/>
  <c r="J692" i="103"/>
  <c r="E692" i="103"/>
  <c r="O691" i="103"/>
  <c r="J691" i="103"/>
  <c r="E691" i="103"/>
  <c r="O690" i="103"/>
  <c r="J690" i="103"/>
  <c r="E690" i="103"/>
  <c r="O689" i="103"/>
  <c r="J689" i="103"/>
  <c r="E689" i="103"/>
  <c r="O687" i="103"/>
  <c r="J687" i="103"/>
  <c r="E687" i="103"/>
  <c r="L686" i="103"/>
  <c r="G686" i="103"/>
  <c r="B686" i="103"/>
  <c r="N682" i="103"/>
  <c r="M682" i="103"/>
  <c r="L682" i="103"/>
  <c r="I682" i="103"/>
  <c r="H682" i="103"/>
  <c r="G682" i="103"/>
  <c r="D682" i="103"/>
  <c r="C682" i="103"/>
  <c r="B682" i="103"/>
  <c r="O680" i="103"/>
  <c r="J680" i="103"/>
  <c r="E680" i="103"/>
  <c r="O679" i="103"/>
  <c r="J679" i="103"/>
  <c r="E679" i="103"/>
  <c r="O678" i="103"/>
  <c r="J678" i="103"/>
  <c r="E678" i="103"/>
  <c r="O677" i="103"/>
  <c r="J677" i="103"/>
  <c r="E677" i="103"/>
  <c r="O676" i="103"/>
  <c r="J676" i="103"/>
  <c r="E676" i="103"/>
  <c r="O675" i="103"/>
  <c r="J675" i="103"/>
  <c r="E675" i="103"/>
  <c r="O674" i="103"/>
  <c r="J674" i="103"/>
  <c r="E674" i="103"/>
  <c r="O673" i="103"/>
  <c r="J673" i="103"/>
  <c r="E673" i="103"/>
  <c r="O672" i="103"/>
  <c r="J672" i="103"/>
  <c r="E672" i="103"/>
  <c r="O670" i="103"/>
  <c r="J670" i="103"/>
  <c r="E670" i="103"/>
  <c r="L669" i="103"/>
  <c r="G669" i="103"/>
  <c r="B669" i="103"/>
  <c r="N665" i="103"/>
  <c r="M665" i="103"/>
  <c r="L665" i="103"/>
  <c r="I665" i="103"/>
  <c r="H665" i="103"/>
  <c r="G665" i="103"/>
  <c r="D665" i="103"/>
  <c r="C665" i="103"/>
  <c r="B665" i="103"/>
  <c r="O663" i="103"/>
  <c r="J663" i="103"/>
  <c r="E663" i="103"/>
  <c r="O662" i="103"/>
  <c r="J662" i="103"/>
  <c r="E662" i="103"/>
  <c r="O661" i="103"/>
  <c r="J661" i="103"/>
  <c r="E661" i="103"/>
  <c r="O660" i="103"/>
  <c r="J660" i="103"/>
  <c r="E660" i="103"/>
  <c r="O659" i="103"/>
  <c r="J659" i="103"/>
  <c r="E659" i="103"/>
  <c r="O658" i="103"/>
  <c r="J658" i="103"/>
  <c r="E658" i="103"/>
  <c r="O657" i="103"/>
  <c r="J657" i="103"/>
  <c r="E657" i="103"/>
  <c r="O656" i="103"/>
  <c r="J656" i="103"/>
  <c r="E656" i="103"/>
  <c r="O655" i="103"/>
  <c r="J655" i="103"/>
  <c r="E655" i="103"/>
  <c r="O653" i="103"/>
  <c r="J653" i="103"/>
  <c r="E653" i="103"/>
  <c r="L652" i="103"/>
  <c r="G652" i="103"/>
  <c r="B652" i="103"/>
  <c r="N648" i="103"/>
  <c r="M648" i="103"/>
  <c r="L648" i="103"/>
  <c r="I648" i="103"/>
  <c r="H648" i="103"/>
  <c r="G648" i="103"/>
  <c r="D648" i="103"/>
  <c r="C648" i="103"/>
  <c r="B648" i="103"/>
  <c r="O646" i="103"/>
  <c r="J646" i="103"/>
  <c r="E646" i="103"/>
  <c r="O645" i="103"/>
  <c r="J645" i="103"/>
  <c r="E645" i="103"/>
  <c r="O644" i="103"/>
  <c r="J644" i="103"/>
  <c r="E644" i="103"/>
  <c r="O643" i="103"/>
  <c r="J643" i="103"/>
  <c r="E643" i="103"/>
  <c r="O642" i="103"/>
  <c r="J642" i="103"/>
  <c r="E642" i="103"/>
  <c r="O641" i="103"/>
  <c r="J641" i="103"/>
  <c r="E641" i="103"/>
  <c r="O640" i="103"/>
  <c r="J640" i="103"/>
  <c r="E640" i="103"/>
  <c r="O639" i="103"/>
  <c r="J639" i="103"/>
  <c r="E639" i="103"/>
  <c r="O638" i="103"/>
  <c r="J638" i="103"/>
  <c r="E638" i="103"/>
  <c r="O636" i="103"/>
  <c r="J636" i="103"/>
  <c r="E636" i="103"/>
  <c r="L635" i="103"/>
  <c r="G635" i="103"/>
  <c r="B635" i="103"/>
  <c r="N631" i="103"/>
  <c r="M631" i="103"/>
  <c r="L631" i="103"/>
  <c r="I631" i="103"/>
  <c r="H631" i="103"/>
  <c r="G631" i="103"/>
  <c r="D631" i="103"/>
  <c r="C631" i="103"/>
  <c r="B631" i="103"/>
  <c r="O629" i="103"/>
  <c r="J629" i="103"/>
  <c r="E629" i="103"/>
  <c r="O628" i="103"/>
  <c r="J628" i="103"/>
  <c r="E628" i="103"/>
  <c r="O627" i="103"/>
  <c r="J627" i="103"/>
  <c r="E627" i="103"/>
  <c r="O626" i="103"/>
  <c r="J626" i="103"/>
  <c r="E626" i="103"/>
  <c r="O625" i="103"/>
  <c r="J625" i="103"/>
  <c r="E625" i="103"/>
  <c r="O624" i="103"/>
  <c r="J624" i="103"/>
  <c r="E624" i="103"/>
  <c r="O623" i="103"/>
  <c r="J623" i="103"/>
  <c r="E623" i="103"/>
  <c r="O622" i="103"/>
  <c r="J622" i="103"/>
  <c r="E622" i="103"/>
  <c r="O621" i="103"/>
  <c r="J621" i="103"/>
  <c r="E621" i="103"/>
  <c r="O619" i="103"/>
  <c r="J619" i="103"/>
  <c r="E619" i="103"/>
  <c r="L618" i="103"/>
  <c r="G618" i="103"/>
  <c r="B618" i="103"/>
  <c r="N614" i="103"/>
  <c r="M614" i="103"/>
  <c r="L614" i="103"/>
  <c r="I614" i="103"/>
  <c r="H614" i="103"/>
  <c r="G614" i="103"/>
  <c r="D614" i="103"/>
  <c r="C614" i="103"/>
  <c r="B614" i="103"/>
  <c r="O612" i="103"/>
  <c r="J612" i="103"/>
  <c r="E612" i="103"/>
  <c r="O611" i="103"/>
  <c r="J611" i="103"/>
  <c r="E611" i="103"/>
  <c r="O610" i="103"/>
  <c r="J610" i="103"/>
  <c r="E610" i="103"/>
  <c r="O609" i="103"/>
  <c r="J609" i="103"/>
  <c r="E609" i="103"/>
  <c r="O608" i="103"/>
  <c r="J608" i="103"/>
  <c r="E608" i="103"/>
  <c r="O607" i="103"/>
  <c r="J607" i="103"/>
  <c r="E607" i="103"/>
  <c r="O606" i="103"/>
  <c r="J606" i="103"/>
  <c r="E606" i="103"/>
  <c r="O605" i="103"/>
  <c r="J605" i="103"/>
  <c r="E605" i="103"/>
  <c r="O604" i="103"/>
  <c r="J604" i="103"/>
  <c r="E604" i="103"/>
  <c r="O602" i="103"/>
  <c r="J602" i="103"/>
  <c r="E602" i="103"/>
  <c r="L601" i="103"/>
  <c r="G601" i="103"/>
  <c r="B601" i="103"/>
  <c r="N597" i="103"/>
  <c r="M597" i="103"/>
  <c r="L597" i="103"/>
  <c r="I597" i="103"/>
  <c r="H597" i="103"/>
  <c r="G597" i="103"/>
  <c r="D597" i="103"/>
  <c r="C597" i="103"/>
  <c r="B597" i="103"/>
  <c r="O595" i="103"/>
  <c r="J595" i="103"/>
  <c r="E595" i="103"/>
  <c r="O594" i="103"/>
  <c r="J594" i="103"/>
  <c r="E594" i="103"/>
  <c r="O593" i="103"/>
  <c r="J593" i="103"/>
  <c r="E593" i="103"/>
  <c r="O592" i="103"/>
  <c r="J592" i="103"/>
  <c r="E592" i="103"/>
  <c r="O591" i="103"/>
  <c r="J591" i="103"/>
  <c r="E591" i="103"/>
  <c r="O590" i="103"/>
  <c r="J590" i="103"/>
  <c r="E590" i="103"/>
  <c r="O589" i="103"/>
  <c r="J589" i="103"/>
  <c r="E589" i="103"/>
  <c r="O588" i="103"/>
  <c r="J588" i="103"/>
  <c r="E588" i="103"/>
  <c r="O587" i="103"/>
  <c r="J587" i="103"/>
  <c r="E587" i="103"/>
  <c r="O585" i="103"/>
  <c r="J585" i="103"/>
  <c r="E585" i="103"/>
  <c r="L584" i="103"/>
  <c r="G584" i="103"/>
  <c r="B584" i="103"/>
  <c r="N580" i="103"/>
  <c r="M580" i="103"/>
  <c r="L580" i="103"/>
  <c r="I580" i="103"/>
  <c r="H580" i="103"/>
  <c r="G580" i="103"/>
  <c r="D580" i="103"/>
  <c r="C580" i="103"/>
  <c r="B580" i="103"/>
  <c r="O578" i="103"/>
  <c r="J578" i="103"/>
  <c r="E578" i="103"/>
  <c r="O577" i="103"/>
  <c r="J577" i="103"/>
  <c r="E577" i="103"/>
  <c r="O576" i="103"/>
  <c r="J576" i="103"/>
  <c r="E576" i="103"/>
  <c r="O575" i="103"/>
  <c r="J575" i="103"/>
  <c r="E575" i="103"/>
  <c r="O574" i="103"/>
  <c r="J574" i="103"/>
  <c r="E574" i="103"/>
  <c r="O573" i="103"/>
  <c r="J573" i="103"/>
  <c r="E573" i="103"/>
  <c r="O572" i="103"/>
  <c r="J572" i="103"/>
  <c r="E572" i="103"/>
  <c r="O571" i="103"/>
  <c r="J571" i="103"/>
  <c r="E571" i="103"/>
  <c r="O570" i="103"/>
  <c r="J570" i="103"/>
  <c r="E570" i="103"/>
  <c r="O568" i="103"/>
  <c r="J568" i="103"/>
  <c r="E568" i="103"/>
  <c r="L567" i="103"/>
  <c r="G567" i="103"/>
  <c r="B567" i="103"/>
  <c r="N563" i="103"/>
  <c r="M563" i="103"/>
  <c r="L563" i="103"/>
  <c r="I563" i="103"/>
  <c r="H563" i="103"/>
  <c r="G563" i="103"/>
  <c r="D563" i="103"/>
  <c r="C563" i="103"/>
  <c r="B563" i="103"/>
  <c r="O561" i="103"/>
  <c r="J561" i="103"/>
  <c r="E561" i="103"/>
  <c r="O560" i="103"/>
  <c r="J560" i="103"/>
  <c r="E560" i="103"/>
  <c r="O559" i="103"/>
  <c r="J559" i="103"/>
  <c r="E559" i="103"/>
  <c r="O558" i="103"/>
  <c r="J558" i="103"/>
  <c r="E558" i="103"/>
  <c r="O557" i="103"/>
  <c r="J557" i="103"/>
  <c r="E557" i="103"/>
  <c r="O556" i="103"/>
  <c r="J556" i="103"/>
  <c r="E556" i="103"/>
  <c r="O555" i="103"/>
  <c r="J555" i="103"/>
  <c r="E555" i="103"/>
  <c r="O554" i="103"/>
  <c r="J554" i="103"/>
  <c r="E554" i="103"/>
  <c r="O553" i="103"/>
  <c r="J553" i="103"/>
  <c r="E553" i="103"/>
  <c r="O551" i="103"/>
  <c r="J551" i="103"/>
  <c r="E551" i="103"/>
  <c r="L550" i="103"/>
  <c r="G550" i="103"/>
  <c r="B550" i="103"/>
  <c r="N546" i="103"/>
  <c r="M546" i="103"/>
  <c r="L546" i="103"/>
  <c r="I546" i="103"/>
  <c r="H546" i="103"/>
  <c r="G546" i="103"/>
  <c r="D546" i="103"/>
  <c r="C546" i="103"/>
  <c r="B546" i="103"/>
  <c r="O544" i="103"/>
  <c r="J544" i="103"/>
  <c r="E544" i="103"/>
  <c r="O543" i="103"/>
  <c r="J543" i="103"/>
  <c r="E543" i="103"/>
  <c r="O542" i="103"/>
  <c r="J542" i="103"/>
  <c r="E542" i="103"/>
  <c r="O541" i="103"/>
  <c r="J541" i="103"/>
  <c r="E541" i="103"/>
  <c r="O540" i="103"/>
  <c r="J540" i="103"/>
  <c r="E540" i="103"/>
  <c r="O539" i="103"/>
  <c r="J539" i="103"/>
  <c r="E539" i="103"/>
  <c r="O538" i="103"/>
  <c r="J538" i="103"/>
  <c r="E538" i="103"/>
  <c r="O537" i="103"/>
  <c r="J537" i="103"/>
  <c r="E537" i="103"/>
  <c r="O536" i="103"/>
  <c r="J536" i="103"/>
  <c r="E536" i="103"/>
  <c r="O534" i="103"/>
  <c r="J534" i="103"/>
  <c r="E534" i="103"/>
  <c r="L533" i="103"/>
  <c r="G533" i="103"/>
  <c r="B533" i="103"/>
  <c r="N529" i="103"/>
  <c r="M529" i="103"/>
  <c r="L529" i="103"/>
  <c r="I529" i="103"/>
  <c r="H529" i="103"/>
  <c r="G529" i="103"/>
  <c r="D529" i="103"/>
  <c r="C529" i="103"/>
  <c r="B529" i="103"/>
  <c r="O527" i="103"/>
  <c r="J527" i="103"/>
  <c r="E527" i="103"/>
  <c r="O526" i="103"/>
  <c r="J526" i="103"/>
  <c r="E526" i="103"/>
  <c r="O525" i="103"/>
  <c r="J525" i="103"/>
  <c r="E525" i="103"/>
  <c r="O524" i="103"/>
  <c r="J524" i="103"/>
  <c r="E524" i="103"/>
  <c r="O523" i="103"/>
  <c r="J523" i="103"/>
  <c r="E523" i="103"/>
  <c r="O522" i="103"/>
  <c r="J522" i="103"/>
  <c r="E522" i="103"/>
  <c r="O521" i="103"/>
  <c r="J521" i="103"/>
  <c r="E521" i="103"/>
  <c r="O520" i="103"/>
  <c r="J520" i="103"/>
  <c r="E520" i="103"/>
  <c r="O519" i="103"/>
  <c r="J519" i="103"/>
  <c r="E519" i="103"/>
  <c r="O517" i="103"/>
  <c r="J517" i="103"/>
  <c r="E517" i="103"/>
  <c r="L516" i="103"/>
  <c r="G516" i="103"/>
  <c r="B516" i="103"/>
  <c r="N512" i="103"/>
  <c r="M512" i="103"/>
  <c r="L512" i="103"/>
  <c r="I512" i="103"/>
  <c r="H512" i="103"/>
  <c r="G512" i="103"/>
  <c r="D512" i="103"/>
  <c r="C512" i="103"/>
  <c r="B512" i="103"/>
  <c r="O510" i="103"/>
  <c r="J510" i="103"/>
  <c r="E510" i="103"/>
  <c r="O509" i="103"/>
  <c r="J509" i="103"/>
  <c r="E509" i="103"/>
  <c r="O508" i="103"/>
  <c r="J508" i="103"/>
  <c r="E508" i="103"/>
  <c r="O507" i="103"/>
  <c r="J507" i="103"/>
  <c r="E507" i="103"/>
  <c r="O506" i="103"/>
  <c r="J506" i="103"/>
  <c r="E506" i="103"/>
  <c r="O505" i="103"/>
  <c r="J505" i="103"/>
  <c r="E505" i="103"/>
  <c r="O504" i="103"/>
  <c r="J504" i="103"/>
  <c r="E504" i="103"/>
  <c r="O503" i="103"/>
  <c r="J503" i="103"/>
  <c r="E503" i="103"/>
  <c r="O502" i="103"/>
  <c r="J502" i="103"/>
  <c r="E502" i="103"/>
  <c r="O500" i="103"/>
  <c r="J500" i="103"/>
  <c r="E500" i="103"/>
  <c r="L499" i="103"/>
  <c r="G499" i="103"/>
  <c r="B499" i="103"/>
  <c r="N495" i="103"/>
  <c r="M495" i="103"/>
  <c r="L495" i="103"/>
  <c r="I495" i="103"/>
  <c r="H495" i="103"/>
  <c r="G495" i="103"/>
  <c r="D495" i="103"/>
  <c r="C495" i="103"/>
  <c r="B495" i="103"/>
  <c r="O493" i="103"/>
  <c r="J493" i="103"/>
  <c r="E493" i="103"/>
  <c r="O492" i="103"/>
  <c r="J492" i="103"/>
  <c r="E492" i="103"/>
  <c r="O491" i="103"/>
  <c r="J491" i="103"/>
  <c r="E491" i="103"/>
  <c r="O490" i="103"/>
  <c r="J490" i="103"/>
  <c r="E490" i="103"/>
  <c r="O489" i="103"/>
  <c r="J489" i="103"/>
  <c r="E489" i="103"/>
  <c r="O488" i="103"/>
  <c r="J488" i="103"/>
  <c r="E488" i="103"/>
  <c r="O487" i="103"/>
  <c r="J487" i="103"/>
  <c r="E487" i="103"/>
  <c r="O486" i="103"/>
  <c r="J486" i="103"/>
  <c r="E486" i="103"/>
  <c r="O485" i="103"/>
  <c r="J485" i="103"/>
  <c r="E485" i="103"/>
  <c r="O483" i="103"/>
  <c r="J483" i="103"/>
  <c r="E483" i="103"/>
  <c r="L482" i="103"/>
  <c r="G482" i="103"/>
  <c r="B482" i="103"/>
  <c r="N478" i="103"/>
  <c r="M478" i="103"/>
  <c r="L478" i="103"/>
  <c r="I478" i="103"/>
  <c r="H478" i="103"/>
  <c r="G478" i="103"/>
  <c r="D478" i="103"/>
  <c r="C478" i="103"/>
  <c r="B478" i="103"/>
  <c r="O476" i="103"/>
  <c r="J476" i="103"/>
  <c r="E476" i="103"/>
  <c r="O475" i="103"/>
  <c r="J475" i="103"/>
  <c r="E475" i="103"/>
  <c r="O474" i="103"/>
  <c r="J474" i="103"/>
  <c r="E474" i="103"/>
  <c r="O473" i="103"/>
  <c r="J473" i="103"/>
  <c r="E473" i="103"/>
  <c r="O472" i="103"/>
  <c r="J472" i="103"/>
  <c r="E472" i="103"/>
  <c r="O471" i="103"/>
  <c r="J471" i="103"/>
  <c r="E471" i="103"/>
  <c r="O470" i="103"/>
  <c r="J470" i="103"/>
  <c r="E470" i="103"/>
  <c r="O469" i="103"/>
  <c r="J469" i="103"/>
  <c r="E469" i="103"/>
  <c r="O468" i="103"/>
  <c r="J468" i="103"/>
  <c r="E468" i="103"/>
  <c r="O466" i="103"/>
  <c r="J466" i="103"/>
  <c r="E466" i="103"/>
  <c r="L465" i="103"/>
  <c r="G465" i="103"/>
  <c r="B465" i="103"/>
  <c r="N461" i="103"/>
  <c r="M461" i="103"/>
  <c r="L461" i="103"/>
  <c r="I461" i="103"/>
  <c r="H461" i="103"/>
  <c r="G461" i="103"/>
  <c r="D461" i="103"/>
  <c r="C461" i="103"/>
  <c r="B461" i="103"/>
  <c r="O459" i="103"/>
  <c r="J459" i="103"/>
  <c r="E459" i="103"/>
  <c r="O458" i="103"/>
  <c r="J458" i="103"/>
  <c r="E458" i="103"/>
  <c r="O457" i="103"/>
  <c r="J457" i="103"/>
  <c r="E457" i="103"/>
  <c r="O456" i="103"/>
  <c r="J456" i="103"/>
  <c r="E456" i="103"/>
  <c r="O455" i="103"/>
  <c r="J455" i="103"/>
  <c r="E455" i="103"/>
  <c r="O454" i="103"/>
  <c r="J454" i="103"/>
  <c r="E454" i="103"/>
  <c r="O453" i="103"/>
  <c r="J453" i="103"/>
  <c r="E453" i="103"/>
  <c r="O452" i="103"/>
  <c r="J452" i="103"/>
  <c r="E452" i="103"/>
  <c r="O451" i="103"/>
  <c r="J451" i="103"/>
  <c r="E451" i="103"/>
  <c r="O449" i="103"/>
  <c r="J449" i="103"/>
  <c r="E449" i="103"/>
  <c r="L448" i="103"/>
  <c r="G448" i="103"/>
  <c r="B448" i="103"/>
  <c r="N444" i="103"/>
  <c r="M444" i="103"/>
  <c r="L444" i="103"/>
  <c r="I444" i="103"/>
  <c r="H444" i="103"/>
  <c r="G444" i="103"/>
  <c r="D444" i="103"/>
  <c r="C444" i="103"/>
  <c r="B444" i="103"/>
  <c r="O442" i="103"/>
  <c r="J442" i="103"/>
  <c r="E442" i="103"/>
  <c r="O441" i="103"/>
  <c r="J441" i="103"/>
  <c r="E441" i="103"/>
  <c r="O440" i="103"/>
  <c r="J440" i="103"/>
  <c r="E440" i="103"/>
  <c r="O439" i="103"/>
  <c r="J439" i="103"/>
  <c r="E439" i="103"/>
  <c r="O438" i="103"/>
  <c r="J438" i="103"/>
  <c r="E438" i="103"/>
  <c r="O437" i="103"/>
  <c r="J437" i="103"/>
  <c r="E437" i="103"/>
  <c r="O436" i="103"/>
  <c r="J436" i="103"/>
  <c r="E436" i="103"/>
  <c r="O435" i="103"/>
  <c r="J435" i="103"/>
  <c r="E435" i="103"/>
  <c r="O434" i="103"/>
  <c r="J434" i="103"/>
  <c r="E434" i="103"/>
  <c r="O432" i="103"/>
  <c r="J432" i="103"/>
  <c r="E432" i="103"/>
  <c r="L431" i="103"/>
  <c r="G431" i="103"/>
  <c r="B431" i="103"/>
  <c r="N427" i="103"/>
  <c r="M427" i="103"/>
  <c r="L427" i="103"/>
  <c r="I427" i="103"/>
  <c r="H427" i="103"/>
  <c r="G427" i="103"/>
  <c r="D427" i="103"/>
  <c r="C427" i="103"/>
  <c r="B427" i="103"/>
  <c r="O425" i="103"/>
  <c r="J425" i="103"/>
  <c r="E425" i="103"/>
  <c r="O424" i="103"/>
  <c r="J424" i="103"/>
  <c r="E424" i="103"/>
  <c r="O423" i="103"/>
  <c r="J423" i="103"/>
  <c r="E423" i="103"/>
  <c r="O422" i="103"/>
  <c r="J422" i="103"/>
  <c r="E422" i="103"/>
  <c r="O421" i="103"/>
  <c r="J421" i="103"/>
  <c r="E421" i="103"/>
  <c r="O420" i="103"/>
  <c r="J420" i="103"/>
  <c r="E420" i="103"/>
  <c r="O419" i="103"/>
  <c r="J419" i="103"/>
  <c r="E419" i="103"/>
  <c r="O418" i="103"/>
  <c r="J418" i="103"/>
  <c r="E418" i="103"/>
  <c r="O417" i="103"/>
  <c r="J417" i="103"/>
  <c r="E417" i="103"/>
  <c r="O415" i="103"/>
  <c r="J415" i="103"/>
  <c r="E415" i="103"/>
  <c r="L414" i="103"/>
  <c r="G414" i="103"/>
  <c r="B414" i="103"/>
  <c r="N410" i="103"/>
  <c r="M410" i="103"/>
  <c r="L410" i="103"/>
  <c r="I410" i="103"/>
  <c r="H410" i="103"/>
  <c r="G410" i="103"/>
  <c r="D410" i="103"/>
  <c r="C410" i="103"/>
  <c r="B410" i="103"/>
  <c r="O408" i="103"/>
  <c r="J408" i="103"/>
  <c r="E408" i="103"/>
  <c r="O407" i="103"/>
  <c r="J407" i="103"/>
  <c r="E407" i="103"/>
  <c r="O406" i="103"/>
  <c r="J406" i="103"/>
  <c r="E406" i="103"/>
  <c r="O405" i="103"/>
  <c r="J405" i="103"/>
  <c r="E405" i="103"/>
  <c r="O404" i="103"/>
  <c r="J404" i="103"/>
  <c r="E404" i="103"/>
  <c r="O403" i="103"/>
  <c r="J403" i="103"/>
  <c r="E403" i="103"/>
  <c r="O402" i="103"/>
  <c r="J402" i="103"/>
  <c r="E402" i="103"/>
  <c r="O401" i="103"/>
  <c r="J401" i="103"/>
  <c r="E401" i="103"/>
  <c r="O400" i="103"/>
  <c r="J400" i="103"/>
  <c r="E400" i="103"/>
  <c r="O398" i="103"/>
  <c r="J398" i="103"/>
  <c r="E398" i="103"/>
  <c r="L397" i="103"/>
  <c r="G397" i="103"/>
  <c r="B397" i="103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566" i="102" l="1"/>
  <c r="E276" i="102"/>
  <c r="Y156" i="102"/>
  <c r="E41" i="102"/>
  <c r="E321" i="102"/>
  <c r="E241" i="102"/>
  <c r="J466" i="102"/>
  <c r="T156" i="102"/>
  <c r="J321" i="102"/>
  <c r="E296" i="102"/>
  <c r="Y41" i="102"/>
  <c r="E156" i="102"/>
  <c r="T216" i="102"/>
  <c r="O541" i="102"/>
  <c r="J66" i="102"/>
  <c r="E426" i="102"/>
  <c r="T321" i="102"/>
  <c r="J426" i="102"/>
  <c r="J276" i="102"/>
  <c r="E511" i="102"/>
  <c r="T371" i="102"/>
  <c r="J511" i="102"/>
  <c r="T41" i="102"/>
  <c r="O276" i="102"/>
  <c r="J156" i="102"/>
  <c r="J41" i="102"/>
  <c r="J216" i="102"/>
  <c r="O511" i="102"/>
  <c r="T296" i="102"/>
  <c r="O156" i="102"/>
  <c r="J541" i="102"/>
  <c r="Y191" i="102"/>
  <c r="Y276" i="102"/>
  <c r="O566" i="102"/>
  <c r="J296" i="102"/>
  <c r="O296" i="102"/>
  <c r="E346" i="102"/>
  <c r="E371" i="102"/>
  <c r="O191" i="102"/>
  <c r="O41" i="102"/>
  <c r="O426" i="102"/>
  <c r="J241" i="102"/>
  <c r="O371" i="102"/>
  <c r="Y371" i="102"/>
  <c r="T241" i="102"/>
  <c r="Y296" i="102"/>
  <c r="O321" i="102"/>
  <c r="T346" i="102"/>
  <c r="T511" i="102"/>
  <c r="E566" i="102"/>
  <c r="E466" i="102"/>
  <c r="Y66" i="102"/>
  <c r="E191" i="102"/>
  <c r="Y241" i="102"/>
  <c r="T426" i="102"/>
  <c r="Y346" i="102"/>
  <c r="E66" i="102"/>
  <c r="O346" i="102"/>
  <c r="Y426" i="102"/>
  <c r="T466" i="102"/>
  <c r="T541" i="102"/>
  <c r="J346" i="102"/>
  <c r="O66" i="102"/>
  <c r="Y216" i="102"/>
  <c r="Y566" i="102"/>
  <c r="T276" i="102"/>
  <c r="J371" i="102"/>
  <c r="T66" i="102"/>
  <c r="T191" i="102"/>
  <c r="Y321" i="102"/>
  <c r="O241" i="102"/>
  <c r="Y511" i="102"/>
  <c r="Y466" i="102"/>
  <c r="O216" i="102"/>
  <c r="O466" i="102"/>
  <c r="Y541" i="102"/>
  <c r="T566" i="102"/>
  <c r="J191" i="102"/>
  <c r="E216" i="102"/>
  <c r="E541" i="102"/>
  <c r="E546" i="103"/>
  <c r="O580" i="103"/>
  <c r="J631" i="103"/>
  <c r="E682" i="103"/>
  <c r="O682" i="103"/>
  <c r="O716" i="103"/>
  <c r="J767" i="103"/>
  <c r="E818" i="103"/>
  <c r="O818" i="103"/>
  <c r="O852" i="103"/>
  <c r="J903" i="103"/>
  <c r="E954" i="103"/>
  <c r="O988" i="103"/>
  <c r="E1090" i="103"/>
  <c r="J1175" i="103"/>
  <c r="E1226" i="103"/>
  <c r="O1260" i="103"/>
  <c r="E53" i="103"/>
  <c r="O70" i="103"/>
  <c r="J410" i="103"/>
  <c r="O359" i="103"/>
  <c r="E529" i="103"/>
  <c r="O87" i="103"/>
  <c r="E461" i="103"/>
  <c r="J138" i="103"/>
  <c r="E189" i="103"/>
  <c r="E325" i="103"/>
  <c r="E240" i="103"/>
  <c r="E376" i="103"/>
  <c r="J546" i="103"/>
  <c r="J818" i="103"/>
  <c r="J1090" i="103"/>
  <c r="O1243" i="103"/>
  <c r="E1277" i="103"/>
  <c r="O53" i="103"/>
  <c r="J376" i="103"/>
  <c r="O461" i="103"/>
  <c r="O886" i="103"/>
  <c r="E1192" i="103"/>
  <c r="O1226" i="103"/>
  <c r="J240" i="103"/>
  <c r="J291" i="103"/>
  <c r="J427" i="103"/>
  <c r="J648" i="103"/>
  <c r="O733" i="103"/>
  <c r="O869" i="103"/>
  <c r="E1107" i="103"/>
  <c r="O1277" i="103"/>
  <c r="J70" i="103"/>
  <c r="E121" i="103"/>
  <c r="J206" i="103"/>
  <c r="E257" i="103"/>
  <c r="O291" i="103"/>
  <c r="J342" i="103"/>
  <c r="E393" i="103"/>
  <c r="O427" i="103"/>
  <c r="J478" i="103"/>
  <c r="J563" i="103"/>
  <c r="E614" i="103"/>
  <c r="O648" i="103"/>
  <c r="J699" i="103"/>
  <c r="E750" i="103"/>
  <c r="O784" i="103"/>
  <c r="J835" i="103"/>
  <c r="O920" i="103"/>
  <c r="J971" i="103"/>
  <c r="E1022" i="103"/>
  <c r="O1056" i="103"/>
  <c r="J1107" i="103"/>
  <c r="E1124" i="103"/>
  <c r="O1124" i="103"/>
  <c r="E1158" i="103"/>
  <c r="O1192" i="103"/>
  <c r="J1243" i="103"/>
  <c r="E1294" i="103"/>
  <c r="J53" i="103"/>
  <c r="E70" i="103"/>
  <c r="J325" i="103"/>
  <c r="E869" i="103"/>
  <c r="O1022" i="103"/>
  <c r="E1243" i="103"/>
  <c r="E155" i="103"/>
  <c r="E291" i="103"/>
  <c r="J512" i="103"/>
  <c r="E648" i="103"/>
  <c r="J733" i="103"/>
  <c r="E886" i="103"/>
  <c r="E1056" i="103"/>
  <c r="E206" i="103"/>
  <c r="O240" i="103"/>
  <c r="O376" i="103"/>
  <c r="E478" i="103"/>
  <c r="O495" i="103"/>
  <c r="J614" i="103"/>
  <c r="J920" i="103"/>
  <c r="E971" i="103"/>
  <c r="O1141" i="103"/>
  <c r="J121" i="103"/>
  <c r="E172" i="103"/>
  <c r="O206" i="103"/>
  <c r="J257" i="103"/>
  <c r="E308" i="103"/>
  <c r="O342" i="103"/>
  <c r="J393" i="103"/>
  <c r="E444" i="103"/>
  <c r="O478" i="103"/>
  <c r="J529" i="103"/>
  <c r="O563" i="103"/>
  <c r="E665" i="103"/>
  <c r="O699" i="103"/>
  <c r="J750" i="103"/>
  <c r="E801" i="103"/>
  <c r="O835" i="103"/>
  <c r="J869" i="103"/>
  <c r="J886" i="103"/>
  <c r="E937" i="103"/>
  <c r="O971" i="103"/>
  <c r="J1022" i="103"/>
  <c r="E1073" i="103"/>
  <c r="O1107" i="103"/>
  <c r="E1209" i="103"/>
  <c r="J1294" i="103"/>
  <c r="O138" i="103"/>
  <c r="O274" i="103"/>
  <c r="J461" i="103"/>
  <c r="E512" i="103"/>
  <c r="E733" i="103"/>
  <c r="J1039" i="103"/>
  <c r="J1226" i="103"/>
  <c r="E427" i="103"/>
  <c r="O1090" i="103"/>
  <c r="J1277" i="103"/>
  <c r="E563" i="103"/>
  <c r="J1005" i="103"/>
  <c r="J1192" i="103"/>
  <c r="O121" i="103"/>
  <c r="J172" i="103"/>
  <c r="E223" i="103"/>
  <c r="O223" i="103"/>
  <c r="J274" i="103"/>
  <c r="J308" i="103"/>
  <c r="E359" i="103"/>
  <c r="J444" i="103"/>
  <c r="E495" i="103"/>
  <c r="O512" i="103"/>
  <c r="E580" i="103"/>
  <c r="O597" i="103"/>
  <c r="O614" i="103"/>
  <c r="J665" i="103"/>
  <c r="E716" i="103"/>
  <c r="O750" i="103"/>
  <c r="J801" i="103"/>
  <c r="E852" i="103"/>
  <c r="J937" i="103"/>
  <c r="E988" i="103"/>
  <c r="J1073" i="103"/>
  <c r="O1158" i="103"/>
  <c r="J1158" i="103"/>
  <c r="J1209" i="103"/>
  <c r="E1260" i="103"/>
  <c r="O1294" i="103"/>
  <c r="J189" i="103"/>
  <c r="O257" i="103"/>
  <c r="O393" i="103"/>
  <c r="O410" i="103"/>
  <c r="E597" i="103"/>
  <c r="O631" i="103"/>
  <c r="J682" i="103"/>
  <c r="O767" i="103"/>
  <c r="O903" i="103"/>
  <c r="J954" i="103"/>
  <c r="E1005" i="103"/>
  <c r="O1039" i="103"/>
  <c r="E1141" i="103"/>
  <c r="O1175" i="103"/>
  <c r="J104" i="103"/>
  <c r="O189" i="103"/>
  <c r="O325" i="103"/>
  <c r="O529" i="103"/>
  <c r="O546" i="103"/>
  <c r="J597" i="103"/>
  <c r="E784" i="103"/>
  <c r="E920" i="103"/>
  <c r="O954" i="103"/>
  <c r="J1141" i="103"/>
  <c r="J155" i="103"/>
  <c r="E342" i="103"/>
  <c r="E699" i="103"/>
  <c r="J784" i="103"/>
  <c r="E835" i="103"/>
  <c r="O1005" i="103"/>
  <c r="J1056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E410" i="103"/>
  <c r="O444" i="103"/>
  <c r="J495" i="103"/>
  <c r="J580" i="103"/>
  <c r="E631" i="103"/>
  <c r="O665" i="103"/>
  <c r="J716" i="103"/>
  <c r="E767" i="103"/>
  <c r="O801" i="103"/>
  <c r="J852" i="103"/>
  <c r="E903" i="103"/>
  <c r="O937" i="103"/>
  <c r="J988" i="103"/>
  <c r="E1039" i="103"/>
  <c r="O1073" i="103"/>
  <c r="J1124" i="103"/>
  <c r="E1175" i="103"/>
  <c r="O1209" i="103"/>
  <c r="J1260" i="103"/>
  <c r="D134" i="101"/>
  <c r="H47" i="101" l="1"/>
  <c r="L706" i="101"/>
  <c r="B716" i="101"/>
  <c r="K699" i="101"/>
  <c r="J699" i="101"/>
  <c r="G699" i="101"/>
  <c r="F699" i="101"/>
  <c r="C699" i="101"/>
  <c r="B699" i="101"/>
  <c r="L697" i="101"/>
  <c r="H697" i="101"/>
  <c r="D697" i="101"/>
  <c r="L696" i="101"/>
  <c r="H696" i="101"/>
  <c r="D696" i="101"/>
  <c r="L695" i="101"/>
  <c r="H695" i="101"/>
  <c r="D695" i="101"/>
  <c r="L694" i="101"/>
  <c r="H694" i="101"/>
  <c r="D694" i="101"/>
  <c r="L693" i="101"/>
  <c r="H693" i="101"/>
  <c r="D693" i="101"/>
  <c r="L692" i="101"/>
  <c r="H692" i="101"/>
  <c r="D692" i="101"/>
  <c r="L691" i="101"/>
  <c r="H691" i="101"/>
  <c r="D691" i="101"/>
  <c r="L690" i="101"/>
  <c r="H690" i="101"/>
  <c r="D690" i="101"/>
  <c r="L689" i="101"/>
  <c r="H689" i="101"/>
  <c r="D689" i="101"/>
  <c r="K682" i="101"/>
  <c r="J682" i="101"/>
  <c r="G682" i="101"/>
  <c r="F682" i="101"/>
  <c r="C682" i="101"/>
  <c r="B682" i="101"/>
  <c r="L680" i="101"/>
  <c r="H680" i="101"/>
  <c r="D680" i="101"/>
  <c r="L679" i="101"/>
  <c r="H679" i="101"/>
  <c r="D679" i="101"/>
  <c r="L678" i="101"/>
  <c r="H678" i="101"/>
  <c r="D678" i="101"/>
  <c r="L677" i="101"/>
  <c r="H677" i="101"/>
  <c r="D677" i="101"/>
  <c r="L676" i="101"/>
  <c r="H676" i="101"/>
  <c r="D676" i="101"/>
  <c r="L675" i="101"/>
  <c r="H675" i="101"/>
  <c r="D675" i="101"/>
  <c r="L674" i="101"/>
  <c r="H674" i="101"/>
  <c r="D674" i="101"/>
  <c r="L673" i="101"/>
  <c r="H673" i="101"/>
  <c r="D673" i="101"/>
  <c r="L672" i="101"/>
  <c r="H672" i="101"/>
  <c r="D672" i="101"/>
  <c r="K665" i="101"/>
  <c r="J665" i="101"/>
  <c r="G665" i="101"/>
  <c r="F665" i="101"/>
  <c r="C665" i="101"/>
  <c r="B665" i="101"/>
  <c r="L663" i="101"/>
  <c r="H663" i="101"/>
  <c r="D663" i="101"/>
  <c r="L662" i="101"/>
  <c r="H662" i="101"/>
  <c r="D662" i="101"/>
  <c r="L661" i="101"/>
  <c r="H661" i="101"/>
  <c r="D661" i="101"/>
  <c r="L660" i="101"/>
  <c r="H660" i="101"/>
  <c r="D660" i="101"/>
  <c r="L659" i="101"/>
  <c r="H659" i="101"/>
  <c r="D659" i="101"/>
  <c r="L658" i="101"/>
  <c r="H658" i="101"/>
  <c r="D658" i="101"/>
  <c r="L657" i="101"/>
  <c r="H657" i="101"/>
  <c r="D657" i="101"/>
  <c r="L656" i="101"/>
  <c r="H656" i="101"/>
  <c r="D656" i="101"/>
  <c r="L655" i="101"/>
  <c r="H655" i="101"/>
  <c r="D655" i="101"/>
  <c r="K648" i="101"/>
  <c r="J648" i="101"/>
  <c r="G648" i="101"/>
  <c r="F648" i="101"/>
  <c r="C648" i="101"/>
  <c r="B648" i="101"/>
  <c r="L646" i="101"/>
  <c r="H646" i="101"/>
  <c r="D646" i="101"/>
  <c r="L645" i="101"/>
  <c r="H645" i="101"/>
  <c r="D645" i="101"/>
  <c r="L644" i="101"/>
  <c r="H644" i="101"/>
  <c r="D644" i="101"/>
  <c r="L643" i="101"/>
  <c r="H643" i="101"/>
  <c r="D643" i="101"/>
  <c r="L642" i="101"/>
  <c r="H642" i="101"/>
  <c r="D642" i="101"/>
  <c r="L641" i="101"/>
  <c r="H641" i="101"/>
  <c r="D641" i="101"/>
  <c r="L640" i="101"/>
  <c r="H640" i="101"/>
  <c r="D640" i="101"/>
  <c r="L639" i="101"/>
  <c r="H639" i="101"/>
  <c r="D639" i="101"/>
  <c r="L638" i="101"/>
  <c r="H638" i="101"/>
  <c r="D638" i="101"/>
  <c r="K631" i="101"/>
  <c r="J631" i="101"/>
  <c r="G631" i="101"/>
  <c r="F631" i="101"/>
  <c r="C631" i="101"/>
  <c r="B631" i="101"/>
  <c r="L629" i="101"/>
  <c r="H629" i="101"/>
  <c r="D629" i="101"/>
  <c r="L628" i="101"/>
  <c r="H628" i="101"/>
  <c r="D628" i="101"/>
  <c r="L627" i="101"/>
  <c r="H627" i="101"/>
  <c r="D627" i="101"/>
  <c r="L626" i="101"/>
  <c r="H626" i="101"/>
  <c r="D626" i="101"/>
  <c r="L625" i="101"/>
  <c r="H625" i="101"/>
  <c r="D625" i="101"/>
  <c r="L624" i="101"/>
  <c r="H624" i="101"/>
  <c r="D624" i="101"/>
  <c r="L623" i="101"/>
  <c r="H623" i="101"/>
  <c r="D623" i="101"/>
  <c r="L622" i="101"/>
  <c r="H622" i="101"/>
  <c r="D622" i="101"/>
  <c r="L621" i="101"/>
  <c r="H621" i="101"/>
  <c r="D621" i="101"/>
  <c r="K614" i="101"/>
  <c r="J614" i="101"/>
  <c r="G614" i="101"/>
  <c r="F614" i="101"/>
  <c r="C614" i="101"/>
  <c r="B614" i="101"/>
  <c r="L612" i="101"/>
  <c r="H612" i="101"/>
  <c r="D612" i="101"/>
  <c r="L611" i="101"/>
  <c r="H611" i="101"/>
  <c r="D611" i="101"/>
  <c r="L610" i="101"/>
  <c r="H610" i="101"/>
  <c r="D610" i="101"/>
  <c r="L609" i="101"/>
  <c r="H609" i="101"/>
  <c r="D609" i="101"/>
  <c r="L608" i="101"/>
  <c r="H608" i="101"/>
  <c r="D608" i="101"/>
  <c r="L607" i="101"/>
  <c r="H607" i="101"/>
  <c r="D607" i="101"/>
  <c r="L606" i="101"/>
  <c r="H606" i="101"/>
  <c r="D606" i="101"/>
  <c r="L605" i="101"/>
  <c r="H605" i="101"/>
  <c r="D605" i="101"/>
  <c r="L604" i="101"/>
  <c r="H604" i="101"/>
  <c r="D604" i="101"/>
  <c r="K597" i="101"/>
  <c r="J597" i="101"/>
  <c r="G597" i="101"/>
  <c r="F597" i="101"/>
  <c r="C597" i="101"/>
  <c r="B597" i="101"/>
  <c r="L595" i="101"/>
  <c r="H595" i="101"/>
  <c r="D595" i="101"/>
  <c r="L594" i="101"/>
  <c r="H594" i="101"/>
  <c r="D594" i="101"/>
  <c r="L593" i="101"/>
  <c r="H593" i="101"/>
  <c r="D593" i="101"/>
  <c r="L592" i="101"/>
  <c r="H592" i="101"/>
  <c r="D592" i="101"/>
  <c r="L591" i="101"/>
  <c r="H591" i="101"/>
  <c r="D591" i="101"/>
  <c r="L590" i="101"/>
  <c r="H590" i="101"/>
  <c r="D590" i="101"/>
  <c r="L589" i="101"/>
  <c r="H589" i="101"/>
  <c r="D589" i="101"/>
  <c r="L588" i="101"/>
  <c r="H588" i="101"/>
  <c r="D588" i="101"/>
  <c r="L587" i="101"/>
  <c r="H587" i="101"/>
  <c r="D587" i="101"/>
  <c r="K580" i="101"/>
  <c r="J580" i="101"/>
  <c r="G580" i="101"/>
  <c r="F580" i="101"/>
  <c r="C580" i="101"/>
  <c r="B580" i="101"/>
  <c r="L578" i="101"/>
  <c r="H578" i="101"/>
  <c r="D578" i="101"/>
  <c r="L577" i="101"/>
  <c r="H577" i="101"/>
  <c r="D577" i="101"/>
  <c r="L576" i="101"/>
  <c r="H576" i="101"/>
  <c r="D576" i="101"/>
  <c r="L575" i="101"/>
  <c r="H575" i="101"/>
  <c r="D575" i="101"/>
  <c r="L574" i="101"/>
  <c r="H574" i="101"/>
  <c r="D574" i="101"/>
  <c r="L573" i="101"/>
  <c r="H573" i="101"/>
  <c r="D573" i="101"/>
  <c r="L572" i="101"/>
  <c r="H572" i="101"/>
  <c r="D572" i="101"/>
  <c r="L571" i="101"/>
  <c r="H571" i="101"/>
  <c r="D571" i="101"/>
  <c r="L570" i="101"/>
  <c r="H570" i="101"/>
  <c r="D570" i="101"/>
  <c r="K563" i="101"/>
  <c r="J563" i="101"/>
  <c r="G563" i="101"/>
  <c r="F563" i="101"/>
  <c r="C563" i="101"/>
  <c r="B563" i="101"/>
  <c r="L561" i="101"/>
  <c r="H561" i="101"/>
  <c r="D561" i="101"/>
  <c r="L560" i="101"/>
  <c r="H560" i="101"/>
  <c r="D560" i="101"/>
  <c r="L559" i="101"/>
  <c r="H559" i="101"/>
  <c r="D559" i="101"/>
  <c r="L558" i="101"/>
  <c r="H558" i="101"/>
  <c r="D558" i="101"/>
  <c r="L557" i="101"/>
  <c r="H557" i="101"/>
  <c r="D557" i="101"/>
  <c r="L556" i="101"/>
  <c r="H556" i="101"/>
  <c r="D556" i="101"/>
  <c r="L555" i="101"/>
  <c r="H555" i="101"/>
  <c r="D555" i="101"/>
  <c r="L554" i="101"/>
  <c r="H554" i="101"/>
  <c r="D554" i="101"/>
  <c r="L553" i="101"/>
  <c r="H553" i="101"/>
  <c r="D553" i="101"/>
  <c r="K546" i="101"/>
  <c r="J546" i="101"/>
  <c r="G546" i="101"/>
  <c r="F546" i="101"/>
  <c r="C546" i="101"/>
  <c r="B546" i="101"/>
  <c r="L544" i="101"/>
  <c r="H544" i="101"/>
  <c r="D544" i="101"/>
  <c r="L543" i="101"/>
  <c r="H543" i="101"/>
  <c r="D543" i="101"/>
  <c r="L542" i="101"/>
  <c r="H542" i="101"/>
  <c r="D542" i="101"/>
  <c r="L541" i="101"/>
  <c r="H541" i="101"/>
  <c r="D541" i="101"/>
  <c r="L540" i="101"/>
  <c r="H540" i="101"/>
  <c r="D540" i="101"/>
  <c r="L539" i="101"/>
  <c r="H539" i="101"/>
  <c r="D539" i="101"/>
  <c r="L538" i="101"/>
  <c r="H538" i="101"/>
  <c r="D538" i="101"/>
  <c r="L537" i="101"/>
  <c r="H537" i="101"/>
  <c r="D537" i="101"/>
  <c r="L536" i="101"/>
  <c r="H536" i="101"/>
  <c r="D536" i="101"/>
  <c r="K529" i="101"/>
  <c r="J529" i="101"/>
  <c r="G529" i="101"/>
  <c r="F529" i="101"/>
  <c r="C529" i="101"/>
  <c r="B529" i="101"/>
  <c r="L527" i="101"/>
  <c r="H527" i="101"/>
  <c r="D527" i="101"/>
  <c r="L526" i="101"/>
  <c r="H526" i="101"/>
  <c r="D526" i="101"/>
  <c r="L525" i="101"/>
  <c r="H525" i="101"/>
  <c r="D525" i="101"/>
  <c r="L524" i="101"/>
  <c r="H524" i="101"/>
  <c r="D524" i="101"/>
  <c r="L523" i="101"/>
  <c r="H523" i="101"/>
  <c r="D523" i="101"/>
  <c r="L522" i="101"/>
  <c r="H522" i="101"/>
  <c r="D522" i="101"/>
  <c r="L521" i="101"/>
  <c r="H521" i="101"/>
  <c r="D521" i="101"/>
  <c r="L520" i="101"/>
  <c r="H520" i="101"/>
  <c r="D520" i="101"/>
  <c r="L519" i="101"/>
  <c r="H519" i="101"/>
  <c r="D519" i="101"/>
  <c r="K512" i="101"/>
  <c r="J512" i="101"/>
  <c r="G512" i="101"/>
  <c r="F512" i="101"/>
  <c r="C512" i="101"/>
  <c r="B512" i="101"/>
  <c r="L510" i="101"/>
  <c r="H510" i="101"/>
  <c r="D510" i="101"/>
  <c r="L509" i="101"/>
  <c r="H509" i="101"/>
  <c r="D509" i="101"/>
  <c r="L508" i="101"/>
  <c r="H508" i="101"/>
  <c r="D508" i="101"/>
  <c r="L507" i="101"/>
  <c r="H507" i="101"/>
  <c r="D507" i="101"/>
  <c r="L506" i="101"/>
  <c r="H506" i="101"/>
  <c r="D506" i="101"/>
  <c r="L505" i="101"/>
  <c r="H505" i="101"/>
  <c r="D505" i="101"/>
  <c r="L504" i="101"/>
  <c r="H504" i="101"/>
  <c r="D504" i="101"/>
  <c r="L503" i="101"/>
  <c r="H503" i="101"/>
  <c r="D503" i="101"/>
  <c r="L502" i="101"/>
  <c r="H502" i="101"/>
  <c r="D502" i="101"/>
  <c r="K495" i="101"/>
  <c r="J495" i="101"/>
  <c r="G495" i="101"/>
  <c r="F495" i="101"/>
  <c r="C495" i="101"/>
  <c r="B495" i="101"/>
  <c r="L493" i="101"/>
  <c r="H493" i="101"/>
  <c r="D493" i="101"/>
  <c r="L492" i="101"/>
  <c r="H492" i="101"/>
  <c r="D492" i="101"/>
  <c r="L491" i="101"/>
  <c r="H491" i="101"/>
  <c r="D491" i="101"/>
  <c r="L490" i="101"/>
  <c r="H490" i="101"/>
  <c r="D490" i="101"/>
  <c r="L489" i="101"/>
  <c r="H489" i="101"/>
  <c r="D489" i="101"/>
  <c r="L488" i="101"/>
  <c r="H488" i="101"/>
  <c r="D488" i="101"/>
  <c r="L487" i="101"/>
  <c r="H487" i="101"/>
  <c r="D487" i="101"/>
  <c r="L486" i="101"/>
  <c r="H486" i="101"/>
  <c r="D486" i="101"/>
  <c r="L485" i="101"/>
  <c r="H485" i="101"/>
  <c r="D485" i="101"/>
  <c r="K478" i="101"/>
  <c r="J478" i="101"/>
  <c r="G478" i="101"/>
  <c r="F478" i="101"/>
  <c r="C478" i="101"/>
  <c r="B478" i="101"/>
  <c r="L476" i="101"/>
  <c r="H476" i="101"/>
  <c r="D476" i="101"/>
  <c r="L475" i="101"/>
  <c r="H475" i="101"/>
  <c r="D475" i="101"/>
  <c r="L474" i="101"/>
  <c r="H474" i="101"/>
  <c r="D474" i="101"/>
  <c r="L473" i="101"/>
  <c r="H473" i="101"/>
  <c r="D473" i="101"/>
  <c r="L472" i="101"/>
  <c r="H472" i="101"/>
  <c r="D472" i="101"/>
  <c r="L471" i="101"/>
  <c r="H471" i="101"/>
  <c r="D471" i="101"/>
  <c r="L470" i="101"/>
  <c r="H470" i="101"/>
  <c r="D470" i="101"/>
  <c r="L469" i="101"/>
  <c r="H469" i="101"/>
  <c r="D469" i="101"/>
  <c r="L468" i="101"/>
  <c r="H468" i="101"/>
  <c r="D468" i="101"/>
  <c r="K461" i="101"/>
  <c r="J461" i="101"/>
  <c r="G461" i="101"/>
  <c r="F461" i="101"/>
  <c r="C461" i="101"/>
  <c r="B461" i="101"/>
  <c r="L459" i="101"/>
  <c r="H459" i="101"/>
  <c r="D459" i="101"/>
  <c r="L458" i="101"/>
  <c r="H458" i="101"/>
  <c r="D458" i="101"/>
  <c r="L457" i="101"/>
  <c r="H457" i="101"/>
  <c r="D457" i="101"/>
  <c r="L456" i="101"/>
  <c r="H456" i="101"/>
  <c r="D456" i="101"/>
  <c r="L455" i="101"/>
  <c r="H455" i="101"/>
  <c r="D455" i="101"/>
  <c r="L454" i="101"/>
  <c r="H454" i="101"/>
  <c r="D454" i="101"/>
  <c r="L453" i="101"/>
  <c r="H453" i="101"/>
  <c r="D453" i="101"/>
  <c r="L452" i="101"/>
  <c r="H452" i="101"/>
  <c r="D452" i="101"/>
  <c r="L451" i="101"/>
  <c r="H451" i="101"/>
  <c r="D451" i="101"/>
  <c r="K444" i="101"/>
  <c r="J444" i="101"/>
  <c r="G444" i="101"/>
  <c r="F444" i="101"/>
  <c r="C444" i="101"/>
  <c r="B444" i="101"/>
  <c r="L442" i="101"/>
  <c r="H442" i="101"/>
  <c r="D442" i="101"/>
  <c r="L441" i="101"/>
  <c r="H441" i="101"/>
  <c r="D441" i="101"/>
  <c r="L440" i="101"/>
  <c r="H440" i="101"/>
  <c r="D440" i="101"/>
  <c r="L439" i="101"/>
  <c r="H439" i="101"/>
  <c r="D439" i="101"/>
  <c r="L438" i="101"/>
  <c r="H438" i="101"/>
  <c r="D438" i="101"/>
  <c r="L437" i="101"/>
  <c r="H437" i="101"/>
  <c r="D437" i="101"/>
  <c r="L436" i="101"/>
  <c r="H436" i="101"/>
  <c r="D436" i="101"/>
  <c r="L435" i="101"/>
  <c r="H435" i="101"/>
  <c r="D435" i="101"/>
  <c r="L434" i="101"/>
  <c r="H434" i="101"/>
  <c r="D434" i="101"/>
  <c r="K427" i="101"/>
  <c r="J427" i="101"/>
  <c r="G427" i="101"/>
  <c r="F427" i="101"/>
  <c r="C427" i="101"/>
  <c r="B427" i="101"/>
  <c r="L425" i="101"/>
  <c r="H425" i="101"/>
  <c r="D425" i="101"/>
  <c r="L424" i="101"/>
  <c r="H424" i="101"/>
  <c r="D424" i="101"/>
  <c r="L423" i="101"/>
  <c r="H423" i="101"/>
  <c r="D423" i="101"/>
  <c r="L422" i="101"/>
  <c r="H422" i="101"/>
  <c r="D422" i="101"/>
  <c r="L421" i="101"/>
  <c r="H421" i="101"/>
  <c r="D421" i="101"/>
  <c r="L420" i="101"/>
  <c r="H420" i="101"/>
  <c r="D420" i="101"/>
  <c r="L419" i="101"/>
  <c r="H419" i="101"/>
  <c r="D419" i="101"/>
  <c r="L418" i="101"/>
  <c r="H418" i="101"/>
  <c r="D418" i="101"/>
  <c r="L417" i="101"/>
  <c r="H417" i="101"/>
  <c r="D417" i="101"/>
  <c r="K410" i="101"/>
  <c r="J410" i="101"/>
  <c r="G410" i="101"/>
  <c r="F410" i="101"/>
  <c r="C410" i="101"/>
  <c r="B410" i="101"/>
  <c r="L408" i="101"/>
  <c r="H408" i="101"/>
  <c r="D408" i="101"/>
  <c r="L407" i="101"/>
  <c r="H407" i="101"/>
  <c r="D407" i="101"/>
  <c r="L406" i="101"/>
  <c r="H406" i="101"/>
  <c r="D406" i="101"/>
  <c r="L405" i="101"/>
  <c r="H405" i="101"/>
  <c r="D405" i="101"/>
  <c r="L404" i="101"/>
  <c r="H404" i="101"/>
  <c r="D404" i="101"/>
  <c r="L403" i="101"/>
  <c r="H403" i="101"/>
  <c r="D403" i="101"/>
  <c r="L402" i="101"/>
  <c r="H402" i="101"/>
  <c r="D402" i="101"/>
  <c r="L401" i="101"/>
  <c r="H401" i="101"/>
  <c r="D401" i="101"/>
  <c r="L400" i="101"/>
  <c r="H400" i="101"/>
  <c r="D400" i="10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754" i="101"/>
  <c r="B737" i="101"/>
  <c r="B720" i="101"/>
  <c r="B703" i="101"/>
  <c r="B686" i="101"/>
  <c r="B669" i="101"/>
  <c r="B652" i="101"/>
  <c r="B635" i="101"/>
  <c r="B618" i="101"/>
  <c r="B601" i="101"/>
  <c r="B584" i="101"/>
  <c r="B567" i="101"/>
  <c r="B550" i="101"/>
  <c r="B533" i="101"/>
  <c r="B516" i="101"/>
  <c r="B499" i="101"/>
  <c r="B482" i="101"/>
  <c r="B465" i="101"/>
  <c r="B448" i="101"/>
  <c r="B431" i="101"/>
  <c r="B414" i="101"/>
  <c r="B397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M15" i="76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AD18" i="21"/>
  <c r="AD11" i="21"/>
  <c r="N5" i="21"/>
  <c r="O5" i="21"/>
  <c r="P5" i="21"/>
  <c r="Q5" i="2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H563" i="101" l="1"/>
  <c r="L597" i="101"/>
  <c r="H614" i="101"/>
  <c r="H699" i="101"/>
  <c r="D699" i="101"/>
  <c r="D138" i="101"/>
  <c r="D444" i="101"/>
  <c r="D410" i="101"/>
  <c r="L342" i="101"/>
  <c r="L308" i="101"/>
  <c r="H240" i="101"/>
  <c r="L223" i="101"/>
  <c r="D189" i="101"/>
  <c r="H189" i="101"/>
  <c r="D172" i="101"/>
  <c r="L87" i="101"/>
  <c r="L104" i="101"/>
  <c r="H257" i="101"/>
  <c r="L478" i="101"/>
  <c r="L121" i="101"/>
  <c r="H172" i="101"/>
  <c r="H223" i="101"/>
  <c r="D223" i="101"/>
  <c r="L257" i="101"/>
  <c r="D291" i="101"/>
  <c r="H342" i="101"/>
  <c r="D342" i="101"/>
  <c r="L376" i="101"/>
  <c r="H461" i="101"/>
  <c r="L495" i="101"/>
  <c r="D580" i="101"/>
  <c r="H597" i="101"/>
  <c r="D597" i="101"/>
  <c r="L631" i="101"/>
  <c r="H104" i="101"/>
  <c r="D104" i="101"/>
  <c r="L138" i="101"/>
  <c r="L274" i="101"/>
  <c r="H359" i="101"/>
  <c r="D359" i="101"/>
  <c r="L393" i="101"/>
  <c r="D427" i="101"/>
  <c r="H444" i="101"/>
  <c r="L461" i="101"/>
  <c r="H478" i="101"/>
  <c r="L512" i="101"/>
  <c r="H529" i="101"/>
  <c r="D614" i="101"/>
  <c r="L648" i="101"/>
  <c r="D682" i="101"/>
  <c r="D206" i="101"/>
  <c r="D274" i="101"/>
  <c r="H410" i="101"/>
  <c r="L614" i="101"/>
  <c r="H665" i="101"/>
  <c r="D121" i="101"/>
  <c r="L155" i="101"/>
  <c r="D240" i="101"/>
  <c r="D376" i="101"/>
  <c r="H495" i="101"/>
  <c r="D563" i="101"/>
  <c r="L665" i="101"/>
  <c r="L172" i="101"/>
  <c r="H393" i="101"/>
  <c r="L427" i="101"/>
  <c r="H512" i="101"/>
  <c r="D512" i="101"/>
  <c r="L546" i="101"/>
  <c r="H648" i="101"/>
  <c r="D648" i="101"/>
  <c r="L682" i="101"/>
  <c r="H206" i="101"/>
  <c r="H274" i="101"/>
  <c r="D325" i="101"/>
  <c r="L359" i="101"/>
  <c r="D257" i="101"/>
  <c r="H376" i="101"/>
  <c r="D495" i="101"/>
  <c r="L529" i="101"/>
  <c r="H631" i="101"/>
  <c r="D87" i="101"/>
  <c r="H87" i="101"/>
  <c r="H155" i="101"/>
  <c r="D155" i="101"/>
  <c r="L189" i="101"/>
  <c r="H291" i="101"/>
  <c r="D308" i="101"/>
  <c r="D461" i="101"/>
  <c r="D529" i="101"/>
  <c r="L563" i="101"/>
  <c r="L699" i="101"/>
  <c r="H138" i="101"/>
  <c r="H325" i="101"/>
  <c r="D393" i="101"/>
  <c r="L444" i="101"/>
  <c r="H121" i="101"/>
  <c r="L240" i="101"/>
  <c r="L291" i="101"/>
  <c r="L410" i="101"/>
  <c r="H580" i="101"/>
  <c r="D631" i="101"/>
  <c r="L206" i="101"/>
  <c r="H308" i="101"/>
  <c r="L325" i="101"/>
  <c r="H427" i="101"/>
  <c r="D478" i="101"/>
  <c r="H546" i="101"/>
  <c r="D546" i="101"/>
  <c r="L580" i="101"/>
  <c r="D665" i="101"/>
  <c r="H682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K9" i="79"/>
  <c r="B119" i="78"/>
  <c r="B21" i="52" l="1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B10" i="103"/>
  <c r="C10" i="103"/>
  <c r="D10" i="103"/>
  <c r="B11" i="103"/>
  <c r="C11" i="103"/>
  <c r="D11" i="103"/>
  <c r="B12" i="103"/>
  <c r="C12" i="103"/>
  <c r="D12" i="103"/>
  <c r="B13" i="103"/>
  <c r="C13" i="103"/>
  <c r="D13" i="103"/>
  <c r="B14" i="103"/>
  <c r="C14" i="103"/>
  <c r="D14" i="103"/>
  <c r="B15" i="103"/>
  <c r="C15" i="103"/>
  <c r="D15" i="103"/>
  <c r="B16" i="103"/>
  <c r="C16" i="103"/>
  <c r="D16" i="103"/>
  <c r="B17" i="103"/>
  <c r="C17" i="103"/>
  <c r="D17" i="103"/>
  <c r="C9" i="103"/>
  <c r="D9" i="103"/>
  <c r="B9" i="101"/>
  <c r="K1294" i="101"/>
  <c r="J1294" i="101"/>
  <c r="G1294" i="101"/>
  <c r="F1294" i="101"/>
  <c r="C1294" i="101"/>
  <c r="B1294" i="101"/>
  <c r="L1292" i="101"/>
  <c r="H1292" i="101"/>
  <c r="D1292" i="101"/>
  <c r="L1291" i="101"/>
  <c r="H1291" i="101"/>
  <c r="D1291" i="101"/>
  <c r="L1290" i="101"/>
  <c r="H1290" i="101"/>
  <c r="D1290" i="101"/>
  <c r="L1289" i="101"/>
  <c r="H1289" i="101"/>
  <c r="D1289" i="101"/>
  <c r="L1288" i="101"/>
  <c r="H1288" i="101"/>
  <c r="D1288" i="101"/>
  <c r="L1287" i="101"/>
  <c r="H1287" i="101"/>
  <c r="D1287" i="101"/>
  <c r="L1286" i="101"/>
  <c r="H1286" i="101"/>
  <c r="D1286" i="101"/>
  <c r="L1285" i="101"/>
  <c r="H1285" i="101"/>
  <c r="D1285" i="101"/>
  <c r="L1284" i="101"/>
  <c r="H1284" i="101"/>
  <c r="D1284" i="101"/>
  <c r="K1277" i="101"/>
  <c r="J1277" i="101"/>
  <c r="G1277" i="101"/>
  <c r="F1277" i="101"/>
  <c r="C1277" i="101"/>
  <c r="B1277" i="101"/>
  <c r="L1275" i="101"/>
  <c r="H1275" i="101"/>
  <c r="D1275" i="101"/>
  <c r="L1274" i="101"/>
  <c r="H1274" i="101"/>
  <c r="D1274" i="101"/>
  <c r="L1273" i="101"/>
  <c r="H1273" i="101"/>
  <c r="D1273" i="101"/>
  <c r="L1272" i="101"/>
  <c r="H1272" i="101"/>
  <c r="D1272" i="101"/>
  <c r="L1271" i="101"/>
  <c r="H1271" i="101"/>
  <c r="D1271" i="101"/>
  <c r="L1270" i="101"/>
  <c r="H1270" i="101"/>
  <c r="D1270" i="101"/>
  <c r="L1269" i="101"/>
  <c r="H1269" i="101"/>
  <c r="D1269" i="101"/>
  <c r="L1268" i="101"/>
  <c r="H1268" i="101"/>
  <c r="D1268" i="101"/>
  <c r="L1267" i="101"/>
  <c r="H1267" i="101"/>
  <c r="D1267" i="101"/>
  <c r="K1260" i="101"/>
  <c r="J1260" i="101"/>
  <c r="G1260" i="101"/>
  <c r="F1260" i="101"/>
  <c r="C1260" i="101"/>
  <c r="B1260" i="101"/>
  <c r="L1258" i="101"/>
  <c r="H1258" i="101"/>
  <c r="D1258" i="101"/>
  <c r="L1257" i="101"/>
  <c r="H1257" i="101"/>
  <c r="D1257" i="101"/>
  <c r="L1256" i="101"/>
  <c r="H1256" i="101"/>
  <c r="D1256" i="101"/>
  <c r="L1255" i="101"/>
  <c r="H1255" i="101"/>
  <c r="D1255" i="101"/>
  <c r="L1254" i="101"/>
  <c r="H1254" i="101"/>
  <c r="D1254" i="101"/>
  <c r="L1253" i="101"/>
  <c r="H1253" i="101"/>
  <c r="D1253" i="101"/>
  <c r="L1252" i="101"/>
  <c r="H1252" i="101"/>
  <c r="D1252" i="101"/>
  <c r="L1251" i="101"/>
  <c r="H1251" i="101"/>
  <c r="D1251" i="101"/>
  <c r="L1250" i="101"/>
  <c r="H1250" i="101"/>
  <c r="D1250" i="101"/>
  <c r="K1243" i="101"/>
  <c r="J1243" i="101"/>
  <c r="G1243" i="101"/>
  <c r="F1243" i="101"/>
  <c r="C1243" i="101"/>
  <c r="B1243" i="101"/>
  <c r="L1241" i="101"/>
  <c r="H1241" i="101"/>
  <c r="D1241" i="101"/>
  <c r="L1240" i="101"/>
  <c r="H1240" i="101"/>
  <c r="D1240" i="101"/>
  <c r="L1239" i="101"/>
  <c r="H1239" i="101"/>
  <c r="D1239" i="101"/>
  <c r="L1238" i="101"/>
  <c r="H1238" i="101"/>
  <c r="D1238" i="101"/>
  <c r="L1237" i="101"/>
  <c r="H1237" i="101"/>
  <c r="D1237" i="101"/>
  <c r="L1236" i="101"/>
  <c r="H1236" i="101"/>
  <c r="D1236" i="101"/>
  <c r="L1235" i="101"/>
  <c r="H1235" i="101"/>
  <c r="D1235" i="101"/>
  <c r="L1234" i="101"/>
  <c r="H1234" i="101"/>
  <c r="D1234" i="101"/>
  <c r="L1233" i="101"/>
  <c r="H1233" i="101"/>
  <c r="D1233" i="101"/>
  <c r="K1226" i="101"/>
  <c r="J1226" i="101"/>
  <c r="G1226" i="101"/>
  <c r="F1226" i="101"/>
  <c r="C1226" i="101"/>
  <c r="B1226" i="101"/>
  <c r="L1224" i="101"/>
  <c r="H1224" i="101"/>
  <c r="D1224" i="101"/>
  <c r="L1223" i="101"/>
  <c r="H1223" i="101"/>
  <c r="D1223" i="101"/>
  <c r="L1222" i="101"/>
  <c r="H1222" i="101"/>
  <c r="D1222" i="101"/>
  <c r="L1221" i="101"/>
  <c r="H1221" i="101"/>
  <c r="D1221" i="101"/>
  <c r="L1220" i="101"/>
  <c r="H1220" i="101"/>
  <c r="D1220" i="101"/>
  <c r="L1219" i="101"/>
  <c r="H1219" i="101"/>
  <c r="D1219" i="101"/>
  <c r="L1218" i="101"/>
  <c r="H1218" i="101"/>
  <c r="D1218" i="101"/>
  <c r="L1217" i="101"/>
  <c r="H1217" i="101"/>
  <c r="D1217" i="101"/>
  <c r="L1216" i="101"/>
  <c r="H1216" i="101"/>
  <c r="D1216" i="101"/>
  <c r="K1209" i="101"/>
  <c r="J1209" i="101"/>
  <c r="G1209" i="101"/>
  <c r="F1209" i="101"/>
  <c r="C1209" i="101"/>
  <c r="B1209" i="101"/>
  <c r="L1207" i="101"/>
  <c r="H1207" i="101"/>
  <c r="D1207" i="101"/>
  <c r="L1206" i="101"/>
  <c r="H1206" i="101"/>
  <c r="D1206" i="101"/>
  <c r="L1205" i="101"/>
  <c r="H1205" i="101"/>
  <c r="D1205" i="101"/>
  <c r="L1204" i="101"/>
  <c r="H1204" i="101"/>
  <c r="D1204" i="101"/>
  <c r="L1203" i="101"/>
  <c r="H1203" i="101"/>
  <c r="D1203" i="101"/>
  <c r="L1202" i="101"/>
  <c r="H1202" i="101"/>
  <c r="D1202" i="101"/>
  <c r="L1201" i="101"/>
  <c r="H1201" i="101"/>
  <c r="D1201" i="101"/>
  <c r="L1200" i="101"/>
  <c r="H1200" i="101"/>
  <c r="D1200" i="101"/>
  <c r="L1199" i="101"/>
  <c r="H1199" i="101"/>
  <c r="D1199" i="101"/>
  <c r="K1192" i="101"/>
  <c r="J1192" i="101"/>
  <c r="G1192" i="101"/>
  <c r="F1192" i="101"/>
  <c r="C1192" i="101"/>
  <c r="B1192" i="101"/>
  <c r="L1190" i="101"/>
  <c r="H1190" i="101"/>
  <c r="D1190" i="101"/>
  <c r="L1189" i="101"/>
  <c r="H1189" i="101"/>
  <c r="D1189" i="101"/>
  <c r="L1188" i="101"/>
  <c r="H1188" i="101"/>
  <c r="D1188" i="101"/>
  <c r="L1187" i="101"/>
  <c r="H1187" i="101"/>
  <c r="D1187" i="101"/>
  <c r="L1186" i="101"/>
  <c r="H1186" i="101"/>
  <c r="D1186" i="101"/>
  <c r="L1185" i="101"/>
  <c r="H1185" i="101"/>
  <c r="D1185" i="101"/>
  <c r="L1184" i="101"/>
  <c r="H1184" i="101"/>
  <c r="D1184" i="101"/>
  <c r="L1183" i="101"/>
  <c r="H1183" i="101"/>
  <c r="D1183" i="101"/>
  <c r="L1182" i="101"/>
  <c r="H1182" i="101"/>
  <c r="D1182" i="101"/>
  <c r="K1175" i="101"/>
  <c r="J1175" i="101"/>
  <c r="G1175" i="101"/>
  <c r="F1175" i="101"/>
  <c r="C1175" i="101"/>
  <c r="B1175" i="101"/>
  <c r="L1173" i="101"/>
  <c r="H1173" i="101"/>
  <c r="D1173" i="101"/>
  <c r="L1172" i="101"/>
  <c r="H1172" i="101"/>
  <c r="D1172" i="101"/>
  <c r="L1171" i="101"/>
  <c r="H1171" i="101"/>
  <c r="D1171" i="101"/>
  <c r="L1170" i="101"/>
  <c r="H1170" i="101"/>
  <c r="D1170" i="101"/>
  <c r="L1169" i="101"/>
  <c r="H1169" i="101"/>
  <c r="D1169" i="101"/>
  <c r="L1168" i="101"/>
  <c r="H1168" i="101"/>
  <c r="D1168" i="101"/>
  <c r="L1167" i="101"/>
  <c r="H1167" i="101"/>
  <c r="D1167" i="101"/>
  <c r="L1166" i="101"/>
  <c r="H1166" i="101"/>
  <c r="D1166" i="101"/>
  <c r="L1165" i="101"/>
  <c r="H1165" i="101"/>
  <c r="D1165" i="101"/>
  <c r="K1158" i="101"/>
  <c r="J1158" i="101"/>
  <c r="G1158" i="101"/>
  <c r="F1158" i="101"/>
  <c r="C1158" i="101"/>
  <c r="B1158" i="101"/>
  <c r="L1156" i="101"/>
  <c r="H1156" i="101"/>
  <c r="D1156" i="101"/>
  <c r="L1155" i="101"/>
  <c r="H1155" i="101"/>
  <c r="D1155" i="101"/>
  <c r="L1154" i="101"/>
  <c r="H1154" i="101"/>
  <c r="D1154" i="101"/>
  <c r="L1153" i="101"/>
  <c r="H1153" i="101"/>
  <c r="D1153" i="101"/>
  <c r="L1152" i="101"/>
  <c r="H1152" i="101"/>
  <c r="D1152" i="101"/>
  <c r="L1151" i="101"/>
  <c r="H1151" i="101"/>
  <c r="D1151" i="101"/>
  <c r="L1150" i="101"/>
  <c r="H1150" i="101"/>
  <c r="D1150" i="101"/>
  <c r="L1149" i="101"/>
  <c r="H1149" i="101"/>
  <c r="D1149" i="101"/>
  <c r="L1148" i="101"/>
  <c r="H1148" i="101"/>
  <c r="D1148" i="101"/>
  <c r="K1141" i="101"/>
  <c r="J1141" i="101"/>
  <c r="G1141" i="101"/>
  <c r="F1141" i="101"/>
  <c r="C1141" i="101"/>
  <c r="B1141" i="101"/>
  <c r="L1139" i="101"/>
  <c r="H1139" i="101"/>
  <c r="D1139" i="101"/>
  <c r="L1138" i="101"/>
  <c r="H1138" i="101"/>
  <c r="D1138" i="101"/>
  <c r="L1137" i="101"/>
  <c r="H1137" i="101"/>
  <c r="D1137" i="101"/>
  <c r="L1136" i="101"/>
  <c r="H1136" i="101"/>
  <c r="D1136" i="101"/>
  <c r="L1135" i="101"/>
  <c r="H1135" i="101"/>
  <c r="D1135" i="101"/>
  <c r="L1134" i="101"/>
  <c r="H1134" i="101"/>
  <c r="D1134" i="101"/>
  <c r="L1133" i="101"/>
  <c r="H1133" i="101"/>
  <c r="D1133" i="101"/>
  <c r="L1132" i="101"/>
  <c r="H1132" i="101"/>
  <c r="D1132" i="101"/>
  <c r="L1131" i="101"/>
  <c r="H1131" i="101"/>
  <c r="D1131" i="101"/>
  <c r="K1124" i="101"/>
  <c r="J1124" i="101"/>
  <c r="G1124" i="101"/>
  <c r="F1124" i="101"/>
  <c r="C1124" i="101"/>
  <c r="B1124" i="101"/>
  <c r="L1122" i="101"/>
  <c r="H1122" i="101"/>
  <c r="D1122" i="101"/>
  <c r="L1121" i="101"/>
  <c r="H1121" i="101"/>
  <c r="D1121" i="101"/>
  <c r="L1120" i="101"/>
  <c r="H1120" i="101"/>
  <c r="D1120" i="101"/>
  <c r="L1119" i="101"/>
  <c r="H1119" i="101"/>
  <c r="D1119" i="101"/>
  <c r="L1118" i="101"/>
  <c r="H1118" i="101"/>
  <c r="D1118" i="101"/>
  <c r="L1117" i="101"/>
  <c r="H1117" i="101"/>
  <c r="D1117" i="101"/>
  <c r="L1116" i="101"/>
  <c r="H1116" i="101"/>
  <c r="D1116" i="101"/>
  <c r="L1115" i="101"/>
  <c r="H1115" i="101"/>
  <c r="D1115" i="101"/>
  <c r="L1114" i="101"/>
  <c r="H1114" i="101"/>
  <c r="D1114" i="101"/>
  <c r="K1107" i="101"/>
  <c r="J1107" i="101"/>
  <c r="G1107" i="101"/>
  <c r="F1107" i="101"/>
  <c r="C1107" i="101"/>
  <c r="B1107" i="101"/>
  <c r="L1105" i="101"/>
  <c r="H1105" i="101"/>
  <c r="D1105" i="101"/>
  <c r="L1104" i="101"/>
  <c r="H1104" i="101"/>
  <c r="D1104" i="101"/>
  <c r="L1103" i="101"/>
  <c r="H1103" i="101"/>
  <c r="D1103" i="101"/>
  <c r="L1102" i="101"/>
  <c r="H1102" i="101"/>
  <c r="D1102" i="101"/>
  <c r="L1101" i="101"/>
  <c r="H1101" i="101"/>
  <c r="D1101" i="101"/>
  <c r="L1100" i="101"/>
  <c r="H1100" i="101"/>
  <c r="D1100" i="101"/>
  <c r="L1099" i="101"/>
  <c r="H1099" i="101"/>
  <c r="D1099" i="101"/>
  <c r="L1098" i="101"/>
  <c r="H1098" i="101"/>
  <c r="D1098" i="101"/>
  <c r="L1097" i="101"/>
  <c r="H1097" i="101"/>
  <c r="D1097" i="101"/>
  <c r="K1090" i="101"/>
  <c r="J1090" i="101"/>
  <c r="G1090" i="101"/>
  <c r="F1090" i="101"/>
  <c r="C1090" i="101"/>
  <c r="B1090" i="101"/>
  <c r="L1088" i="101"/>
  <c r="H1088" i="101"/>
  <c r="D1088" i="101"/>
  <c r="L1087" i="101"/>
  <c r="H1087" i="101"/>
  <c r="D1087" i="101"/>
  <c r="L1086" i="101"/>
  <c r="H1086" i="101"/>
  <c r="D1086" i="101"/>
  <c r="L1085" i="101"/>
  <c r="H1085" i="101"/>
  <c r="D1085" i="101"/>
  <c r="L1084" i="101"/>
  <c r="H1084" i="101"/>
  <c r="D1084" i="101"/>
  <c r="L1083" i="101"/>
  <c r="H1083" i="101"/>
  <c r="D1083" i="101"/>
  <c r="L1082" i="101"/>
  <c r="H1082" i="101"/>
  <c r="D1082" i="101"/>
  <c r="L1081" i="101"/>
  <c r="H1081" i="101"/>
  <c r="D1081" i="101"/>
  <c r="L1080" i="101"/>
  <c r="H1080" i="101"/>
  <c r="D1080" i="101"/>
  <c r="K1073" i="101"/>
  <c r="J1073" i="101"/>
  <c r="G1073" i="101"/>
  <c r="F1073" i="101"/>
  <c r="C1073" i="101"/>
  <c r="B1073" i="101"/>
  <c r="L1071" i="101"/>
  <c r="H1071" i="101"/>
  <c r="D1071" i="101"/>
  <c r="L1070" i="101"/>
  <c r="H1070" i="101"/>
  <c r="D1070" i="101"/>
  <c r="L1069" i="101"/>
  <c r="H1069" i="101"/>
  <c r="D1069" i="101"/>
  <c r="L1068" i="101"/>
  <c r="H1068" i="101"/>
  <c r="D1068" i="101"/>
  <c r="L1067" i="101"/>
  <c r="H1067" i="101"/>
  <c r="D1067" i="101"/>
  <c r="L1066" i="101"/>
  <c r="H1066" i="101"/>
  <c r="D1066" i="101"/>
  <c r="L1065" i="101"/>
  <c r="H1065" i="101"/>
  <c r="D1065" i="101"/>
  <c r="L1064" i="101"/>
  <c r="H1064" i="101"/>
  <c r="D1064" i="101"/>
  <c r="L1063" i="101"/>
  <c r="H1063" i="101"/>
  <c r="D1063" i="101"/>
  <c r="K1056" i="101"/>
  <c r="J1056" i="101"/>
  <c r="G1056" i="101"/>
  <c r="F1056" i="101"/>
  <c r="C1056" i="101"/>
  <c r="B1056" i="101"/>
  <c r="L1054" i="101"/>
  <c r="H1054" i="101"/>
  <c r="D1054" i="101"/>
  <c r="L1053" i="101"/>
  <c r="H1053" i="101"/>
  <c r="D1053" i="101"/>
  <c r="L1052" i="101"/>
  <c r="H1052" i="101"/>
  <c r="D1052" i="101"/>
  <c r="L1051" i="101"/>
  <c r="H1051" i="101"/>
  <c r="D1051" i="101"/>
  <c r="L1050" i="101"/>
  <c r="H1050" i="101"/>
  <c r="D1050" i="101"/>
  <c r="L1049" i="101"/>
  <c r="H1049" i="101"/>
  <c r="D1049" i="101"/>
  <c r="L1048" i="101"/>
  <c r="H1048" i="101"/>
  <c r="D1048" i="101"/>
  <c r="L1047" i="101"/>
  <c r="H1047" i="101"/>
  <c r="D1047" i="101"/>
  <c r="L1046" i="101"/>
  <c r="H1046" i="101"/>
  <c r="D1046" i="101"/>
  <c r="K1039" i="101"/>
  <c r="J1039" i="101"/>
  <c r="G1039" i="101"/>
  <c r="F1039" i="101"/>
  <c r="C1039" i="101"/>
  <c r="B1039" i="101"/>
  <c r="L1037" i="101"/>
  <c r="H1037" i="101"/>
  <c r="D1037" i="101"/>
  <c r="L1036" i="101"/>
  <c r="H1036" i="101"/>
  <c r="D1036" i="101"/>
  <c r="L1035" i="101"/>
  <c r="H1035" i="101"/>
  <c r="D1035" i="101"/>
  <c r="L1034" i="101"/>
  <c r="H1034" i="101"/>
  <c r="D1034" i="101"/>
  <c r="L1033" i="101"/>
  <c r="H1033" i="101"/>
  <c r="D1033" i="101"/>
  <c r="L1032" i="101"/>
  <c r="H1032" i="101"/>
  <c r="D1032" i="101"/>
  <c r="L1031" i="101"/>
  <c r="H1031" i="101"/>
  <c r="D1031" i="101"/>
  <c r="L1030" i="101"/>
  <c r="H1030" i="101"/>
  <c r="D1030" i="101"/>
  <c r="L1029" i="101"/>
  <c r="H1029" i="101"/>
  <c r="D1029" i="101"/>
  <c r="K1022" i="101"/>
  <c r="J1022" i="101"/>
  <c r="G1022" i="101"/>
  <c r="F1022" i="101"/>
  <c r="C1022" i="101"/>
  <c r="B1022" i="101"/>
  <c r="L1020" i="101"/>
  <c r="H1020" i="101"/>
  <c r="D1020" i="101"/>
  <c r="L1019" i="101"/>
  <c r="H1019" i="101"/>
  <c r="D1019" i="101"/>
  <c r="L1018" i="101"/>
  <c r="H1018" i="101"/>
  <c r="D1018" i="101"/>
  <c r="L1017" i="101"/>
  <c r="H1017" i="101"/>
  <c r="D1017" i="101"/>
  <c r="L1016" i="101"/>
  <c r="H1016" i="101"/>
  <c r="D1016" i="101"/>
  <c r="L1015" i="101"/>
  <c r="H1015" i="101"/>
  <c r="D1015" i="101"/>
  <c r="L1014" i="101"/>
  <c r="H1014" i="101"/>
  <c r="D1014" i="101"/>
  <c r="L1013" i="101"/>
  <c r="H1013" i="101"/>
  <c r="D1013" i="101"/>
  <c r="L1012" i="101"/>
  <c r="H1012" i="101"/>
  <c r="D1012" i="101"/>
  <c r="K1005" i="101"/>
  <c r="J1005" i="101"/>
  <c r="G1005" i="101"/>
  <c r="F1005" i="101"/>
  <c r="C1005" i="101"/>
  <c r="B1005" i="101"/>
  <c r="L1003" i="101"/>
  <c r="H1003" i="101"/>
  <c r="D1003" i="101"/>
  <c r="L1002" i="101"/>
  <c r="H1002" i="101"/>
  <c r="D1002" i="101"/>
  <c r="L1001" i="101"/>
  <c r="H1001" i="101"/>
  <c r="D1001" i="101"/>
  <c r="L1000" i="101"/>
  <c r="H1000" i="101"/>
  <c r="D1000" i="101"/>
  <c r="L999" i="101"/>
  <c r="H999" i="101"/>
  <c r="D999" i="101"/>
  <c r="L998" i="101"/>
  <c r="H998" i="101"/>
  <c r="D998" i="101"/>
  <c r="L997" i="101"/>
  <c r="H997" i="101"/>
  <c r="D997" i="101"/>
  <c r="L996" i="101"/>
  <c r="H996" i="101"/>
  <c r="D996" i="101"/>
  <c r="L995" i="101"/>
  <c r="H995" i="101"/>
  <c r="D995" i="101"/>
  <c r="K988" i="101"/>
  <c r="J988" i="101"/>
  <c r="G988" i="101"/>
  <c r="F988" i="101"/>
  <c r="C988" i="101"/>
  <c r="B988" i="101"/>
  <c r="L986" i="101"/>
  <c r="H986" i="101"/>
  <c r="D986" i="101"/>
  <c r="L985" i="101"/>
  <c r="H985" i="101"/>
  <c r="D985" i="101"/>
  <c r="L984" i="101"/>
  <c r="H984" i="101"/>
  <c r="D984" i="101"/>
  <c r="L983" i="101"/>
  <c r="H983" i="101"/>
  <c r="D983" i="101"/>
  <c r="L982" i="101"/>
  <c r="H982" i="101"/>
  <c r="D982" i="101"/>
  <c r="L981" i="101"/>
  <c r="H981" i="101"/>
  <c r="D981" i="101"/>
  <c r="L980" i="101"/>
  <c r="H980" i="101"/>
  <c r="D980" i="101"/>
  <c r="L979" i="101"/>
  <c r="H979" i="101"/>
  <c r="D979" i="101"/>
  <c r="L978" i="101"/>
  <c r="H978" i="101"/>
  <c r="D978" i="101"/>
  <c r="K971" i="101"/>
  <c r="J971" i="101"/>
  <c r="G971" i="101"/>
  <c r="F971" i="101"/>
  <c r="C971" i="101"/>
  <c r="B971" i="101"/>
  <c r="L969" i="101"/>
  <c r="H969" i="101"/>
  <c r="D969" i="101"/>
  <c r="L968" i="101"/>
  <c r="H968" i="101"/>
  <c r="D968" i="101"/>
  <c r="L967" i="101"/>
  <c r="H967" i="101"/>
  <c r="D967" i="101"/>
  <c r="L966" i="101"/>
  <c r="H966" i="101"/>
  <c r="D966" i="101"/>
  <c r="L965" i="101"/>
  <c r="H965" i="101"/>
  <c r="D965" i="101"/>
  <c r="L964" i="101"/>
  <c r="H964" i="101"/>
  <c r="D964" i="101"/>
  <c r="L963" i="101"/>
  <c r="H963" i="101"/>
  <c r="D963" i="101"/>
  <c r="L962" i="101"/>
  <c r="H962" i="101"/>
  <c r="D962" i="101"/>
  <c r="L961" i="101"/>
  <c r="H961" i="101"/>
  <c r="D961" i="101"/>
  <c r="K954" i="101"/>
  <c r="J954" i="101"/>
  <c r="G954" i="101"/>
  <c r="F954" i="101"/>
  <c r="C954" i="101"/>
  <c r="B954" i="101"/>
  <c r="L952" i="101"/>
  <c r="H952" i="101"/>
  <c r="D952" i="101"/>
  <c r="L951" i="101"/>
  <c r="H951" i="101"/>
  <c r="D951" i="101"/>
  <c r="L950" i="101"/>
  <c r="H950" i="101"/>
  <c r="D950" i="101"/>
  <c r="L949" i="101"/>
  <c r="H949" i="101"/>
  <c r="D949" i="101"/>
  <c r="L948" i="101"/>
  <c r="H948" i="101"/>
  <c r="D948" i="101"/>
  <c r="L947" i="101"/>
  <c r="H947" i="101"/>
  <c r="D947" i="101"/>
  <c r="L946" i="101"/>
  <c r="H946" i="101"/>
  <c r="D946" i="101"/>
  <c r="L945" i="101"/>
  <c r="H945" i="101"/>
  <c r="D945" i="101"/>
  <c r="L944" i="101"/>
  <c r="H944" i="101"/>
  <c r="D944" i="101"/>
  <c r="K937" i="101"/>
  <c r="J937" i="101"/>
  <c r="G937" i="101"/>
  <c r="F937" i="101"/>
  <c r="C937" i="101"/>
  <c r="B937" i="101"/>
  <c r="L935" i="101"/>
  <c r="H935" i="101"/>
  <c r="D935" i="101"/>
  <c r="L934" i="101"/>
  <c r="H934" i="101"/>
  <c r="D934" i="101"/>
  <c r="L933" i="101"/>
  <c r="H933" i="101"/>
  <c r="D933" i="101"/>
  <c r="L932" i="101"/>
  <c r="H932" i="101"/>
  <c r="D932" i="101"/>
  <c r="L931" i="101"/>
  <c r="H931" i="101"/>
  <c r="D931" i="101"/>
  <c r="L930" i="101"/>
  <c r="H930" i="101"/>
  <c r="D930" i="101"/>
  <c r="L929" i="101"/>
  <c r="H929" i="101"/>
  <c r="D929" i="101"/>
  <c r="L928" i="101"/>
  <c r="H928" i="101"/>
  <c r="D928" i="101"/>
  <c r="L927" i="101"/>
  <c r="H927" i="101"/>
  <c r="D927" i="101"/>
  <c r="K920" i="101"/>
  <c r="J920" i="101"/>
  <c r="G920" i="101"/>
  <c r="F920" i="101"/>
  <c r="C920" i="101"/>
  <c r="B920" i="101"/>
  <c r="L918" i="101"/>
  <c r="H918" i="101"/>
  <c r="D918" i="101"/>
  <c r="L917" i="101"/>
  <c r="H917" i="101"/>
  <c r="D917" i="101"/>
  <c r="L916" i="101"/>
  <c r="H916" i="101"/>
  <c r="D916" i="101"/>
  <c r="L915" i="101"/>
  <c r="H915" i="101"/>
  <c r="D915" i="101"/>
  <c r="L914" i="101"/>
  <c r="H914" i="101"/>
  <c r="D914" i="101"/>
  <c r="L913" i="101"/>
  <c r="H913" i="101"/>
  <c r="D913" i="101"/>
  <c r="L912" i="101"/>
  <c r="H912" i="101"/>
  <c r="D912" i="101"/>
  <c r="L911" i="101"/>
  <c r="H911" i="101"/>
  <c r="D911" i="101"/>
  <c r="L910" i="101"/>
  <c r="H910" i="101"/>
  <c r="D910" i="101"/>
  <c r="K903" i="101"/>
  <c r="J903" i="101"/>
  <c r="G903" i="101"/>
  <c r="F903" i="101"/>
  <c r="C903" i="101"/>
  <c r="B903" i="101"/>
  <c r="L901" i="101"/>
  <c r="H901" i="101"/>
  <c r="D901" i="101"/>
  <c r="L900" i="101"/>
  <c r="H900" i="101"/>
  <c r="D900" i="101"/>
  <c r="L899" i="101"/>
  <c r="H899" i="101"/>
  <c r="D899" i="101"/>
  <c r="L898" i="101"/>
  <c r="H898" i="101"/>
  <c r="D898" i="101"/>
  <c r="L897" i="101"/>
  <c r="H897" i="101"/>
  <c r="D897" i="101"/>
  <c r="L896" i="101"/>
  <c r="H896" i="101"/>
  <c r="D896" i="101"/>
  <c r="L895" i="101"/>
  <c r="H895" i="101"/>
  <c r="D895" i="101"/>
  <c r="L894" i="101"/>
  <c r="H894" i="101"/>
  <c r="D894" i="101"/>
  <c r="L893" i="101"/>
  <c r="H893" i="101"/>
  <c r="D893" i="101"/>
  <c r="K886" i="101"/>
  <c r="J886" i="101"/>
  <c r="G886" i="101"/>
  <c r="F886" i="101"/>
  <c r="C886" i="101"/>
  <c r="B886" i="101"/>
  <c r="L884" i="101"/>
  <c r="H884" i="101"/>
  <c r="D884" i="101"/>
  <c r="L883" i="101"/>
  <c r="H883" i="101"/>
  <c r="D883" i="101"/>
  <c r="L882" i="101"/>
  <c r="H882" i="101"/>
  <c r="D882" i="101"/>
  <c r="L881" i="101"/>
  <c r="H881" i="101"/>
  <c r="D881" i="101"/>
  <c r="L880" i="101"/>
  <c r="H880" i="101"/>
  <c r="D880" i="101"/>
  <c r="L879" i="101"/>
  <c r="H879" i="101"/>
  <c r="D879" i="101"/>
  <c r="L878" i="101"/>
  <c r="H878" i="101"/>
  <c r="D878" i="101"/>
  <c r="L877" i="101"/>
  <c r="H877" i="101"/>
  <c r="D877" i="101"/>
  <c r="L876" i="101"/>
  <c r="H876" i="101"/>
  <c r="D876" i="101"/>
  <c r="K869" i="101"/>
  <c r="J869" i="101"/>
  <c r="G869" i="101"/>
  <c r="F869" i="101"/>
  <c r="C869" i="101"/>
  <c r="B869" i="101"/>
  <c r="L867" i="101"/>
  <c r="H867" i="101"/>
  <c r="D867" i="101"/>
  <c r="L866" i="101"/>
  <c r="H866" i="101"/>
  <c r="D866" i="101"/>
  <c r="L865" i="101"/>
  <c r="H865" i="101"/>
  <c r="D865" i="101"/>
  <c r="L864" i="101"/>
  <c r="H864" i="101"/>
  <c r="D864" i="101"/>
  <c r="L863" i="101"/>
  <c r="H863" i="101"/>
  <c r="D863" i="101"/>
  <c r="L862" i="101"/>
  <c r="H862" i="101"/>
  <c r="D862" i="101"/>
  <c r="L861" i="101"/>
  <c r="H861" i="101"/>
  <c r="D861" i="101"/>
  <c r="L860" i="101"/>
  <c r="H860" i="101"/>
  <c r="D860" i="101"/>
  <c r="L859" i="101"/>
  <c r="H859" i="101"/>
  <c r="D859" i="101"/>
  <c r="K852" i="101"/>
  <c r="J852" i="101"/>
  <c r="G852" i="101"/>
  <c r="F852" i="101"/>
  <c r="C852" i="101"/>
  <c r="B852" i="101"/>
  <c r="L850" i="101"/>
  <c r="H850" i="101"/>
  <c r="D850" i="101"/>
  <c r="L849" i="101"/>
  <c r="H849" i="101"/>
  <c r="D849" i="101"/>
  <c r="L848" i="101"/>
  <c r="H848" i="101"/>
  <c r="D848" i="101"/>
  <c r="L847" i="101"/>
  <c r="H847" i="101"/>
  <c r="D847" i="101"/>
  <c r="L846" i="101"/>
  <c r="H846" i="101"/>
  <c r="D846" i="101"/>
  <c r="L845" i="101"/>
  <c r="H845" i="101"/>
  <c r="D845" i="101"/>
  <c r="L844" i="101"/>
  <c r="H844" i="101"/>
  <c r="D844" i="101"/>
  <c r="L843" i="101"/>
  <c r="H843" i="101"/>
  <c r="D843" i="101"/>
  <c r="L842" i="101"/>
  <c r="H842" i="101"/>
  <c r="D842" i="101"/>
  <c r="K835" i="101"/>
  <c r="J835" i="101"/>
  <c r="G835" i="101"/>
  <c r="F835" i="101"/>
  <c r="C835" i="101"/>
  <c r="B835" i="101"/>
  <c r="L833" i="101"/>
  <c r="H833" i="101"/>
  <c r="D833" i="101"/>
  <c r="L832" i="101"/>
  <c r="H832" i="101"/>
  <c r="D832" i="101"/>
  <c r="L831" i="101"/>
  <c r="H831" i="101"/>
  <c r="D831" i="101"/>
  <c r="L830" i="101"/>
  <c r="H830" i="101"/>
  <c r="D830" i="101"/>
  <c r="L829" i="101"/>
  <c r="H829" i="101"/>
  <c r="D829" i="101"/>
  <c r="L828" i="101"/>
  <c r="H828" i="101"/>
  <c r="D828" i="101"/>
  <c r="L827" i="101"/>
  <c r="H827" i="101"/>
  <c r="D827" i="101"/>
  <c r="L826" i="101"/>
  <c r="H826" i="101"/>
  <c r="D826" i="101"/>
  <c r="L825" i="101"/>
  <c r="H825" i="101"/>
  <c r="D825" i="101"/>
  <c r="K818" i="101"/>
  <c r="J818" i="101"/>
  <c r="G818" i="101"/>
  <c r="F818" i="101"/>
  <c r="C818" i="101"/>
  <c r="B818" i="101"/>
  <c r="L816" i="101"/>
  <c r="H816" i="101"/>
  <c r="D816" i="101"/>
  <c r="L815" i="101"/>
  <c r="H815" i="101"/>
  <c r="D815" i="101"/>
  <c r="L814" i="101"/>
  <c r="H814" i="101"/>
  <c r="D814" i="101"/>
  <c r="L813" i="101"/>
  <c r="H813" i="101"/>
  <c r="D813" i="101"/>
  <c r="L812" i="101"/>
  <c r="H812" i="101"/>
  <c r="D812" i="101"/>
  <c r="L811" i="101"/>
  <c r="H811" i="101"/>
  <c r="D811" i="101"/>
  <c r="L810" i="101"/>
  <c r="H810" i="101"/>
  <c r="D810" i="101"/>
  <c r="L809" i="101"/>
  <c r="H809" i="101"/>
  <c r="D809" i="101"/>
  <c r="L808" i="101"/>
  <c r="H808" i="101"/>
  <c r="D808" i="101"/>
  <c r="K801" i="101"/>
  <c r="J801" i="101"/>
  <c r="G801" i="101"/>
  <c r="F801" i="101"/>
  <c r="C801" i="101"/>
  <c r="B801" i="101"/>
  <c r="L799" i="101"/>
  <c r="H799" i="101"/>
  <c r="D799" i="101"/>
  <c r="L798" i="101"/>
  <c r="H798" i="101"/>
  <c r="D798" i="101"/>
  <c r="L797" i="101"/>
  <c r="H797" i="101"/>
  <c r="D797" i="101"/>
  <c r="L796" i="101"/>
  <c r="H796" i="101"/>
  <c r="D796" i="101"/>
  <c r="L795" i="101"/>
  <c r="H795" i="101"/>
  <c r="D795" i="101"/>
  <c r="L794" i="101"/>
  <c r="H794" i="101"/>
  <c r="D794" i="101"/>
  <c r="L793" i="101"/>
  <c r="H793" i="101"/>
  <c r="D793" i="101"/>
  <c r="L792" i="101"/>
  <c r="H792" i="101"/>
  <c r="D792" i="101"/>
  <c r="L791" i="101"/>
  <c r="H791" i="101"/>
  <c r="D791" i="101"/>
  <c r="K784" i="101"/>
  <c r="J784" i="101"/>
  <c r="G784" i="101"/>
  <c r="F784" i="101"/>
  <c r="C784" i="101"/>
  <c r="B784" i="101"/>
  <c r="L782" i="101"/>
  <c r="H782" i="101"/>
  <c r="D782" i="101"/>
  <c r="L781" i="101"/>
  <c r="H781" i="101"/>
  <c r="D781" i="101"/>
  <c r="L780" i="101"/>
  <c r="H780" i="101"/>
  <c r="D780" i="101"/>
  <c r="L779" i="101"/>
  <c r="H779" i="101"/>
  <c r="D779" i="101"/>
  <c r="L778" i="101"/>
  <c r="H778" i="101"/>
  <c r="D778" i="101"/>
  <c r="L777" i="101"/>
  <c r="H777" i="101"/>
  <c r="D777" i="101"/>
  <c r="L776" i="101"/>
  <c r="H776" i="101"/>
  <c r="D776" i="101"/>
  <c r="L775" i="101"/>
  <c r="H775" i="101"/>
  <c r="D775" i="101"/>
  <c r="L774" i="101"/>
  <c r="H774" i="101"/>
  <c r="D774" i="101"/>
  <c r="K767" i="101"/>
  <c r="J767" i="101"/>
  <c r="G767" i="101"/>
  <c r="F767" i="101"/>
  <c r="C767" i="101"/>
  <c r="B767" i="101"/>
  <c r="L765" i="101"/>
  <c r="H765" i="101"/>
  <c r="D765" i="101"/>
  <c r="L764" i="101"/>
  <c r="H764" i="101"/>
  <c r="D764" i="101"/>
  <c r="L763" i="101"/>
  <c r="H763" i="101"/>
  <c r="D763" i="101"/>
  <c r="L762" i="101"/>
  <c r="H762" i="101"/>
  <c r="D762" i="101"/>
  <c r="L761" i="101"/>
  <c r="H761" i="101"/>
  <c r="D761" i="101"/>
  <c r="L760" i="101"/>
  <c r="H760" i="101"/>
  <c r="D760" i="101"/>
  <c r="L759" i="101"/>
  <c r="H759" i="101"/>
  <c r="D759" i="101"/>
  <c r="L758" i="101"/>
  <c r="H758" i="101"/>
  <c r="D758" i="101"/>
  <c r="L757" i="101"/>
  <c r="H757" i="101"/>
  <c r="D757" i="101"/>
  <c r="K750" i="101"/>
  <c r="J750" i="101"/>
  <c r="G750" i="101"/>
  <c r="F750" i="101"/>
  <c r="C750" i="101"/>
  <c r="B750" i="101"/>
  <c r="L748" i="101"/>
  <c r="H748" i="101"/>
  <c r="D748" i="101"/>
  <c r="L747" i="101"/>
  <c r="H747" i="101"/>
  <c r="D747" i="101"/>
  <c r="L746" i="101"/>
  <c r="H746" i="101"/>
  <c r="D746" i="101"/>
  <c r="L745" i="101"/>
  <c r="H745" i="101"/>
  <c r="D745" i="101"/>
  <c r="L744" i="101"/>
  <c r="H744" i="101"/>
  <c r="D744" i="101"/>
  <c r="L743" i="101"/>
  <c r="H743" i="101"/>
  <c r="D743" i="101"/>
  <c r="L742" i="101"/>
  <c r="H742" i="101"/>
  <c r="D742" i="101"/>
  <c r="L741" i="101"/>
  <c r="H741" i="101"/>
  <c r="D741" i="101"/>
  <c r="L740" i="101"/>
  <c r="H740" i="101"/>
  <c r="D740" i="101"/>
  <c r="K733" i="101"/>
  <c r="J733" i="101"/>
  <c r="G733" i="101"/>
  <c r="F733" i="101"/>
  <c r="C733" i="101"/>
  <c r="B733" i="101"/>
  <c r="L731" i="101"/>
  <c r="H731" i="101"/>
  <c r="D731" i="101"/>
  <c r="L730" i="101"/>
  <c r="H730" i="101"/>
  <c r="D730" i="101"/>
  <c r="L729" i="101"/>
  <c r="H729" i="101"/>
  <c r="D729" i="101"/>
  <c r="L728" i="101"/>
  <c r="H728" i="101"/>
  <c r="D728" i="101"/>
  <c r="L727" i="101"/>
  <c r="H727" i="101"/>
  <c r="D727" i="101"/>
  <c r="L726" i="101"/>
  <c r="H726" i="101"/>
  <c r="D726" i="101"/>
  <c r="L725" i="101"/>
  <c r="H725" i="101"/>
  <c r="D725" i="101"/>
  <c r="L724" i="101"/>
  <c r="H724" i="101"/>
  <c r="D724" i="101"/>
  <c r="L723" i="101"/>
  <c r="H723" i="101"/>
  <c r="D723" i="101"/>
  <c r="K716" i="101"/>
  <c r="J716" i="101"/>
  <c r="G716" i="101"/>
  <c r="F716" i="101"/>
  <c r="C716" i="101"/>
  <c r="L714" i="101"/>
  <c r="H714" i="101"/>
  <c r="D714" i="101"/>
  <c r="L713" i="101"/>
  <c r="H713" i="101"/>
  <c r="D713" i="101"/>
  <c r="L712" i="101"/>
  <c r="H712" i="101"/>
  <c r="D712" i="101"/>
  <c r="L711" i="101"/>
  <c r="H711" i="101"/>
  <c r="D711" i="101"/>
  <c r="L710" i="101"/>
  <c r="H710" i="101"/>
  <c r="D710" i="101"/>
  <c r="L709" i="101"/>
  <c r="H709" i="101"/>
  <c r="D709" i="101"/>
  <c r="L708" i="101"/>
  <c r="H708" i="101"/>
  <c r="D708" i="101"/>
  <c r="L707" i="101"/>
  <c r="H707" i="101"/>
  <c r="D707" i="101"/>
  <c r="H706" i="101"/>
  <c r="D706" i="101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K17" i="101"/>
  <c r="J17" i="101"/>
  <c r="K16" i="101"/>
  <c r="J16" i="101"/>
  <c r="K15" i="101"/>
  <c r="J15" i="101"/>
  <c r="K14" i="101"/>
  <c r="J14" i="101"/>
  <c r="K13" i="101"/>
  <c r="J13" i="101"/>
  <c r="K12" i="101"/>
  <c r="J12" i="101"/>
  <c r="K11" i="101"/>
  <c r="J11" i="101"/>
  <c r="K10" i="101"/>
  <c r="J10" i="101"/>
  <c r="K9" i="101"/>
  <c r="J9" i="101"/>
  <c r="G17" i="101"/>
  <c r="F17" i="101"/>
  <c r="G16" i="101"/>
  <c r="F16" i="101"/>
  <c r="G15" i="101"/>
  <c r="F15" i="101"/>
  <c r="G14" i="101"/>
  <c r="F14" i="101"/>
  <c r="G13" i="101"/>
  <c r="F13" i="101"/>
  <c r="G12" i="101"/>
  <c r="F12" i="101"/>
  <c r="G11" i="101"/>
  <c r="F11" i="101"/>
  <c r="G10" i="101"/>
  <c r="F10" i="101"/>
  <c r="G9" i="101"/>
  <c r="F9" i="101"/>
  <c r="B10" i="101"/>
  <c r="C10" i="101"/>
  <c r="B11" i="101"/>
  <c r="C11" i="101"/>
  <c r="B12" i="101"/>
  <c r="C12" i="101"/>
  <c r="B13" i="101"/>
  <c r="C13" i="101"/>
  <c r="B14" i="101"/>
  <c r="C14" i="101"/>
  <c r="B15" i="101"/>
  <c r="C15" i="101"/>
  <c r="B16" i="101"/>
  <c r="C16" i="101"/>
  <c r="B17" i="101"/>
  <c r="C17" i="101"/>
  <c r="C9" i="101"/>
  <c r="B19" i="103" l="1"/>
  <c r="E36" i="103"/>
  <c r="J36" i="103"/>
  <c r="O36" i="103"/>
  <c r="L36" i="101"/>
  <c r="D801" i="101"/>
  <c r="D818" i="101"/>
  <c r="L818" i="101"/>
  <c r="D1073" i="101"/>
  <c r="L1107" i="101"/>
  <c r="H1209" i="101"/>
  <c r="D1209" i="101"/>
  <c r="D36" i="101"/>
  <c r="L1243" i="101"/>
  <c r="L971" i="101"/>
  <c r="H937" i="101"/>
  <c r="D937" i="101"/>
  <c r="L716" i="101"/>
  <c r="L852" i="101"/>
  <c r="H1090" i="101"/>
  <c r="L1124" i="101"/>
  <c r="H1226" i="101"/>
  <c r="L733" i="101"/>
  <c r="H835" i="101"/>
  <c r="L869" i="101"/>
  <c r="H971" i="101"/>
  <c r="D971" i="101"/>
  <c r="L1005" i="101"/>
  <c r="H1107" i="101"/>
  <c r="D1107" i="101"/>
  <c r="L1141" i="101"/>
  <c r="H1158" i="101"/>
  <c r="H1243" i="101"/>
  <c r="D1243" i="101"/>
  <c r="L1277" i="101"/>
  <c r="H1294" i="101"/>
  <c r="D53" i="101"/>
  <c r="L750" i="101"/>
  <c r="H767" i="101"/>
  <c r="H852" i="101"/>
  <c r="D852" i="101"/>
  <c r="L886" i="101"/>
  <c r="H988" i="101"/>
  <c r="D988" i="101"/>
  <c r="L1022" i="101"/>
  <c r="H1124" i="101"/>
  <c r="D1124" i="101"/>
  <c r="L1158" i="101"/>
  <c r="H1260" i="101"/>
  <c r="D1260" i="101"/>
  <c r="L1294" i="101"/>
  <c r="H818" i="101"/>
  <c r="L835" i="101"/>
  <c r="H954" i="101"/>
  <c r="D1090" i="101"/>
  <c r="H36" i="101"/>
  <c r="D716" i="101"/>
  <c r="H869" i="101"/>
  <c r="H1005" i="101"/>
  <c r="H1056" i="101"/>
  <c r="D1141" i="101"/>
  <c r="H1277" i="101"/>
  <c r="L53" i="101"/>
  <c r="D70" i="101"/>
  <c r="H750" i="101"/>
  <c r="D750" i="101"/>
  <c r="L784" i="101"/>
  <c r="H801" i="101"/>
  <c r="H886" i="101"/>
  <c r="D886" i="101"/>
  <c r="D954" i="101"/>
  <c r="H1022" i="101"/>
  <c r="D1022" i="101"/>
  <c r="L1056" i="101"/>
  <c r="H1073" i="101"/>
  <c r="D1158" i="101"/>
  <c r="L1192" i="101"/>
  <c r="D1226" i="101"/>
  <c r="D1294" i="101"/>
  <c r="D835" i="101"/>
  <c r="L988" i="101"/>
  <c r="H53" i="101"/>
  <c r="D733" i="101"/>
  <c r="D869" i="101"/>
  <c r="H1141" i="101"/>
  <c r="L1175" i="101"/>
  <c r="H70" i="101"/>
  <c r="D767" i="101"/>
  <c r="L801" i="101"/>
  <c r="H903" i="101"/>
  <c r="D903" i="101"/>
  <c r="D920" i="101"/>
  <c r="L920" i="101"/>
  <c r="L937" i="101"/>
  <c r="H1039" i="101"/>
  <c r="D1039" i="101"/>
  <c r="L1073" i="101"/>
  <c r="H1175" i="101"/>
  <c r="D1175" i="101"/>
  <c r="L1209" i="101"/>
  <c r="L1260" i="101"/>
  <c r="H716" i="101"/>
  <c r="H733" i="101"/>
  <c r="L903" i="101"/>
  <c r="D1005" i="101"/>
  <c r="D1277" i="101"/>
  <c r="L70" i="101"/>
  <c r="L767" i="101"/>
  <c r="H784" i="101"/>
  <c r="D784" i="101"/>
  <c r="H920" i="101"/>
  <c r="L954" i="101"/>
  <c r="L1039" i="101"/>
  <c r="D1056" i="101"/>
  <c r="L1090" i="101"/>
  <c r="H1192" i="101"/>
  <c r="D1192" i="101"/>
  <c r="L1226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546" i="102"/>
  <c r="T546" i="102"/>
  <c r="O546" i="102"/>
  <c r="J546" i="102"/>
  <c r="E546" i="102"/>
  <c r="V545" i="102"/>
  <c r="Q545" i="102"/>
  <c r="L545" i="102"/>
  <c r="G545" i="102"/>
  <c r="B545" i="102"/>
  <c r="Y516" i="102"/>
  <c r="T516" i="102"/>
  <c r="O516" i="102"/>
  <c r="J516" i="102"/>
  <c r="E516" i="102"/>
  <c r="V515" i="102"/>
  <c r="Q515" i="102"/>
  <c r="L515" i="102"/>
  <c r="G515" i="102"/>
  <c r="B515" i="102"/>
  <c r="Y491" i="102"/>
  <c r="T491" i="102"/>
  <c r="O491" i="102"/>
  <c r="J491" i="102"/>
  <c r="E491" i="102"/>
  <c r="V490" i="102"/>
  <c r="Q490" i="102"/>
  <c r="L490" i="102"/>
  <c r="G490" i="102"/>
  <c r="B490" i="102"/>
  <c r="Y481" i="102"/>
  <c r="T481" i="102"/>
  <c r="O481" i="102"/>
  <c r="J481" i="102"/>
  <c r="E481" i="102"/>
  <c r="V480" i="102"/>
  <c r="Q480" i="102"/>
  <c r="L480" i="102"/>
  <c r="G480" i="102"/>
  <c r="B480" i="102"/>
  <c r="Y471" i="102"/>
  <c r="T471" i="102"/>
  <c r="O471" i="102"/>
  <c r="J471" i="102"/>
  <c r="E471" i="102"/>
  <c r="V470" i="102"/>
  <c r="Q470" i="102"/>
  <c r="L470" i="102"/>
  <c r="G470" i="102"/>
  <c r="B470" i="102"/>
  <c r="Y431" i="102"/>
  <c r="T431" i="102"/>
  <c r="O431" i="102"/>
  <c r="J431" i="102"/>
  <c r="E431" i="102"/>
  <c r="V430" i="102"/>
  <c r="Q430" i="102"/>
  <c r="L430" i="102"/>
  <c r="G430" i="102"/>
  <c r="B430" i="102"/>
  <c r="Y386" i="102"/>
  <c r="T386" i="102"/>
  <c r="O386" i="102"/>
  <c r="J386" i="102"/>
  <c r="E386" i="102"/>
  <c r="V385" i="102"/>
  <c r="Q385" i="102"/>
  <c r="L385" i="102"/>
  <c r="G385" i="102"/>
  <c r="B385" i="102"/>
  <c r="Y376" i="102"/>
  <c r="T376" i="102"/>
  <c r="O376" i="102"/>
  <c r="J376" i="102"/>
  <c r="E376" i="102"/>
  <c r="V375" i="102"/>
  <c r="Q375" i="102"/>
  <c r="L375" i="102"/>
  <c r="G375" i="102"/>
  <c r="B375" i="102"/>
  <c r="Y351" i="102"/>
  <c r="T351" i="102"/>
  <c r="O351" i="102"/>
  <c r="J351" i="102"/>
  <c r="E351" i="102"/>
  <c r="V350" i="102"/>
  <c r="Q350" i="102"/>
  <c r="L350" i="102"/>
  <c r="G350" i="102"/>
  <c r="B350" i="102"/>
  <c r="Y326" i="102"/>
  <c r="T326" i="102"/>
  <c r="O326" i="102"/>
  <c r="J326" i="102"/>
  <c r="E326" i="102"/>
  <c r="V325" i="102"/>
  <c r="Q325" i="102"/>
  <c r="L325" i="102"/>
  <c r="G325" i="102"/>
  <c r="B325" i="102"/>
  <c r="Y301" i="102"/>
  <c r="T301" i="102"/>
  <c r="O301" i="102"/>
  <c r="J301" i="102"/>
  <c r="E301" i="102"/>
  <c r="V300" i="102"/>
  <c r="Q300" i="102"/>
  <c r="L300" i="102"/>
  <c r="G300" i="102"/>
  <c r="B300" i="102"/>
  <c r="Y281" i="102"/>
  <c r="T281" i="102"/>
  <c r="O281" i="102"/>
  <c r="J281" i="102"/>
  <c r="E281" i="102"/>
  <c r="V280" i="102"/>
  <c r="Q280" i="102"/>
  <c r="L280" i="102"/>
  <c r="G280" i="102"/>
  <c r="B280" i="102"/>
  <c r="Y246" i="102"/>
  <c r="T246" i="102"/>
  <c r="O246" i="102"/>
  <c r="J246" i="102"/>
  <c r="E246" i="102"/>
  <c r="V245" i="102"/>
  <c r="Q245" i="102"/>
  <c r="L245" i="102"/>
  <c r="G245" i="102"/>
  <c r="B245" i="102"/>
  <c r="Y221" i="102"/>
  <c r="T221" i="102"/>
  <c r="O221" i="102"/>
  <c r="J221" i="102"/>
  <c r="E221" i="102"/>
  <c r="V220" i="102"/>
  <c r="Q220" i="102"/>
  <c r="L220" i="102"/>
  <c r="G220" i="102"/>
  <c r="B220" i="102"/>
  <c r="Y196" i="102"/>
  <c r="T196" i="102"/>
  <c r="O196" i="102"/>
  <c r="J196" i="102"/>
  <c r="E196" i="102"/>
  <c r="V195" i="102"/>
  <c r="Q195" i="102"/>
  <c r="L195" i="102"/>
  <c r="G195" i="102"/>
  <c r="B195" i="102"/>
  <c r="Y171" i="102"/>
  <c r="T171" i="102"/>
  <c r="O171" i="102"/>
  <c r="J171" i="102"/>
  <c r="E171" i="102"/>
  <c r="V170" i="102"/>
  <c r="Q170" i="102"/>
  <c r="L170" i="102"/>
  <c r="G170" i="102"/>
  <c r="B170" i="102"/>
  <c r="Y161" i="102"/>
  <c r="T161" i="102"/>
  <c r="O161" i="102"/>
  <c r="J161" i="102"/>
  <c r="E161" i="102"/>
  <c r="V160" i="102"/>
  <c r="Q160" i="102"/>
  <c r="L160" i="102"/>
  <c r="G160" i="102"/>
  <c r="B160" i="102"/>
  <c r="Y71" i="102"/>
  <c r="T71" i="102"/>
  <c r="O71" i="102"/>
  <c r="J71" i="102"/>
  <c r="E71" i="102"/>
  <c r="V70" i="102"/>
  <c r="Q70" i="102"/>
  <c r="L70" i="102"/>
  <c r="G70" i="102"/>
  <c r="B70" i="102"/>
  <c r="Y46" i="102"/>
  <c r="T46" i="102"/>
  <c r="O46" i="102"/>
  <c r="J46" i="102"/>
  <c r="E46" i="102"/>
  <c r="V45" i="102"/>
  <c r="Q45" i="102"/>
  <c r="L45" i="102"/>
  <c r="G45" i="102"/>
  <c r="B45" i="102"/>
  <c r="Y26" i="102"/>
  <c r="T26" i="102"/>
  <c r="O26" i="102"/>
  <c r="J26" i="102"/>
  <c r="E26" i="102"/>
  <c r="V25" i="102"/>
  <c r="Q25" i="102"/>
  <c r="L25" i="102"/>
  <c r="G25" i="102"/>
  <c r="B25" i="102"/>
  <c r="Q15" i="102"/>
  <c r="T16" i="102"/>
  <c r="S6" i="102"/>
  <c r="R6" i="102"/>
  <c r="Q6" i="102"/>
  <c r="G15" i="102"/>
  <c r="J16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K99" i="104" l="1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B9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K19" i="104" l="1"/>
  <c r="K14" i="104"/>
  <c r="K9" i="104"/>
  <c r="E119" i="104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N73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E83" i="104" l="1"/>
  <c r="I84" i="104"/>
  <c r="C83" i="104"/>
  <c r="E82" i="104"/>
  <c r="G82" i="104"/>
  <c r="G83" i="104"/>
  <c r="C82" i="104"/>
  <c r="G79" i="104"/>
  <c r="C104" i="104"/>
  <c r="E79" i="104"/>
  <c r="C37" i="104"/>
  <c r="E105" i="104"/>
  <c r="G103" i="104"/>
  <c r="C105" i="104"/>
  <c r="G104" i="104"/>
  <c r="E103" i="104"/>
  <c r="G105" i="104"/>
  <c r="C103" i="104"/>
  <c r="I103" i="104"/>
  <c r="G99" i="104"/>
  <c r="E104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1292" i="103" l="1"/>
  <c r="A1291" i="103"/>
  <c r="A1290" i="103"/>
  <c r="A1289" i="103"/>
  <c r="A1288" i="103"/>
  <c r="A1287" i="103"/>
  <c r="A1286" i="103"/>
  <c r="A1285" i="103"/>
  <c r="A1284" i="103"/>
  <c r="A1281" i="103"/>
  <c r="A1275" i="103"/>
  <c r="A1274" i="103"/>
  <c r="A1273" i="103"/>
  <c r="A1272" i="103"/>
  <c r="A1271" i="103"/>
  <c r="A1270" i="103"/>
  <c r="A1269" i="103"/>
  <c r="A1268" i="103"/>
  <c r="A1267" i="103"/>
  <c r="A1264" i="103"/>
  <c r="A1258" i="103"/>
  <c r="A1257" i="103"/>
  <c r="A1256" i="103"/>
  <c r="A1255" i="103"/>
  <c r="A1254" i="103"/>
  <c r="A1253" i="103"/>
  <c r="A1252" i="103"/>
  <c r="A1251" i="103"/>
  <c r="A1250" i="103"/>
  <c r="A1247" i="103"/>
  <c r="A1241" i="103"/>
  <c r="A1240" i="103"/>
  <c r="A1239" i="103"/>
  <c r="A1238" i="103"/>
  <c r="A1237" i="103"/>
  <c r="A1236" i="103"/>
  <c r="A1235" i="103"/>
  <c r="A1234" i="103"/>
  <c r="A1233" i="103"/>
  <c r="A1230" i="103"/>
  <c r="A1224" i="103"/>
  <c r="A1223" i="103"/>
  <c r="A1222" i="103"/>
  <c r="A1221" i="103"/>
  <c r="A1220" i="103"/>
  <c r="A1219" i="103"/>
  <c r="A1218" i="103"/>
  <c r="A1217" i="103"/>
  <c r="A1216" i="103"/>
  <c r="A1213" i="103"/>
  <c r="A1207" i="103"/>
  <c r="A1206" i="103"/>
  <c r="A1205" i="103"/>
  <c r="A1204" i="103"/>
  <c r="A1203" i="103"/>
  <c r="A1202" i="103"/>
  <c r="A1201" i="103"/>
  <c r="A1200" i="103"/>
  <c r="A1199" i="103"/>
  <c r="A1196" i="103"/>
  <c r="A1190" i="103"/>
  <c r="A1189" i="103"/>
  <c r="A1188" i="103"/>
  <c r="A1187" i="103"/>
  <c r="A1186" i="103"/>
  <c r="A1185" i="103"/>
  <c r="A1184" i="103"/>
  <c r="A1183" i="103"/>
  <c r="A1182" i="103"/>
  <c r="A1179" i="103"/>
  <c r="A1173" i="103"/>
  <c r="A1172" i="103"/>
  <c r="A1171" i="103"/>
  <c r="A1170" i="103"/>
  <c r="A1169" i="103"/>
  <c r="A1168" i="103"/>
  <c r="A1167" i="103"/>
  <c r="A1166" i="103"/>
  <c r="A1165" i="103"/>
  <c r="A1162" i="103"/>
  <c r="A1156" i="103"/>
  <c r="A1155" i="103"/>
  <c r="A1154" i="103"/>
  <c r="A1153" i="103"/>
  <c r="A1152" i="103"/>
  <c r="A1151" i="103"/>
  <c r="A1150" i="103"/>
  <c r="A1149" i="103"/>
  <c r="A1148" i="103"/>
  <c r="A1145" i="103"/>
  <c r="A1139" i="103"/>
  <c r="A1138" i="103"/>
  <c r="A1137" i="103"/>
  <c r="A1136" i="103"/>
  <c r="A1135" i="103"/>
  <c r="A1134" i="103"/>
  <c r="A1133" i="103"/>
  <c r="A1132" i="103"/>
  <c r="A1131" i="103"/>
  <c r="A1128" i="103"/>
  <c r="A1122" i="103"/>
  <c r="A1121" i="103"/>
  <c r="A1120" i="103"/>
  <c r="A1119" i="103"/>
  <c r="A1118" i="103"/>
  <c r="A1117" i="103"/>
  <c r="A1116" i="103"/>
  <c r="A1115" i="103"/>
  <c r="A1114" i="103"/>
  <c r="A1111" i="103"/>
  <c r="A1105" i="103"/>
  <c r="A1104" i="103"/>
  <c r="A1103" i="103"/>
  <c r="A1102" i="103"/>
  <c r="A1101" i="103"/>
  <c r="A1100" i="103"/>
  <c r="A1099" i="103"/>
  <c r="A1098" i="103"/>
  <c r="A1097" i="103"/>
  <c r="A1094" i="103"/>
  <c r="A1088" i="103"/>
  <c r="A1087" i="103"/>
  <c r="A1086" i="103"/>
  <c r="A1085" i="103"/>
  <c r="A1084" i="103"/>
  <c r="A1083" i="103"/>
  <c r="A1082" i="103"/>
  <c r="A1081" i="103"/>
  <c r="A1080" i="103"/>
  <c r="A1077" i="103"/>
  <c r="A1071" i="103"/>
  <c r="A1070" i="103"/>
  <c r="A1069" i="103"/>
  <c r="A1068" i="103"/>
  <c r="A1067" i="103"/>
  <c r="A1066" i="103"/>
  <c r="A1065" i="103"/>
  <c r="A1064" i="103"/>
  <c r="A1063" i="103"/>
  <c r="A1060" i="103"/>
  <c r="A1054" i="103"/>
  <c r="A1053" i="103"/>
  <c r="A1052" i="103"/>
  <c r="A1051" i="103"/>
  <c r="A1050" i="103"/>
  <c r="A1049" i="103"/>
  <c r="A1048" i="103"/>
  <c r="A1047" i="103"/>
  <c r="A1046" i="103"/>
  <c r="A1043" i="103"/>
  <c r="A1037" i="103"/>
  <c r="A1036" i="103"/>
  <c r="A1035" i="103"/>
  <c r="A1034" i="103"/>
  <c r="A1033" i="103"/>
  <c r="A1032" i="103"/>
  <c r="A1031" i="103"/>
  <c r="A1030" i="103"/>
  <c r="A1029" i="103"/>
  <c r="A1026" i="103"/>
  <c r="A1020" i="103"/>
  <c r="A1019" i="103"/>
  <c r="A1018" i="103"/>
  <c r="A1017" i="103"/>
  <c r="A1016" i="103"/>
  <c r="A1015" i="103"/>
  <c r="A1014" i="103"/>
  <c r="A1013" i="103"/>
  <c r="A1012" i="103"/>
  <c r="A1009" i="103"/>
  <c r="A1003" i="103"/>
  <c r="A1002" i="103"/>
  <c r="A1001" i="103"/>
  <c r="A1000" i="103"/>
  <c r="A999" i="103"/>
  <c r="A998" i="103"/>
  <c r="A997" i="103"/>
  <c r="A996" i="103"/>
  <c r="A995" i="103"/>
  <c r="A992" i="103"/>
  <c r="A986" i="103"/>
  <c r="A985" i="103"/>
  <c r="A984" i="103"/>
  <c r="A983" i="103"/>
  <c r="A982" i="103"/>
  <c r="A981" i="103"/>
  <c r="A980" i="103"/>
  <c r="A979" i="103"/>
  <c r="A978" i="103"/>
  <c r="A975" i="103"/>
  <c r="A969" i="103"/>
  <c r="A968" i="103"/>
  <c r="A967" i="103"/>
  <c r="A966" i="103"/>
  <c r="A965" i="103"/>
  <c r="A964" i="103"/>
  <c r="A963" i="103"/>
  <c r="A962" i="103"/>
  <c r="A961" i="103"/>
  <c r="A958" i="103"/>
  <c r="A952" i="103"/>
  <c r="A951" i="103"/>
  <c r="A950" i="103"/>
  <c r="A949" i="103"/>
  <c r="A948" i="103"/>
  <c r="A947" i="103"/>
  <c r="A946" i="103"/>
  <c r="A945" i="103"/>
  <c r="A944" i="103"/>
  <c r="A941" i="103"/>
  <c r="A935" i="103"/>
  <c r="A934" i="103"/>
  <c r="A933" i="103"/>
  <c r="A932" i="103"/>
  <c r="A931" i="103"/>
  <c r="A930" i="103"/>
  <c r="A929" i="103"/>
  <c r="A928" i="103"/>
  <c r="A927" i="103"/>
  <c r="A924" i="103"/>
  <c r="A918" i="103"/>
  <c r="A917" i="103"/>
  <c r="A916" i="103"/>
  <c r="A915" i="103"/>
  <c r="A914" i="103"/>
  <c r="A913" i="103"/>
  <c r="A912" i="103"/>
  <c r="A911" i="103"/>
  <c r="A910" i="103"/>
  <c r="A907" i="103"/>
  <c r="A901" i="103"/>
  <c r="A900" i="103"/>
  <c r="A899" i="103"/>
  <c r="A898" i="103"/>
  <c r="A897" i="103"/>
  <c r="A896" i="103"/>
  <c r="A895" i="103"/>
  <c r="A894" i="103"/>
  <c r="A893" i="103"/>
  <c r="A890" i="103"/>
  <c r="A884" i="103"/>
  <c r="A883" i="103"/>
  <c r="A882" i="103"/>
  <c r="A881" i="103"/>
  <c r="A880" i="103"/>
  <c r="A879" i="103"/>
  <c r="A878" i="103"/>
  <c r="A877" i="103"/>
  <c r="A876" i="103"/>
  <c r="A873" i="103"/>
  <c r="A867" i="103"/>
  <c r="A866" i="103"/>
  <c r="A865" i="103"/>
  <c r="A864" i="103"/>
  <c r="A863" i="103"/>
  <c r="A862" i="103"/>
  <c r="A861" i="103"/>
  <c r="A860" i="103"/>
  <c r="A859" i="103"/>
  <c r="A856" i="103"/>
  <c r="A850" i="103"/>
  <c r="A849" i="103"/>
  <c r="A848" i="103"/>
  <c r="A847" i="103"/>
  <c r="A846" i="103"/>
  <c r="A845" i="103"/>
  <c r="A844" i="103"/>
  <c r="A843" i="103"/>
  <c r="A842" i="103"/>
  <c r="A839" i="103"/>
  <c r="A833" i="103"/>
  <c r="A832" i="103"/>
  <c r="A831" i="103"/>
  <c r="A830" i="103"/>
  <c r="A829" i="103"/>
  <c r="A828" i="103"/>
  <c r="A827" i="103"/>
  <c r="A826" i="103"/>
  <c r="A825" i="103"/>
  <c r="A822" i="103"/>
  <c r="A816" i="103"/>
  <c r="A815" i="103"/>
  <c r="A814" i="103"/>
  <c r="A813" i="103"/>
  <c r="A812" i="103"/>
  <c r="A811" i="103"/>
  <c r="A810" i="103"/>
  <c r="A809" i="103"/>
  <c r="A808" i="103"/>
  <c r="A805" i="103"/>
  <c r="A799" i="103"/>
  <c r="A798" i="103"/>
  <c r="A797" i="103"/>
  <c r="A796" i="103"/>
  <c r="A795" i="103"/>
  <c r="A794" i="103"/>
  <c r="A793" i="103"/>
  <c r="A792" i="103"/>
  <c r="A791" i="103"/>
  <c r="A788" i="103"/>
  <c r="A782" i="103"/>
  <c r="A781" i="103"/>
  <c r="A780" i="103"/>
  <c r="A779" i="103"/>
  <c r="A778" i="103"/>
  <c r="A777" i="103"/>
  <c r="A776" i="103"/>
  <c r="A775" i="103"/>
  <c r="A774" i="103"/>
  <c r="A771" i="103"/>
  <c r="A765" i="103"/>
  <c r="A764" i="103"/>
  <c r="A763" i="103"/>
  <c r="A762" i="103"/>
  <c r="A761" i="103"/>
  <c r="A760" i="103"/>
  <c r="A759" i="103"/>
  <c r="A758" i="103"/>
  <c r="A757" i="103"/>
  <c r="A754" i="103"/>
  <c r="A748" i="103"/>
  <c r="A747" i="103"/>
  <c r="A746" i="103"/>
  <c r="A745" i="103"/>
  <c r="A744" i="103"/>
  <c r="A743" i="103"/>
  <c r="A742" i="103"/>
  <c r="A741" i="103"/>
  <c r="A740" i="103"/>
  <c r="A737" i="103"/>
  <c r="A731" i="103"/>
  <c r="A730" i="103"/>
  <c r="A729" i="103"/>
  <c r="A728" i="103"/>
  <c r="A727" i="103"/>
  <c r="A726" i="103"/>
  <c r="A725" i="103"/>
  <c r="A724" i="103"/>
  <c r="A723" i="103"/>
  <c r="A720" i="103"/>
  <c r="A714" i="103"/>
  <c r="A713" i="103"/>
  <c r="A712" i="103"/>
  <c r="A711" i="103"/>
  <c r="A710" i="103"/>
  <c r="A709" i="103"/>
  <c r="A708" i="103"/>
  <c r="A707" i="103"/>
  <c r="A706" i="103"/>
  <c r="A703" i="103"/>
  <c r="A697" i="103"/>
  <c r="A696" i="103"/>
  <c r="A695" i="103"/>
  <c r="A694" i="103"/>
  <c r="A693" i="103"/>
  <c r="A692" i="103"/>
  <c r="A691" i="103"/>
  <c r="A690" i="103"/>
  <c r="A689" i="103"/>
  <c r="A686" i="103"/>
  <c r="A680" i="103"/>
  <c r="A679" i="103"/>
  <c r="A678" i="103"/>
  <c r="A677" i="103"/>
  <c r="A676" i="103"/>
  <c r="A675" i="103"/>
  <c r="A674" i="103"/>
  <c r="A673" i="103"/>
  <c r="A672" i="103"/>
  <c r="A669" i="103"/>
  <c r="A663" i="103"/>
  <c r="A662" i="103"/>
  <c r="A661" i="103"/>
  <c r="A660" i="103"/>
  <c r="A659" i="103"/>
  <c r="A658" i="103"/>
  <c r="A657" i="103"/>
  <c r="A656" i="103"/>
  <c r="A655" i="103"/>
  <c r="A652" i="103"/>
  <c r="A646" i="103"/>
  <c r="A645" i="103"/>
  <c r="A644" i="103"/>
  <c r="A643" i="103"/>
  <c r="A642" i="103"/>
  <c r="A641" i="103"/>
  <c r="A640" i="103"/>
  <c r="A639" i="103"/>
  <c r="A638" i="103"/>
  <c r="A635" i="103"/>
  <c r="A629" i="103"/>
  <c r="A628" i="103"/>
  <c r="A627" i="103"/>
  <c r="A626" i="103"/>
  <c r="A625" i="103"/>
  <c r="A624" i="103"/>
  <c r="A623" i="103"/>
  <c r="A622" i="103"/>
  <c r="A621" i="103"/>
  <c r="A618" i="103"/>
  <c r="A612" i="103"/>
  <c r="A611" i="103"/>
  <c r="A610" i="103"/>
  <c r="A609" i="103"/>
  <c r="A608" i="103"/>
  <c r="A607" i="103"/>
  <c r="A606" i="103"/>
  <c r="A605" i="103"/>
  <c r="A604" i="103"/>
  <c r="A601" i="103"/>
  <c r="A595" i="103"/>
  <c r="A594" i="103"/>
  <c r="A593" i="103"/>
  <c r="A592" i="103"/>
  <c r="A591" i="103"/>
  <c r="A590" i="103"/>
  <c r="A589" i="103"/>
  <c r="A588" i="103"/>
  <c r="A587" i="103"/>
  <c r="A584" i="103"/>
  <c r="A578" i="103"/>
  <c r="A577" i="103"/>
  <c r="A576" i="103"/>
  <c r="A575" i="103"/>
  <c r="A574" i="103"/>
  <c r="A573" i="103"/>
  <c r="A572" i="103"/>
  <c r="A571" i="103"/>
  <c r="A570" i="103"/>
  <c r="A567" i="103"/>
  <c r="A561" i="103"/>
  <c r="A560" i="103"/>
  <c r="A559" i="103"/>
  <c r="A558" i="103"/>
  <c r="A557" i="103"/>
  <c r="A556" i="103"/>
  <c r="A555" i="103"/>
  <c r="A554" i="103"/>
  <c r="A553" i="103"/>
  <c r="A550" i="103"/>
  <c r="A544" i="103"/>
  <c r="A543" i="103"/>
  <c r="A542" i="103"/>
  <c r="A541" i="103"/>
  <c r="A540" i="103"/>
  <c r="A539" i="103"/>
  <c r="A538" i="103"/>
  <c r="A537" i="103"/>
  <c r="A536" i="103"/>
  <c r="A533" i="103"/>
  <c r="A527" i="103"/>
  <c r="A526" i="103"/>
  <c r="A525" i="103"/>
  <c r="A524" i="103"/>
  <c r="A523" i="103"/>
  <c r="A522" i="103"/>
  <c r="A521" i="103"/>
  <c r="A520" i="103"/>
  <c r="A519" i="103"/>
  <c r="A516" i="103"/>
  <c r="A510" i="103"/>
  <c r="A509" i="103"/>
  <c r="A508" i="103"/>
  <c r="A507" i="103"/>
  <c r="A506" i="103"/>
  <c r="A505" i="103"/>
  <c r="A504" i="103"/>
  <c r="A503" i="103"/>
  <c r="A502" i="103"/>
  <c r="A499" i="103"/>
  <c r="A493" i="103"/>
  <c r="A492" i="103"/>
  <c r="A491" i="103"/>
  <c r="A490" i="103"/>
  <c r="A489" i="103"/>
  <c r="A488" i="103"/>
  <c r="A487" i="103"/>
  <c r="A486" i="103"/>
  <c r="A485" i="103"/>
  <c r="A482" i="103"/>
  <c r="A476" i="103"/>
  <c r="A475" i="103"/>
  <c r="A474" i="103"/>
  <c r="A473" i="103"/>
  <c r="A472" i="103"/>
  <c r="A471" i="103"/>
  <c r="A470" i="103"/>
  <c r="A469" i="103"/>
  <c r="A468" i="103"/>
  <c r="A465" i="103"/>
  <c r="A459" i="103"/>
  <c r="A458" i="103"/>
  <c r="A457" i="103"/>
  <c r="A456" i="103"/>
  <c r="A455" i="103"/>
  <c r="A454" i="103"/>
  <c r="A453" i="103"/>
  <c r="A452" i="103"/>
  <c r="A451" i="103"/>
  <c r="A448" i="103"/>
  <c r="A442" i="103"/>
  <c r="A441" i="103"/>
  <c r="A440" i="103"/>
  <c r="A439" i="103"/>
  <c r="A438" i="103"/>
  <c r="A437" i="103"/>
  <c r="A436" i="103"/>
  <c r="A435" i="103"/>
  <c r="A434" i="103"/>
  <c r="A431" i="103"/>
  <c r="A425" i="103"/>
  <c r="A424" i="103"/>
  <c r="A423" i="103"/>
  <c r="A422" i="103"/>
  <c r="A421" i="103"/>
  <c r="A420" i="103"/>
  <c r="A419" i="103"/>
  <c r="A418" i="103"/>
  <c r="A417" i="103"/>
  <c r="A414" i="103"/>
  <c r="A408" i="103"/>
  <c r="A407" i="103"/>
  <c r="A406" i="103"/>
  <c r="A405" i="103"/>
  <c r="A404" i="103"/>
  <c r="A403" i="103"/>
  <c r="A402" i="103"/>
  <c r="A401" i="103"/>
  <c r="A400" i="103"/>
  <c r="A397" i="103"/>
  <c r="A391" i="103"/>
  <c r="A390" i="103"/>
  <c r="A389" i="103"/>
  <c r="A388" i="103"/>
  <c r="A387" i="103"/>
  <c r="A386" i="103"/>
  <c r="A385" i="103"/>
  <c r="A384" i="103"/>
  <c r="A383" i="103"/>
  <c r="A380" i="103"/>
  <c r="A374" i="103"/>
  <c r="A373" i="103"/>
  <c r="A372" i="103"/>
  <c r="A371" i="103"/>
  <c r="A370" i="103"/>
  <c r="A369" i="103"/>
  <c r="A368" i="103"/>
  <c r="A367" i="103"/>
  <c r="A366" i="103"/>
  <c r="A363" i="103"/>
  <c r="A357" i="103"/>
  <c r="A356" i="103"/>
  <c r="A355" i="103"/>
  <c r="A354" i="103"/>
  <c r="A353" i="103"/>
  <c r="A352" i="103"/>
  <c r="A351" i="103"/>
  <c r="A350" i="103"/>
  <c r="A349" i="103"/>
  <c r="A346" i="103"/>
  <c r="A340" i="103"/>
  <c r="A339" i="103"/>
  <c r="A338" i="103"/>
  <c r="A337" i="103"/>
  <c r="A336" i="103"/>
  <c r="A335" i="103"/>
  <c r="A334" i="103"/>
  <c r="A333" i="103"/>
  <c r="A332" i="103"/>
  <c r="A329" i="103"/>
  <c r="A323" i="103"/>
  <c r="A322" i="103"/>
  <c r="A321" i="103"/>
  <c r="A320" i="103"/>
  <c r="A319" i="103"/>
  <c r="A318" i="103"/>
  <c r="A317" i="103"/>
  <c r="A316" i="103"/>
  <c r="A315" i="103"/>
  <c r="A312" i="103"/>
  <c r="A306" i="103"/>
  <c r="A305" i="103"/>
  <c r="A304" i="103"/>
  <c r="A303" i="103"/>
  <c r="A302" i="103"/>
  <c r="A301" i="103"/>
  <c r="A300" i="103"/>
  <c r="A299" i="103"/>
  <c r="A298" i="103"/>
  <c r="A295" i="103"/>
  <c r="A289" i="103"/>
  <c r="A288" i="103"/>
  <c r="A287" i="103"/>
  <c r="A286" i="103"/>
  <c r="A285" i="103"/>
  <c r="A284" i="103"/>
  <c r="A283" i="103"/>
  <c r="A282" i="103"/>
  <c r="A281" i="103"/>
  <c r="A278" i="103"/>
  <c r="A272" i="103"/>
  <c r="A271" i="103"/>
  <c r="A270" i="103"/>
  <c r="A269" i="103"/>
  <c r="A268" i="103"/>
  <c r="A267" i="103"/>
  <c r="A266" i="103"/>
  <c r="A265" i="103"/>
  <c r="A264" i="103"/>
  <c r="A261" i="103"/>
  <c r="A255" i="103"/>
  <c r="A254" i="103"/>
  <c r="A253" i="103"/>
  <c r="A252" i="103"/>
  <c r="A251" i="103"/>
  <c r="A250" i="103"/>
  <c r="A249" i="103"/>
  <c r="A248" i="103"/>
  <c r="A247" i="103"/>
  <c r="A244" i="103"/>
  <c r="A238" i="103"/>
  <c r="A237" i="103"/>
  <c r="A236" i="103"/>
  <c r="A235" i="103"/>
  <c r="A234" i="103"/>
  <c r="A233" i="103"/>
  <c r="A232" i="103"/>
  <c r="A231" i="103"/>
  <c r="A230" i="103"/>
  <c r="A227" i="103"/>
  <c r="A221" i="103"/>
  <c r="A220" i="103"/>
  <c r="A219" i="103"/>
  <c r="A218" i="103"/>
  <c r="A217" i="103"/>
  <c r="A216" i="103"/>
  <c r="A215" i="103"/>
  <c r="A214" i="103"/>
  <c r="A213" i="103"/>
  <c r="A210" i="103"/>
  <c r="A204" i="103"/>
  <c r="A203" i="103"/>
  <c r="A202" i="103"/>
  <c r="A201" i="103"/>
  <c r="A200" i="103"/>
  <c r="A199" i="103"/>
  <c r="A198" i="103"/>
  <c r="A197" i="103"/>
  <c r="A196" i="103"/>
  <c r="A193" i="103"/>
  <c r="A187" i="103"/>
  <c r="A186" i="103"/>
  <c r="A185" i="103"/>
  <c r="A184" i="103"/>
  <c r="A183" i="103"/>
  <c r="A182" i="103"/>
  <c r="A181" i="103"/>
  <c r="A180" i="103"/>
  <c r="A179" i="103"/>
  <c r="A176" i="103"/>
  <c r="A170" i="103"/>
  <c r="A169" i="103"/>
  <c r="A168" i="103"/>
  <c r="A167" i="103"/>
  <c r="A166" i="103"/>
  <c r="A165" i="103"/>
  <c r="A164" i="103"/>
  <c r="A163" i="103"/>
  <c r="A162" i="103"/>
  <c r="A159" i="103"/>
  <c r="A153" i="103"/>
  <c r="A152" i="103"/>
  <c r="A151" i="103"/>
  <c r="A150" i="103"/>
  <c r="A149" i="103"/>
  <c r="A148" i="103"/>
  <c r="A147" i="103"/>
  <c r="A146" i="103"/>
  <c r="A145" i="103"/>
  <c r="A142" i="103"/>
  <c r="A136" i="103"/>
  <c r="A135" i="103"/>
  <c r="A134" i="103"/>
  <c r="A133" i="103"/>
  <c r="A132" i="103"/>
  <c r="A131" i="103"/>
  <c r="A130" i="103"/>
  <c r="A129" i="103"/>
  <c r="A128" i="103"/>
  <c r="A125" i="103"/>
  <c r="A119" i="103"/>
  <c r="A118" i="103"/>
  <c r="A117" i="103"/>
  <c r="A116" i="103"/>
  <c r="A115" i="103"/>
  <c r="A114" i="103"/>
  <c r="A113" i="103"/>
  <c r="A112" i="103"/>
  <c r="A111" i="103"/>
  <c r="A108" i="103"/>
  <c r="A102" i="103"/>
  <c r="A101" i="103"/>
  <c r="A100" i="103"/>
  <c r="A99" i="103"/>
  <c r="A98" i="103"/>
  <c r="A97" i="103"/>
  <c r="A96" i="103"/>
  <c r="A95" i="103"/>
  <c r="A94" i="103"/>
  <c r="A91" i="103"/>
  <c r="A85" i="103"/>
  <c r="A84" i="103"/>
  <c r="A83" i="103"/>
  <c r="A82" i="103"/>
  <c r="A81" i="103"/>
  <c r="A80" i="103"/>
  <c r="A79" i="103"/>
  <c r="A78" i="103"/>
  <c r="A77" i="103"/>
  <c r="A74" i="103"/>
  <c r="A68" i="103"/>
  <c r="A67" i="103"/>
  <c r="A66" i="103"/>
  <c r="A65" i="103"/>
  <c r="A64" i="103"/>
  <c r="A63" i="103"/>
  <c r="A62" i="103"/>
  <c r="A61" i="103"/>
  <c r="A60" i="103"/>
  <c r="A57" i="103"/>
  <c r="A51" i="103"/>
  <c r="A50" i="103"/>
  <c r="A49" i="103"/>
  <c r="A48" i="103"/>
  <c r="A47" i="103"/>
  <c r="A46" i="103"/>
  <c r="A45" i="103"/>
  <c r="A44" i="103"/>
  <c r="A43" i="103"/>
  <c r="A40" i="103"/>
  <c r="A34" i="103"/>
  <c r="A33" i="103"/>
  <c r="A32" i="103"/>
  <c r="A31" i="103"/>
  <c r="A30" i="103"/>
  <c r="A29" i="103"/>
  <c r="A28" i="103"/>
  <c r="A27" i="103"/>
  <c r="A26" i="103"/>
  <c r="A23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1231" i="103" l="1"/>
  <c r="C1163" i="103"/>
  <c r="C1095" i="103"/>
  <c r="C1027" i="103"/>
  <c r="C959" i="103"/>
  <c r="C891" i="103"/>
  <c r="C823" i="103"/>
  <c r="C755" i="103"/>
  <c r="C687" i="103"/>
  <c r="C619" i="103"/>
  <c r="C551" i="103"/>
  <c r="C483" i="103"/>
  <c r="C415" i="103"/>
  <c r="C347" i="103"/>
  <c r="C279" i="103"/>
  <c r="C211" i="103"/>
  <c r="C143" i="103"/>
  <c r="C75" i="103"/>
  <c r="C1282" i="103"/>
  <c r="C1214" i="103"/>
  <c r="C1146" i="103"/>
  <c r="C1078" i="103"/>
  <c r="C1010" i="103"/>
  <c r="C942" i="103"/>
  <c r="C874" i="103"/>
  <c r="C806" i="103"/>
  <c r="C738" i="103"/>
  <c r="C670" i="103"/>
  <c r="C602" i="103"/>
  <c r="C534" i="103"/>
  <c r="C466" i="103"/>
  <c r="C398" i="103"/>
  <c r="C330" i="103"/>
  <c r="C262" i="103"/>
  <c r="C194" i="103"/>
  <c r="C126" i="103"/>
  <c r="C58" i="103"/>
  <c r="C1265" i="103"/>
  <c r="C1197" i="103"/>
  <c r="C1129" i="103"/>
  <c r="C1061" i="103"/>
  <c r="C993" i="103"/>
  <c r="C925" i="103"/>
  <c r="C857" i="103"/>
  <c r="C789" i="103"/>
  <c r="C721" i="103"/>
  <c r="C653" i="103"/>
  <c r="C585" i="103"/>
  <c r="C517" i="103"/>
  <c r="C449" i="103"/>
  <c r="C381" i="103"/>
  <c r="C313" i="103"/>
  <c r="C245" i="103"/>
  <c r="C177" i="103"/>
  <c r="C109" i="103"/>
  <c r="C41" i="103"/>
  <c r="C1248" i="103"/>
  <c r="C1180" i="103"/>
  <c r="C1112" i="103"/>
  <c r="C1044" i="103"/>
  <c r="C976" i="103"/>
  <c r="C908" i="103"/>
  <c r="C840" i="103"/>
  <c r="C772" i="103"/>
  <c r="C704" i="103"/>
  <c r="C636" i="103"/>
  <c r="C568" i="103"/>
  <c r="C500" i="103"/>
  <c r="C432" i="103"/>
  <c r="C364" i="103"/>
  <c r="C296" i="103"/>
  <c r="C228" i="103"/>
  <c r="C160" i="103"/>
  <c r="C92" i="103"/>
  <c r="L1265" i="103"/>
  <c r="L1197" i="103"/>
  <c r="L1129" i="103"/>
  <c r="L1061" i="103"/>
  <c r="L993" i="103"/>
  <c r="L925" i="103"/>
  <c r="L857" i="103"/>
  <c r="L789" i="103"/>
  <c r="L721" i="103"/>
  <c r="L653" i="103"/>
  <c r="L585" i="103"/>
  <c r="L517" i="103"/>
  <c r="L449" i="103"/>
  <c r="L381" i="103"/>
  <c r="L313" i="103"/>
  <c r="L245" i="103"/>
  <c r="L177" i="103"/>
  <c r="L109" i="103"/>
  <c r="L41" i="103"/>
  <c r="L58" i="103"/>
  <c r="L1146" i="103"/>
  <c r="L874" i="103"/>
  <c r="L738" i="103"/>
  <c r="L602" i="103"/>
  <c r="L1282" i="103"/>
  <c r="L1214" i="103"/>
  <c r="L466" i="103"/>
  <c r="L194" i="103"/>
  <c r="L1248" i="103"/>
  <c r="L1180" i="103"/>
  <c r="L1112" i="103"/>
  <c r="L1044" i="103"/>
  <c r="L976" i="103"/>
  <c r="L908" i="103"/>
  <c r="L840" i="103"/>
  <c r="L772" i="103"/>
  <c r="L704" i="103"/>
  <c r="L636" i="103"/>
  <c r="L568" i="103"/>
  <c r="L500" i="103"/>
  <c r="L432" i="103"/>
  <c r="L364" i="103"/>
  <c r="L296" i="103"/>
  <c r="L228" i="103"/>
  <c r="L160" i="103"/>
  <c r="L92" i="103"/>
  <c r="L534" i="103"/>
  <c r="L398" i="103"/>
  <c r="L330" i="103"/>
  <c r="L126" i="103"/>
  <c r="L1078" i="103"/>
  <c r="L670" i="103"/>
  <c r="L1010" i="103"/>
  <c r="L806" i="103"/>
  <c r="L1231" i="103"/>
  <c r="L1163" i="103"/>
  <c r="L1095" i="103"/>
  <c r="L1027" i="103"/>
  <c r="L959" i="103"/>
  <c r="L891" i="103"/>
  <c r="L823" i="103"/>
  <c r="L755" i="103"/>
  <c r="L687" i="103"/>
  <c r="L619" i="103"/>
  <c r="L551" i="103"/>
  <c r="L483" i="103"/>
  <c r="L415" i="103"/>
  <c r="L347" i="103"/>
  <c r="L279" i="103"/>
  <c r="L211" i="103"/>
  <c r="L143" i="103"/>
  <c r="L75" i="103"/>
  <c r="L262" i="103"/>
  <c r="L942" i="103"/>
  <c r="M721" i="103"/>
  <c r="M1248" i="103"/>
  <c r="M1180" i="103"/>
  <c r="M1112" i="103"/>
  <c r="M1044" i="103"/>
  <c r="M976" i="103"/>
  <c r="M908" i="103"/>
  <c r="M840" i="103"/>
  <c r="M772" i="103"/>
  <c r="M704" i="103"/>
  <c r="M636" i="103"/>
  <c r="M568" i="103"/>
  <c r="M500" i="103"/>
  <c r="M432" i="103"/>
  <c r="M364" i="103"/>
  <c r="M296" i="103"/>
  <c r="M228" i="103"/>
  <c r="M160" i="103"/>
  <c r="M92" i="103"/>
  <c r="M1061" i="103"/>
  <c r="M381" i="103"/>
  <c r="M517" i="103"/>
  <c r="M1231" i="103"/>
  <c r="M1163" i="103"/>
  <c r="M1095" i="103"/>
  <c r="M1027" i="103"/>
  <c r="M959" i="103"/>
  <c r="M891" i="103"/>
  <c r="M823" i="103"/>
  <c r="M755" i="103"/>
  <c r="M687" i="103"/>
  <c r="M619" i="103"/>
  <c r="M551" i="103"/>
  <c r="M483" i="103"/>
  <c r="M415" i="103"/>
  <c r="M347" i="103"/>
  <c r="M279" i="103"/>
  <c r="M211" i="103"/>
  <c r="M143" i="103"/>
  <c r="M75" i="103"/>
  <c r="M313" i="103"/>
  <c r="M245" i="103"/>
  <c r="M789" i="103"/>
  <c r="M857" i="103"/>
  <c r="M109" i="103"/>
  <c r="M1282" i="103"/>
  <c r="M1214" i="103"/>
  <c r="M1146" i="103"/>
  <c r="M1078" i="103"/>
  <c r="M1010" i="103"/>
  <c r="M942" i="103"/>
  <c r="M874" i="103"/>
  <c r="M806" i="103"/>
  <c r="M738" i="103"/>
  <c r="M670" i="103"/>
  <c r="M602" i="103"/>
  <c r="M534" i="103"/>
  <c r="M466" i="103"/>
  <c r="M398" i="103"/>
  <c r="M330" i="103"/>
  <c r="M262" i="103"/>
  <c r="M194" i="103"/>
  <c r="M126" i="103"/>
  <c r="M58" i="103"/>
  <c r="M653" i="103"/>
  <c r="M585" i="103"/>
  <c r="M449" i="103"/>
  <c r="M41" i="103"/>
  <c r="M1265" i="103"/>
  <c r="M1197" i="103"/>
  <c r="M1129" i="103"/>
  <c r="M993" i="103"/>
  <c r="M925" i="103"/>
  <c r="M177" i="103"/>
  <c r="N1248" i="103"/>
  <c r="N1180" i="103"/>
  <c r="N1112" i="103"/>
  <c r="N1044" i="103"/>
  <c r="N976" i="103"/>
  <c r="N908" i="103"/>
  <c r="N840" i="103"/>
  <c r="N772" i="103"/>
  <c r="N704" i="103"/>
  <c r="N636" i="103"/>
  <c r="N568" i="103"/>
  <c r="N500" i="103"/>
  <c r="N432" i="103"/>
  <c r="N364" i="103"/>
  <c r="N296" i="103"/>
  <c r="N228" i="103"/>
  <c r="N160" i="103"/>
  <c r="N92" i="103"/>
  <c r="N1231" i="103"/>
  <c r="N1163" i="103"/>
  <c r="N1095" i="103"/>
  <c r="N1027" i="103"/>
  <c r="N959" i="103"/>
  <c r="N891" i="103"/>
  <c r="N823" i="103"/>
  <c r="N755" i="103"/>
  <c r="N687" i="103"/>
  <c r="N619" i="103"/>
  <c r="N551" i="103"/>
  <c r="N483" i="103"/>
  <c r="N415" i="103"/>
  <c r="N347" i="103"/>
  <c r="N279" i="103"/>
  <c r="N211" i="103"/>
  <c r="N143" i="103"/>
  <c r="N75" i="103"/>
  <c r="N1282" i="103"/>
  <c r="N1214" i="103"/>
  <c r="N1146" i="103"/>
  <c r="N1078" i="103"/>
  <c r="N1010" i="103"/>
  <c r="N942" i="103"/>
  <c r="N874" i="103"/>
  <c r="N806" i="103"/>
  <c r="N738" i="103"/>
  <c r="N670" i="103"/>
  <c r="N602" i="103"/>
  <c r="N534" i="103"/>
  <c r="N466" i="103"/>
  <c r="N398" i="103"/>
  <c r="N330" i="103"/>
  <c r="N262" i="103"/>
  <c r="N194" i="103"/>
  <c r="N126" i="103"/>
  <c r="N58" i="103"/>
  <c r="N1265" i="103"/>
  <c r="N1197" i="103"/>
  <c r="N1129" i="103"/>
  <c r="N1061" i="103"/>
  <c r="N993" i="103"/>
  <c r="N925" i="103"/>
  <c r="N857" i="103"/>
  <c r="N789" i="103"/>
  <c r="N721" i="103"/>
  <c r="N653" i="103"/>
  <c r="N585" i="103"/>
  <c r="N517" i="103"/>
  <c r="N449" i="103"/>
  <c r="N381" i="103"/>
  <c r="N313" i="103"/>
  <c r="N245" i="103"/>
  <c r="N177" i="103"/>
  <c r="N109" i="103"/>
  <c r="N41" i="103"/>
  <c r="B364" i="103"/>
  <c r="B1231" i="103"/>
  <c r="B1163" i="103"/>
  <c r="B1095" i="103"/>
  <c r="B1027" i="103"/>
  <c r="B959" i="103"/>
  <c r="B891" i="103"/>
  <c r="B823" i="103"/>
  <c r="B755" i="103"/>
  <c r="B687" i="103"/>
  <c r="B619" i="103"/>
  <c r="B551" i="103"/>
  <c r="B483" i="103"/>
  <c r="B415" i="103"/>
  <c r="B347" i="103"/>
  <c r="B279" i="103"/>
  <c r="B211" i="103"/>
  <c r="B143" i="103"/>
  <c r="B75" i="103"/>
  <c r="B840" i="103"/>
  <c r="B772" i="103"/>
  <c r="B704" i="103"/>
  <c r="B568" i="103"/>
  <c r="B228" i="103"/>
  <c r="B160" i="103"/>
  <c r="B92" i="103"/>
  <c r="B1044" i="103"/>
  <c r="B296" i="103"/>
  <c r="B1282" i="103"/>
  <c r="B1214" i="103"/>
  <c r="B1146" i="103"/>
  <c r="B1078" i="103"/>
  <c r="B1010" i="103"/>
  <c r="B942" i="103"/>
  <c r="B874" i="103"/>
  <c r="B806" i="103"/>
  <c r="B738" i="103"/>
  <c r="B670" i="103"/>
  <c r="B602" i="103"/>
  <c r="B534" i="103"/>
  <c r="B466" i="103"/>
  <c r="B398" i="103"/>
  <c r="B330" i="103"/>
  <c r="B262" i="103"/>
  <c r="B194" i="103"/>
  <c r="B126" i="103"/>
  <c r="B58" i="103"/>
  <c r="B500" i="103"/>
  <c r="B1265" i="103"/>
  <c r="B1197" i="103"/>
  <c r="B1129" i="103"/>
  <c r="B1061" i="103"/>
  <c r="B993" i="103"/>
  <c r="B925" i="103"/>
  <c r="B857" i="103"/>
  <c r="B789" i="103"/>
  <c r="B721" i="103"/>
  <c r="B653" i="103"/>
  <c r="B585" i="103"/>
  <c r="B517" i="103"/>
  <c r="B449" i="103"/>
  <c r="B381" i="103"/>
  <c r="B313" i="103"/>
  <c r="B245" i="103"/>
  <c r="B177" i="103"/>
  <c r="B109" i="103"/>
  <c r="B41" i="103"/>
  <c r="B908" i="103"/>
  <c r="B1248" i="103"/>
  <c r="B1180" i="103"/>
  <c r="B1112" i="103"/>
  <c r="B976" i="103"/>
  <c r="B636" i="103"/>
  <c r="B432" i="103"/>
  <c r="D1231" i="103"/>
  <c r="D1163" i="103"/>
  <c r="D1095" i="103"/>
  <c r="D1027" i="103"/>
  <c r="D959" i="103"/>
  <c r="D891" i="103"/>
  <c r="D823" i="103"/>
  <c r="D755" i="103"/>
  <c r="D687" i="103"/>
  <c r="D619" i="103"/>
  <c r="D551" i="103"/>
  <c r="D483" i="103"/>
  <c r="D415" i="103"/>
  <c r="D347" i="103"/>
  <c r="D279" i="103"/>
  <c r="D211" i="103"/>
  <c r="D143" i="103"/>
  <c r="D75" i="103"/>
  <c r="D772" i="103"/>
  <c r="D41" i="103"/>
  <c r="D1112" i="103"/>
  <c r="D908" i="103"/>
  <c r="D704" i="103"/>
  <c r="D160" i="103"/>
  <c r="D92" i="103"/>
  <c r="D1282" i="103"/>
  <c r="D1214" i="103"/>
  <c r="D1146" i="103"/>
  <c r="D1078" i="103"/>
  <c r="D1010" i="103"/>
  <c r="D942" i="103"/>
  <c r="D874" i="103"/>
  <c r="D806" i="103"/>
  <c r="D738" i="103"/>
  <c r="D670" i="103"/>
  <c r="D602" i="103"/>
  <c r="D534" i="103"/>
  <c r="D466" i="103"/>
  <c r="D398" i="103"/>
  <c r="D330" i="103"/>
  <c r="D262" i="103"/>
  <c r="D194" i="103"/>
  <c r="D126" i="103"/>
  <c r="D58" i="103"/>
  <c r="D1180" i="103"/>
  <c r="D500" i="103"/>
  <c r="D432" i="103"/>
  <c r="D364" i="103"/>
  <c r="D568" i="103"/>
  <c r="D1265" i="103"/>
  <c r="D1197" i="103"/>
  <c r="D1129" i="103"/>
  <c r="D1061" i="103"/>
  <c r="D993" i="103"/>
  <c r="D925" i="103"/>
  <c r="D857" i="103"/>
  <c r="D789" i="103"/>
  <c r="D721" i="103"/>
  <c r="D653" i="103"/>
  <c r="D585" i="103"/>
  <c r="D517" i="103"/>
  <c r="D449" i="103"/>
  <c r="D381" i="103"/>
  <c r="D313" i="103"/>
  <c r="D245" i="103"/>
  <c r="D177" i="103"/>
  <c r="D109" i="103"/>
  <c r="D296" i="103"/>
  <c r="D1248" i="103"/>
  <c r="D1044" i="103"/>
  <c r="D976" i="103"/>
  <c r="D228" i="103"/>
  <c r="D840" i="103"/>
  <c r="D636" i="103"/>
  <c r="G1282" i="103"/>
  <c r="G1214" i="103"/>
  <c r="G1146" i="103"/>
  <c r="G1078" i="103"/>
  <c r="G1010" i="103"/>
  <c r="G942" i="103"/>
  <c r="G874" i="103"/>
  <c r="G806" i="103"/>
  <c r="G738" i="103"/>
  <c r="G670" i="103"/>
  <c r="G602" i="103"/>
  <c r="G534" i="103"/>
  <c r="G466" i="103"/>
  <c r="G398" i="103"/>
  <c r="G330" i="103"/>
  <c r="G262" i="103"/>
  <c r="G194" i="103"/>
  <c r="G126" i="103"/>
  <c r="G58" i="103"/>
  <c r="G1265" i="103"/>
  <c r="G1197" i="103"/>
  <c r="G1129" i="103"/>
  <c r="G1061" i="103"/>
  <c r="G993" i="103"/>
  <c r="G925" i="103"/>
  <c r="G857" i="103"/>
  <c r="G789" i="103"/>
  <c r="G721" i="103"/>
  <c r="G653" i="103"/>
  <c r="G585" i="103"/>
  <c r="G517" i="103"/>
  <c r="G449" i="103"/>
  <c r="G381" i="103"/>
  <c r="G313" i="103"/>
  <c r="G245" i="103"/>
  <c r="G177" i="103"/>
  <c r="G109" i="103"/>
  <c r="G41" i="103"/>
  <c r="G1248" i="103"/>
  <c r="G1180" i="103"/>
  <c r="G1112" i="103"/>
  <c r="G1044" i="103"/>
  <c r="G976" i="103"/>
  <c r="G908" i="103"/>
  <c r="G840" i="103"/>
  <c r="G772" i="103"/>
  <c r="G704" i="103"/>
  <c r="G636" i="103"/>
  <c r="G568" i="103"/>
  <c r="G500" i="103"/>
  <c r="G432" i="103"/>
  <c r="G364" i="103"/>
  <c r="G296" i="103"/>
  <c r="G228" i="103"/>
  <c r="G160" i="103"/>
  <c r="G92" i="103"/>
  <c r="G1231" i="103"/>
  <c r="G1163" i="103"/>
  <c r="G1095" i="103"/>
  <c r="G1027" i="103"/>
  <c r="G959" i="103"/>
  <c r="G891" i="103"/>
  <c r="G823" i="103"/>
  <c r="G755" i="103"/>
  <c r="G687" i="103"/>
  <c r="G619" i="103"/>
  <c r="G551" i="103"/>
  <c r="G483" i="103"/>
  <c r="G415" i="103"/>
  <c r="G347" i="103"/>
  <c r="G279" i="103"/>
  <c r="G211" i="103"/>
  <c r="G143" i="103"/>
  <c r="G75" i="103"/>
  <c r="H1282" i="103"/>
  <c r="H1214" i="103"/>
  <c r="H1146" i="103"/>
  <c r="H1078" i="103"/>
  <c r="H1010" i="103"/>
  <c r="H942" i="103"/>
  <c r="H874" i="103"/>
  <c r="H806" i="103"/>
  <c r="H738" i="103"/>
  <c r="H670" i="103"/>
  <c r="H602" i="103"/>
  <c r="H534" i="103"/>
  <c r="H466" i="103"/>
  <c r="H398" i="103"/>
  <c r="H330" i="103"/>
  <c r="H262" i="103"/>
  <c r="H194" i="103"/>
  <c r="H126" i="103"/>
  <c r="H58" i="103"/>
  <c r="H1231" i="103"/>
  <c r="H1163" i="103"/>
  <c r="H1095" i="103"/>
  <c r="H823" i="103"/>
  <c r="H755" i="103"/>
  <c r="H687" i="103"/>
  <c r="H483" i="103"/>
  <c r="H415" i="103"/>
  <c r="H347" i="103"/>
  <c r="H1265" i="103"/>
  <c r="H1197" i="103"/>
  <c r="H1129" i="103"/>
  <c r="H1061" i="103"/>
  <c r="H993" i="103"/>
  <c r="H925" i="103"/>
  <c r="H857" i="103"/>
  <c r="H789" i="103"/>
  <c r="H721" i="103"/>
  <c r="H653" i="103"/>
  <c r="H585" i="103"/>
  <c r="H517" i="103"/>
  <c r="H449" i="103"/>
  <c r="H381" i="103"/>
  <c r="H313" i="103"/>
  <c r="H245" i="103"/>
  <c r="H177" i="103"/>
  <c r="H109" i="103"/>
  <c r="H41" i="103"/>
  <c r="H619" i="103"/>
  <c r="H1248" i="103"/>
  <c r="H1180" i="103"/>
  <c r="H1112" i="103"/>
  <c r="H1044" i="103"/>
  <c r="H976" i="103"/>
  <c r="H908" i="103"/>
  <c r="H840" i="103"/>
  <c r="H772" i="103"/>
  <c r="H704" i="103"/>
  <c r="H636" i="103"/>
  <c r="H568" i="103"/>
  <c r="H500" i="103"/>
  <c r="H432" i="103"/>
  <c r="H364" i="103"/>
  <c r="H296" i="103"/>
  <c r="H228" i="103"/>
  <c r="H160" i="103"/>
  <c r="H92" i="103"/>
  <c r="H551" i="103"/>
  <c r="H211" i="103"/>
  <c r="H75" i="103"/>
  <c r="H959" i="103"/>
  <c r="H891" i="103"/>
  <c r="H143" i="103"/>
  <c r="H1027" i="103"/>
  <c r="H279" i="103"/>
  <c r="I398" i="103"/>
  <c r="I1265" i="103"/>
  <c r="I1197" i="103"/>
  <c r="I1129" i="103"/>
  <c r="I1061" i="103"/>
  <c r="I993" i="103"/>
  <c r="I925" i="103"/>
  <c r="I857" i="103"/>
  <c r="I789" i="103"/>
  <c r="I721" i="103"/>
  <c r="I653" i="103"/>
  <c r="I585" i="103"/>
  <c r="I517" i="103"/>
  <c r="I449" i="103"/>
  <c r="I381" i="103"/>
  <c r="I313" i="103"/>
  <c r="I245" i="103"/>
  <c r="I177" i="103"/>
  <c r="I109" i="103"/>
  <c r="I41" i="103"/>
  <c r="I126" i="103"/>
  <c r="I874" i="103"/>
  <c r="I738" i="103"/>
  <c r="I534" i="103"/>
  <c r="I58" i="103"/>
  <c r="I1248" i="103"/>
  <c r="I1180" i="103"/>
  <c r="I1112" i="103"/>
  <c r="I1044" i="103"/>
  <c r="I976" i="103"/>
  <c r="I908" i="103"/>
  <c r="I840" i="103"/>
  <c r="I772" i="103"/>
  <c r="I704" i="103"/>
  <c r="I636" i="103"/>
  <c r="I568" i="103"/>
  <c r="I500" i="103"/>
  <c r="I432" i="103"/>
  <c r="I364" i="103"/>
  <c r="I296" i="103"/>
  <c r="I228" i="103"/>
  <c r="I160" i="103"/>
  <c r="I92" i="103"/>
  <c r="I262" i="103"/>
  <c r="I1231" i="103"/>
  <c r="I1163" i="103"/>
  <c r="I1095" i="103"/>
  <c r="I1027" i="103"/>
  <c r="I959" i="103"/>
  <c r="I891" i="103"/>
  <c r="I823" i="103"/>
  <c r="I755" i="103"/>
  <c r="I687" i="103"/>
  <c r="I619" i="103"/>
  <c r="I551" i="103"/>
  <c r="I483" i="103"/>
  <c r="I415" i="103"/>
  <c r="I347" i="103"/>
  <c r="I279" i="103"/>
  <c r="I211" i="103"/>
  <c r="I143" i="103"/>
  <c r="I75" i="103"/>
  <c r="I806" i="103"/>
  <c r="I670" i="103"/>
  <c r="I466" i="103"/>
  <c r="I194" i="103"/>
  <c r="I1282" i="103"/>
  <c r="I1214" i="103"/>
  <c r="I1146" i="103"/>
  <c r="I1078" i="103"/>
  <c r="I1010" i="103"/>
  <c r="I942" i="103"/>
  <c r="I602" i="103"/>
  <c r="I330" i="103"/>
  <c r="B24" i="103"/>
  <c r="L24" i="103"/>
  <c r="I24" i="103"/>
  <c r="C24" i="103"/>
  <c r="D24" i="103"/>
  <c r="M24" i="103"/>
  <c r="N24" i="103"/>
  <c r="G24" i="103"/>
  <c r="H24" i="103"/>
  <c r="A558" i="102"/>
  <c r="A553" i="102"/>
  <c r="A548" i="102"/>
  <c r="A545" i="102"/>
  <c r="A533" i="102"/>
  <c r="A528" i="102"/>
  <c r="A523" i="102"/>
  <c r="A518" i="102"/>
  <c r="A515" i="102"/>
  <c r="A480" i="102"/>
  <c r="A470" i="102"/>
  <c r="A490" i="102"/>
  <c r="A503" i="102"/>
  <c r="A498" i="102"/>
  <c r="A493" i="102"/>
  <c r="A483" i="102"/>
  <c r="A473" i="102"/>
  <c r="A458" i="102"/>
  <c r="A453" i="102"/>
  <c r="A448" i="102"/>
  <c r="A443" i="102"/>
  <c r="A438" i="102"/>
  <c r="A433" i="102"/>
  <c r="A430" i="102"/>
  <c r="A418" i="102"/>
  <c r="A413" i="102"/>
  <c r="A408" i="102"/>
  <c r="A403" i="102"/>
  <c r="A398" i="102"/>
  <c r="A393" i="102"/>
  <c r="A388" i="102"/>
  <c r="A385" i="102"/>
  <c r="A378" i="102"/>
  <c r="A375" i="102"/>
  <c r="A363" i="102"/>
  <c r="A358" i="102"/>
  <c r="A353" i="102"/>
  <c r="A350" i="102"/>
  <c r="A338" i="102"/>
  <c r="A333" i="102"/>
  <c r="A328" i="102"/>
  <c r="A325" i="102"/>
  <c r="A313" i="102"/>
  <c r="A308" i="102"/>
  <c r="A303" i="102"/>
  <c r="A300" i="102"/>
  <c r="A288" i="102"/>
  <c r="A283" i="102"/>
  <c r="A280" i="102"/>
  <c r="A245" i="102"/>
  <c r="A268" i="102"/>
  <c r="A263" i="102"/>
  <c r="A258" i="102"/>
  <c r="A253" i="102"/>
  <c r="A248" i="102"/>
  <c r="A233" i="102"/>
  <c r="A228" i="102"/>
  <c r="A223" i="102"/>
  <c r="A220" i="102"/>
  <c r="A208" i="102"/>
  <c r="A203" i="102"/>
  <c r="A198" i="102"/>
  <c r="A195" i="102"/>
  <c r="A170" i="102"/>
  <c r="A183" i="102"/>
  <c r="A178" i="102"/>
  <c r="A173" i="102"/>
  <c r="A163" i="102"/>
  <c r="A160" i="102"/>
  <c r="A148" i="102"/>
  <c r="A143" i="102"/>
  <c r="A138" i="102"/>
  <c r="A133" i="102"/>
  <c r="A128" i="102"/>
  <c r="A123" i="102"/>
  <c r="A118" i="102"/>
  <c r="A113" i="102"/>
  <c r="A108" i="102"/>
  <c r="A103" i="102"/>
  <c r="A98" i="102"/>
  <c r="A93" i="102"/>
  <c r="A88" i="102"/>
  <c r="A83" i="102"/>
  <c r="A78" i="102"/>
  <c r="A70" i="102"/>
  <c r="A73" i="102"/>
  <c r="A58" i="102"/>
  <c r="A53" i="102"/>
  <c r="A48" i="102"/>
  <c r="A45" i="102"/>
  <c r="A33" i="102"/>
  <c r="A28" i="102"/>
  <c r="A25" i="102"/>
  <c r="A18" i="102"/>
  <c r="A8" i="102"/>
  <c r="B15" i="102"/>
  <c r="A15" i="102"/>
  <c r="A5" i="102"/>
  <c r="L15" i="102"/>
  <c r="V15" i="102"/>
  <c r="Y16" i="102"/>
  <c r="O16" i="102"/>
  <c r="E16" i="102"/>
  <c r="X6" i="102"/>
  <c r="W6" i="102"/>
  <c r="V6" i="102"/>
  <c r="N6" i="102"/>
  <c r="M6" i="102"/>
  <c r="L6" i="102"/>
  <c r="D6" i="102"/>
  <c r="C6" i="102"/>
  <c r="B6" i="102"/>
  <c r="A825" i="101"/>
  <c r="A1292" i="101"/>
  <c r="A1291" i="101"/>
  <c r="A1290" i="101"/>
  <c r="A1289" i="101"/>
  <c r="A1288" i="101"/>
  <c r="A1287" i="101"/>
  <c r="A1286" i="101"/>
  <c r="A1285" i="101"/>
  <c r="A1284" i="101"/>
  <c r="A1275" i="101"/>
  <c r="A1274" i="101"/>
  <c r="A1273" i="101"/>
  <c r="A1272" i="101"/>
  <c r="A1271" i="101"/>
  <c r="A1270" i="101"/>
  <c r="A1269" i="101"/>
  <c r="A1268" i="101"/>
  <c r="A1267" i="101"/>
  <c r="A1258" i="101"/>
  <c r="A1257" i="101"/>
  <c r="A1256" i="101"/>
  <c r="A1255" i="101"/>
  <c r="A1254" i="101"/>
  <c r="A1253" i="101"/>
  <c r="A1252" i="101"/>
  <c r="A1251" i="101"/>
  <c r="A1250" i="101"/>
  <c r="A1241" i="101"/>
  <c r="A1240" i="101"/>
  <c r="A1239" i="101"/>
  <c r="A1238" i="101"/>
  <c r="A1237" i="101"/>
  <c r="A1236" i="101"/>
  <c r="A1235" i="101"/>
  <c r="A1234" i="101"/>
  <c r="A1233" i="101"/>
  <c r="A1224" i="101"/>
  <c r="A1223" i="101"/>
  <c r="A1222" i="101"/>
  <c r="A1221" i="101"/>
  <c r="A1220" i="101"/>
  <c r="A1219" i="101"/>
  <c r="A1218" i="101"/>
  <c r="A1217" i="101"/>
  <c r="A1216" i="101"/>
  <c r="A1207" i="101"/>
  <c r="A1206" i="101"/>
  <c r="A1205" i="101"/>
  <c r="A1204" i="101"/>
  <c r="A1203" i="101"/>
  <c r="A1202" i="101"/>
  <c r="A1201" i="101"/>
  <c r="A1200" i="101"/>
  <c r="A1199" i="101"/>
  <c r="A1190" i="101"/>
  <c r="A1189" i="101"/>
  <c r="A1188" i="101"/>
  <c r="A1187" i="101"/>
  <c r="A1186" i="101"/>
  <c r="A1185" i="101"/>
  <c r="A1184" i="101"/>
  <c r="A1183" i="101"/>
  <c r="A1182" i="101"/>
  <c r="A1173" i="101"/>
  <c r="A1172" i="101"/>
  <c r="A1171" i="101"/>
  <c r="A1170" i="101"/>
  <c r="A1169" i="101"/>
  <c r="A1168" i="101"/>
  <c r="A1167" i="101"/>
  <c r="A1166" i="101"/>
  <c r="A1165" i="101"/>
  <c r="A1156" i="101"/>
  <c r="A1155" i="101"/>
  <c r="A1154" i="101"/>
  <c r="A1153" i="101"/>
  <c r="A1152" i="101"/>
  <c r="A1151" i="101"/>
  <c r="A1150" i="101"/>
  <c r="A1149" i="101"/>
  <c r="A1148" i="101"/>
  <c r="A1139" i="101"/>
  <c r="A1138" i="101"/>
  <c r="A1137" i="101"/>
  <c r="A1136" i="101"/>
  <c r="A1135" i="101"/>
  <c r="A1134" i="101"/>
  <c r="A1133" i="101"/>
  <c r="A1132" i="101"/>
  <c r="A1131" i="101"/>
  <c r="A1122" i="101"/>
  <c r="A1121" i="101"/>
  <c r="A1120" i="101"/>
  <c r="A1119" i="101"/>
  <c r="A1118" i="101"/>
  <c r="A1117" i="101"/>
  <c r="A1116" i="101"/>
  <c r="A1115" i="101"/>
  <c r="A1114" i="101"/>
  <c r="A1105" i="101"/>
  <c r="A1104" i="101"/>
  <c r="A1103" i="101"/>
  <c r="A1102" i="101"/>
  <c r="A1101" i="101"/>
  <c r="A1100" i="101"/>
  <c r="A1099" i="101"/>
  <c r="A1098" i="101"/>
  <c r="A1097" i="101"/>
  <c r="A1088" i="101"/>
  <c r="A1087" i="101"/>
  <c r="A1086" i="101"/>
  <c r="A1085" i="101"/>
  <c r="A1084" i="101"/>
  <c r="A1083" i="101"/>
  <c r="A1082" i="101"/>
  <c r="A1081" i="101"/>
  <c r="A1080" i="101"/>
  <c r="A1071" i="101"/>
  <c r="A1070" i="101"/>
  <c r="A1069" i="101"/>
  <c r="A1068" i="101"/>
  <c r="A1067" i="101"/>
  <c r="A1066" i="101"/>
  <c r="A1065" i="101"/>
  <c r="A1064" i="101"/>
  <c r="A1063" i="101"/>
  <c r="A1054" i="101"/>
  <c r="A1053" i="101"/>
  <c r="A1052" i="101"/>
  <c r="A1051" i="101"/>
  <c r="A1050" i="101"/>
  <c r="A1049" i="101"/>
  <c r="A1048" i="101"/>
  <c r="A1047" i="101"/>
  <c r="A1046" i="101"/>
  <c r="A1037" i="101"/>
  <c r="A1036" i="101"/>
  <c r="A1035" i="101"/>
  <c r="A1034" i="101"/>
  <c r="A1033" i="101"/>
  <c r="A1032" i="101"/>
  <c r="A1031" i="101"/>
  <c r="A1030" i="101"/>
  <c r="A1029" i="101"/>
  <c r="A1020" i="101"/>
  <c r="A1019" i="101"/>
  <c r="A1018" i="101"/>
  <c r="A1017" i="101"/>
  <c r="A1016" i="101"/>
  <c r="A1015" i="101"/>
  <c r="A1014" i="101"/>
  <c r="A1013" i="101"/>
  <c r="A1012" i="101"/>
  <c r="A1003" i="101"/>
  <c r="A1002" i="101"/>
  <c r="A1001" i="101"/>
  <c r="A1000" i="101"/>
  <c r="A999" i="101"/>
  <c r="A998" i="101"/>
  <c r="A997" i="101"/>
  <c r="A996" i="101"/>
  <c r="A995" i="101"/>
  <c r="A986" i="101"/>
  <c r="A985" i="101"/>
  <c r="A984" i="101"/>
  <c r="A983" i="101"/>
  <c r="A982" i="101"/>
  <c r="A981" i="101"/>
  <c r="A980" i="101"/>
  <c r="A979" i="101"/>
  <c r="A978" i="101"/>
  <c r="A969" i="101"/>
  <c r="A968" i="101"/>
  <c r="A967" i="101"/>
  <c r="A966" i="101"/>
  <c r="A965" i="101"/>
  <c r="A964" i="101"/>
  <c r="A963" i="101"/>
  <c r="A962" i="101"/>
  <c r="A961" i="101"/>
  <c r="A952" i="101"/>
  <c r="A951" i="101"/>
  <c r="A950" i="101"/>
  <c r="A949" i="101"/>
  <c r="A948" i="101"/>
  <c r="A947" i="101"/>
  <c r="A946" i="101"/>
  <c r="A945" i="101"/>
  <c r="A944" i="101"/>
  <c r="A935" i="101"/>
  <c r="A934" i="101"/>
  <c r="A933" i="101"/>
  <c r="A932" i="101"/>
  <c r="A931" i="101"/>
  <c r="A930" i="101"/>
  <c r="A929" i="101"/>
  <c r="A928" i="101"/>
  <c r="A927" i="101"/>
  <c r="A918" i="101"/>
  <c r="A917" i="101"/>
  <c r="A916" i="101"/>
  <c r="A915" i="101"/>
  <c r="A914" i="101"/>
  <c r="A913" i="101"/>
  <c r="A912" i="101"/>
  <c r="A911" i="101"/>
  <c r="A910" i="101"/>
  <c r="A901" i="101"/>
  <c r="A900" i="101"/>
  <c r="A899" i="101"/>
  <c r="A898" i="101"/>
  <c r="A897" i="101"/>
  <c r="A896" i="101"/>
  <c r="A895" i="101"/>
  <c r="A894" i="101"/>
  <c r="A893" i="101"/>
  <c r="A884" i="101"/>
  <c r="A883" i="101"/>
  <c r="A882" i="101"/>
  <c r="A881" i="101"/>
  <c r="A880" i="101"/>
  <c r="A879" i="101"/>
  <c r="A878" i="101"/>
  <c r="A877" i="101"/>
  <c r="A876" i="101"/>
  <c r="A867" i="101"/>
  <c r="A866" i="101"/>
  <c r="A865" i="101"/>
  <c r="A864" i="101"/>
  <c r="A863" i="101"/>
  <c r="A862" i="101"/>
  <c r="A861" i="101"/>
  <c r="A860" i="101"/>
  <c r="A859" i="101"/>
  <c r="A850" i="101"/>
  <c r="A849" i="101"/>
  <c r="A848" i="101"/>
  <c r="A847" i="101"/>
  <c r="A846" i="101"/>
  <c r="A845" i="101"/>
  <c r="A844" i="101"/>
  <c r="A843" i="101"/>
  <c r="A842" i="101"/>
  <c r="A833" i="101"/>
  <c r="A832" i="101"/>
  <c r="A831" i="101"/>
  <c r="A830" i="101"/>
  <c r="A829" i="101"/>
  <c r="A828" i="101"/>
  <c r="A827" i="101"/>
  <c r="A826" i="101"/>
  <c r="A816" i="101"/>
  <c r="A815" i="101"/>
  <c r="A814" i="101"/>
  <c r="A813" i="101"/>
  <c r="A812" i="101"/>
  <c r="A811" i="101"/>
  <c r="A810" i="101"/>
  <c r="A809" i="101"/>
  <c r="A808" i="101"/>
  <c r="A799" i="101"/>
  <c r="A798" i="101"/>
  <c r="A797" i="101"/>
  <c r="A796" i="101"/>
  <c r="A795" i="101"/>
  <c r="A794" i="101"/>
  <c r="A793" i="101"/>
  <c r="A792" i="101"/>
  <c r="A791" i="101"/>
  <c r="A782" i="101"/>
  <c r="A781" i="101"/>
  <c r="A780" i="101"/>
  <c r="A779" i="101"/>
  <c r="A778" i="101"/>
  <c r="A777" i="101"/>
  <c r="A776" i="101"/>
  <c r="A775" i="101"/>
  <c r="A774" i="101"/>
  <c r="A765" i="101"/>
  <c r="A764" i="101"/>
  <c r="A763" i="101"/>
  <c r="A762" i="101"/>
  <c r="A761" i="101"/>
  <c r="A760" i="101"/>
  <c r="A759" i="101"/>
  <c r="A758" i="101"/>
  <c r="A757" i="101"/>
  <c r="A748" i="101"/>
  <c r="A747" i="101"/>
  <c r="A746" i="101"/>
  <c r="A745" i="101"/>
  <c r="A744" i="101"/>
  <c r="A743" i="101"/>
  <c r="A742" i="101"/>
  <c r="A741" i="101"/>
  <c r="A740" i="101"/>
  <c r="A731" i="101"/>
  <c r="A730" i="101"/>
  <c r="A729" i="101"/>
  <c r="A728" i="101"/>
  <c r="A727" i="101"/>
  <c r="A726" i="101"/>
  <c r="A725" i="101"/>
  <c r="A724" i="101"/>
  <c r="A723" i="101"/>
  <c r="A714" i="101"/>
  <c r="A713" i="101"/>
  <c r="A712" i="101"/>
  <c r="A711" i="101"/>
  <c r="A710" i="101"/>
  <c r="A709" i="101"/>
  <c r="A708" i="101"/>
  <c r="A707" i="101"/>
  <c r="A706" i="101"/>
  <c r="A697" i="101"/>
  <c r="A696" i="101"/>
  <c r="A695" i="101"/>
  <c r="A694" i="101"/>
  <c r="A693" i="101"/>
  <c r="A692" i="101"/>
  <c r="A691" i="101"/>
  <c r="A690" i="101"/>
  <c r="A689" i="101"/>
  <c r="A680" i="101"/>
  <c r="A679" i="101"/>
  <c r="A678" i="101"/>
  <c r="A677" i="101"/>
  <c r="A676" i="101"/>
  <c r="A675" i="101"/>
  <c r="A674" i="101"/>
  <c r="A673" i="101"/>
  <c r="A672" i="101"/>
  <c r="A663" i="101"/>
  <c r="A662" i="101"/>
  <c r="A661" i="101"/>
  <c r="A660" i="101"/>
  <c r="A659" i="101"/>
  <c r="A658" i="101"/>
  <c r="A657" i="101"/>
  <c r="A656" i="101"/>
  <c r="A655" i="101"/>
  <c r="A646" i="101"/>
  <c r="A645" i="101"/>
  <c r="A644" i="101"/>
  <c r="A643" i="101"/>
  <c r="A642" i="101"/>
  <c r="A641" i="101"/>
  <c r="A640" i="101"/>
  <c r="A639" i="101"/>
  <c r="A638" i="101"/>
  <c r="A629" i="101"/>
  <c r="A628" i="101"/>
  <c r="A627" i="101"/>
  <c r="A626" i="101"/>
  <c r="A625" i="101"/>
  <c r="A624" i="101"/>
  <c r="A623" i="101"/>
  <c r="A622" i="101"/>
  <c r="A621" i="101"/>
  <c r="A612" i="101"/>
  <c r="A611" i="101"/>
  <c r="A610" i="101"/>
  <c r="A609" i="101"/>
  <c r="A608" i="101"/>
  <c r="A607" i="101"/>
  <c r="A606" i="101"/>
  <c r="A605" i="101"/>
  <c r="A604" i="101"/>
  <c r="A595" i="101"/>
  <c r="A594" i="101"/>
  <c r="A593" i="101"/>
  <c r="A592" i="101"/>
  <c r="A591" i="101"/>
  <c r="A590" i="101"/>
  <c r="A589" i="101"/>
  <c r="A588" i="101"/>
  <c r="A587" i="101"/>
  <c r="A578" i="101"/>
  <c r="A577" i="101"/>
  <c r="A576" i="101"/>
  <c r="A575" i="101"/>
  <c r="A574" i="101"/>
  <c r="A573" i="101"/>
  <c r="A572" i="101"/>
  <c r="A571" i="101"/>
  <c r="A570" i="101"/>
  <c r="A561" i="101"/>
  <c r="A560" i="101"/>
  <c r="A559" i="101"/>
  <c r="A558" i="101"/>
  <c r="A557" i="101"/>
  <c r="A556" i="101"/>
  <c r="A555" i="101"/>
  <c r="A554" i="101"/>
  <c r="A553" i="101"/>
  <c r="A544" i="101"/>
  <c r="A543" i="101"/>
  <c r="A542" i="101"/>
  <c r="A541" i="101"/>
  <c r="A540" i="101"/>
  <c r="A539" i="101"/>
  <c r="A538" i="101"/>
  <c r="A537" i="101"/>
  <c r="A536" i="101"/>
  <c r="A527" i="101"/>
  <c r="A526" i="101"/>
  <c r="A525" i="101"/>
  <c r="A524" i="101"/>
  <c r="A523" i="101"/>
  <c r="A522" i="101"/>
  <c r="A521" i="101"/>
  <c r="A520" i="101"/>
  <c r="A519" i="101"/>
  <c r="A510" i="101"/>
  <c r="A509" i="101"/>
  <c r="A508" i="101"/>
  <c r="A507" i="101"/>
  <c r="A506" i="101"/>
  <c r="A505" i="101"/>
  <c r="A504" i="101"/>
  <c r="A503" i="101"/>
  <c r="A502" i="101"/>
  <c r="A493" i="101"/>
  <c r="A492" i="101"/>
  <c r="A491" i="101"/>
  <c r="A490" i="101"/>
  <c r="A489" i="101"/>
  <c r="A488" i="101"/>
  <c r="A487" i="101"/>
  <c r="A486" i="101"/>
  <c r="A485" i="101"/>
  <c r="A476" i="101"/>
  <c r="A475" i="101"/>
  <c r="A474" i="101"/>
  <c r="A473" i="101"/>
  <c r="A472" i="101"/>
  <c r="A471" i="101"/>
  <c r="A470" i="101"/>
  <c r="A469" i="101"/>
  <c r="A468" i="101"/>
  <c r="A459" i="101"/>
  <c r="A458" i="101"/>
  <c r="A457" i="101"/>
  <c r="A456" i="101"/>
  <c r="A455" i="101"/>
  <c r="A454" i="101"/>
  <c r="A453" i="101"/>
  <c r="A452" i="101"/>
  <c r="A451" i="101"/>
  <c r="A442" i="101"/>
  <c r="A441" i="101"/>
  <c r="A440" i="101"/>
  <c r="A439" i="101"/>
  <c r="A438" i="101"/>
  <c r="A437" i="101"/>
  <c r="A436" i="101"/>
  <c r="A435" i="101"/>
  <c r="A434" i="101"/>
  <c r="A425" i="101"/>
  <c r="A424" i="101"/>
  <c r="A423" i="101"/>
  <c r="A422" i="101"/>
  <c r="A421" i="101"/>
  <c r="A420" i="101"/>
  <c r="A419" i="101"/>
  <c r="A418" i="101"/>
  <c r="A417" i="101"/>
  <c r="A408" i="101"/>
  <c r="A407" i="101"/>
  <c r="A406" i="101"/>
  <c r="A405" i="101"/>
  <c r="A404" i="101"/>
  <c r="A403" i="101"/>
  <c r="A402" i="101"/>
  <c r="A401" i="101"/>
  <c r="A400" i="101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546" i="102" l="1"/>
  <c r="I471" i="102"/>
  <c r="D351" i="102"/>
  <c r="I246" i="102"/>
  <c r="D161" i="102"/>
  <c r="D491" i="102"/>
  <c r="I386" i="102"/>
  <c r="D301" i="102"/>
  <c r="I196" i="102"/>
  <c r="D46" i="102"/>
  <c r="D481" i="102"/>
  <c r="I376" i="102"/>
  <c r="D281" i="102"/>
  <c r="I171" i="102"/>
  <c r="I546" i="102"/>
  <c r="D471" i="102"/>
  <c r="I351" i="102"/>
  <c r="D246" i="102"/>
  <c r="I161" i="102"/>
  <c r="I516" i="102"/>
  <c r="D431" i="102"/>
  <c r="I326" i="102"/>
  <c r="D221" i="102"/>
  <c r="I481" i="102"/>
  <c r="I431" i="102"/>
  <c r="I281" i="102"/>
  <c r="I221" i="102"/>
  <c r="D516" i="102"/>
  <c r="I301" i="102"/>
  <c r="D196" i="102"/>
  <c r="D171" i="102"/>
  <c r="I491" i="102"/>
  <c r="D386" i="102"/>
  <c r="D376" i="102"/>
  <c r="I71" i="102"/>
  <c r="I46" i="102"/>
  <c r="D326" i="102"/>
  <c r="I26" i="102"/>
  <c r="D71" i="102"/>
  <c r="D26" i="102"/>
  <c r="Q491" i="102"/>
  <c r="L386" i="102"/>
  <c r="Q301" i="102"/>
  <c r="L196" i="102"/>
  <c r="Q46" i="102"/>
  <c r="L546" i="102"/>
  <c r="Q471" i="102"/>
  <c r="L351" i="102"/>
  <c r="Q246" i="102"/>
  <c r="L161" i="102"/>
  <c r="L516" i="102"/>
  <c r="Q431" i="102"/>
  <c r="L326" i="102"/>
  <c r="Q221" i="102"/>
  <c r="L71" i="102"/>
  <c r="L491" i="102"/>
  <c r="Q386" i="102"/>
  <c r="L301" i="102"/>
  <c r="Q196" i="102"/>
  <c r="L46" i="102"/>
  <c r="L481" i="102"/>
  <c r="Q376" i="102"/>
  <c r="L281" i="102"/>
  <c r="Q546" i="102"/>
  <c r="Q161" i="102"/>
  <c r="Q481" i="102"/>
  <c r="L471" i="102"/>
  <c r="L171" i="102"/>
  <c r="L431" i="102"/>
  <c r="Q26" i="102"/>
  <c r="L26" i="102"/>
  <c r="Q16" i="102"/>
  <c r="Q281" i="102"/>
  <c r="L246" i="102"/>
  <c r="Q171" i="102"/>
  <c r="L221" i="102"/>
  <c r="Q351" i="102"/>
  <c r="Q326" i="102"/>
  <c r="Q71" i="102"/>
  <c r="Q516" i="102"/>
  <c r="L376" i="102"/>
  <c r="M16" i="102"/>
  <c r="R481" i="102"/>
  <c r="M376" i="102"/>
  <c r="R281" i="102"/>
  <c r="M171" i="102"/>
  <c r="R26" i="102"/>
  <c r="M546" i="102"/>
  <c r="M516" i="102"/>
  <c r="R431" i="102"/>
  <c r="M326" i="102"/>
  <c r="R221" i="102"/>
  <c r="M71" i="102"/>
  <c r="M491" i="102"/>
  <c r="R386" i="102"/>
  <c r="M301" i="102"/>
  <c r="R196" i="102"/>
  <c r="M46" i="102"/>
  <c r="M481" i="102"/>
  <c r="R376" i="102"/>
  <c r="M281" i="102"/>
  <c r="R171" i="102"/>
  <c r="M26" i="102"/>
  <c r="R546" i="102"/>
  <c r="M471" i="102"/>
  <c r="R351" i="102"/>
  <c r="M246" i="102"/>
  <c r="R246" i="102"/>
  <c r="R16" i="102"/>
  <c r="R301" i="102"/>
  <c r="M431" i="102"/>
  <c r="R71" i="102"/>
  <c r="R516" i="102"/>
  <c r="M351" i="102"/>
  <c r="R491" i="102"/>
  <c r="M221" i="102"/>
  <c r="R471" i="102"/>
  <c r="R326" i="102"/>
  <c r="R161" i="102"/>
  <c r="M196" i="102"/>
  <c r="M161" i="102"/>
  <c r="M386" i="102"/>
  <c r="R46" i="102"/>
  <c r="N16" i="102"/>
  <c r="N546" i="102"/>
  <c r="S471" i="102"/>
  <c r="N351" i="102"/>
  <c r="S246" i="102"/>
  <c r="N161" i="102"/>
  <c r="N491" i="102"/>
  <c r="S386" i="102"/>
  <c r="N301" i="102"/>
  <c r="S196" i="102"/>
  <c r="N46" i="102"/>
  <c r="N481" i="102"/>
  <c r="S376" i="102"/>
  <c r="N281" i="102"/>
  <c r="S171" i="102"/>
  <c r="S546" i="102"/>
  <c r="N471" i="102"/>
  <c r="S351" i="102"/>
  <c r="N246" i="102"/>
  <c r="S161" i="102"/>
  <c r="S516" i="102"/>
  <c r="N431" i="102"/>
  <c r="S326" i="102"/>
  <c r="N221" i="102"/>
  <c r="S221" i="102"/>
  <c r="N71" i="102"/>
  <c r="N26" i="102"/>
  <c r="N171" i="102"/>
  <c r="S26" i="102"/>
  <c r="S491" i="102"/>
  <c r="N376" i="102"/>
  <c r="S46" i="102"/>
  <c r="N516" i="102"/>
  <c r="S281" i="102"/>
  <c r="S431" i="102"/>
  <c r="S301" i="102"/>
  <c r="N196" i="102"/>
  <c r="S481" i="102"/>
  <c r="S71" i="102"/>
  <c r="N386" i="102"/>
  <c r="N326" i="102"/>
  <c r="S16" i="102"/>
  <c r="V16" i="102"/>
  <c r="V386" i="102"/>
  <c r="V196" i="102"/>
  <c r="V546" i="102"/>
  <c r="V351" i="102"/>
  <c r="V161" i="102"/>
  <c r="V516" i="102"/>
  <c r="V326" i="102"/>
  <c r="V71" i="102"/>
  <c r="V491" i="102"/>
  <c r="V301" i="102"/>
  <c r="V46" i="102"/>
  <c r="V481" i="102"/>
  <c r="V281" i="102"/>
  <c r="V171" i="102"/>
  <c r="V471" i="102"/>
  <c r="V431" i="102"/>
  <c r="V376" i="102"/>
  <c r="V26" i="102"/>
  <c r="V246" i="102"/>
  <c r="V221" i="102"/>
  <c r="W16" i="102"/>
  <c r="W376" i="102"/>
  <c r="W171" i="102"/>
  <c r="W546" i="102"/>
  <c r="W516" i="102"/>
  <c r="W326" i="102"/>
  <c r="W71" i="102"/>
  <c r="W491" i="102"/>
  <c r="W301" i="102"/>
  <c r="W46" i="102"/>
  <c r="W481" i="102"/>
  <c r="W281" i="102"/>
  <c r="W26" i="102"/>
  <c r="W471" i="102"/>
  <c r="W246" i="102"/>
  <c r="W431" i="102"/>
  <c r="W196" i="102"/>
  <c r="W221" i="102"/>
  <c r="W161" i="102"/>
  <c r="W351" i="102"/>
  <c r="W386" i="102"/>
  <c r="G491" i="102"/>
  <c r="B386" i="102"/>
  <c r="G301" i="102"/>
  <c r="B196" i="102"/>
  <c r="G46" i="102"/>
  <c r="B546" i="102"/>
  <c r="G471" i="102"/>
  <c r="B351" i="102"/>
  <c r="G246" i="102"/>
  <c r="B161" i="102"/>
  <c r="B516" i="102"/>
  <c r="G431" i="102"/>
  <c r="B326" i="102"/>
  <c r="G221" i="102"/>
  <c r="B71" i="102"/>
  <c r="B491" i="102"/>
  <c r="G386" i="102"/>
  <c r="B301" i="102"/>
  <c r="G196" i="102"/>
  <c r="B46" i="102"/>
  <c r="B481" i="102"/>
  <c r="G376" i="102"/>
  <c r="B281" i="102"/>
  <c r="G351" i="102"/>
  <c r="B221" i="102"/>
  <c r="G71" i="102"/>
  <c r="G26" i="102"/>
  <c r="G281" i="102"/>
  <c r="B246" i="102"/>
  <c r="B26" i="102"/>
  <c r="G481" i="102"/>
  <c r="B471" i="102"/>
  <c r="G326" i="102"/>
  <c r="G161" i="102"/>
  <c r="B171" i="102"/>
  <c r="G546" i="102"/>
  <c r="B431" i="102"/>
  <c r="B376" i="102"/>
  <c r="G516" i="102"/>
  <c r="G171" i="102"/>
  <c r="X16" i="102"/>
  <c r="X546" i="102"/>
  <c r="X351" i="102"/>
  <c r="X161" i="102"/>
  <c r="X491" i="102"/>
  <c r="X301" i="102"/>
  <c r="X46" i="102"/>
  <c r="X481" i="102"/>
  <c r="X281" i="102"/>
  <c r="X26" i="102"/>
  <c r="X471" i="102"/>
  <c r="X246" i="102"/>
  <c r="X431" i="102"/>
  <c r="X221" i="102"/>
  <c r="X171" i="102"/>
  <c r="X326" i="102"/>
  <c r="X386" i="102"/>
  <c r="X376" i="102"/>
  <c r="X71" i="102"/>
  <c r="X516" i="102"/>
  <c r="X196" i="102"/>
  <c r="H481" i="102"/>
  <c r="C376" i="102"/>
  <c r="H281" i="102"/>
  <c r="C171" i="102"/>
  <c r="H26" i="102"/>
  <c r="C516" i="102"/>
  <c r="H431" i="102"/>
  <c r="C326" i="102"/>
  <c r="H221" i="102"/>
  <c r="C71" i="102"/>
  <c r="C491" i="102"/>
  <c r="H386" i="102"/>
  <c r="C301" i="102"/>
  <c r="H196" i="102"/>
  <c r="C46" i="102"/>
  <c r="C481" i="102"/>
  <c r="H376" i="102"/>
  <c r="C281" i="102"/>
  <c r="H171" i="102"/>
  <c r="C26" i="102"/>
  <c r="H546" i="102"/>
  <c r="C471" i="102"/>
  <c r="H351" i="102"/>
  <c r="C246" i="102"/>
  <c r="H326" i="102"/>
  <c r="H301" i="102"/>
  <c r="C196" i="102"/>
  <c r="H161" i="102"/>
  <c r="C546" i="102"/>
  <c r="C221" i="102"/>
  <c r="C431" i="102"/>
  <c r="C351" i="102"/>
  <c r="H516" i="102"/>
  <c r="H491" i="102"/>
  <c r="C386" i="102"/>
  <c r="C161" i="102"/>
  <c r="H71" i="102"/>
  <c r="H46" i="102"/>
  <c r="H246" i="102"/>
  <c r="H471" i="102"/>
  <c r="B16" i="102"/>
  <c r="G16" i="102"/>
  <c r="C16" i="102"/>
  <c r="H16" i="102"/>
  <c r="D16" i="102"/>
  <c r="I16" i="102"/>
  <c r="L16" i="102"/>
  <c r="A1281" i="101"/>
  <c r="A1264" i="101"/>
  <c r="A1247" i="101"/>
  <c r="A1230" i="101"/>
  <c r="A1213" i="101"/>
  <c r="A1196" i="101"/>
  <c r="A1179" i="101"/>
  <c r="A1162" i="101"/>
  <c r="A1145" i="101"/>
  <c r="A1128" i="101"/>
  <c r="A1111" i="101"/>
  <c r="A1094" i="101"/>
  <c r="A1077" i="101"/>
  <c r="A1060" i="101"/>
  <c r="A1043" i="101"/>
  <c r="A1026" i="101"/>
  <c r="A1009" i="101"/>
  <c r="A992" i="101"/>
  <c r="A975" i="101"/>
  <c r="A958" i="101"/>
  <c r="A941" i="101"/>
  <c r="A924" i="101"/>
  <c r="A907" i="101"/>
  <c r="A890" i="101"/>
  <c r="A873" i="101"/>
  <c r="A856" i="101"/>
  <c r="A839" i="101"/>
  <c r="A822" i="101"/>
  <c r="A805" i="101"/>
  <c r="A788" i="101"/>
  <c r="A771" i="101"/>
  <c r="A754" i="101"/>
  <c r="A737" i="101"/>
  <c r="A720" i="101"/>
  <c r="A703" i="101"/>
  <c r="A686" i="101"/>
  <c r="A669" i="101"/>
  <c r="A652" i="101"/>
  <c r="A635" i="101"/>
  <c r="A618" i="101"/>
  <c r="A601" i="101"/>
  <c r="A584" i="101"/>
  <c r="A567" i="101"/>
  <c r="A550" i="101"/>
  <c r="A533" i="101"/>
  <c r="A516" i="101"/>
  <c r="A499" i="101"/>
  <c r="A482" i="101"/>
  <c r="A465" i="101"/>
  <c r="A448" i="101"/>
  <c r="A431" i="101"/>
  <c r="A414" i="101"/>
  <c r="A397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J1281" i="101"/>
  <c r="F1281" i="101"/>
  <c r="B1281" i="101"/>
  <c r="J1264" i="101"/>
  <c r="F1264" i="101"/>
  <c r="B1264" i="101"/>
  <c r="J1247" i="101"/>
  <c r="F1247" i="101"/>
  <c r="B1247" i="101"/>
  <c r="J1230" i="101"/>
  <c r="F1230" i="101"/>
  <c r="B1230" i="101"/>
  <c r="J1213" i="101"/>
  <c r="F1213" i="101"/>
  <c r="B1213" i="101"/>
  <c r="J1196" i="101"/>
  <c r="F1196" i="101"/>
  <c r="B1196" i="101"/>
  <c r="J1179" i="101"/>
  <c r="F1179" i="101"/>
  <c r="B1179" i="101"/>
  <c r="J1162" i="101"/>
  <c r="F1162" i="101"/>
  <c r="B1162" i="101"/>
  <c r="J1145" i="101"/>
  <c r="F1145" i="101"/>
  <c r="B1145" i="101"/>
  <c r="J1128" i="101"/>
  <c r="F1128" i="101"/>
  <c r="B1128" i="101"/>
  <c r="J1111" i="101"/>
  <c r="F1111" i="101"/>
  <c r="B1111" i="101"/>
  <c r="J1094" i="101"/>
  <c r="F1094" i="101"/>
  <c r="B1094" i="101"/>
  <c r="J1077" i="101"/>
  <c r="F1077" i="101"/>
  <c r="B1077" i="101"/>
  <c r="J1060" i="101"/>
  <c r="F1060" i="101"/>
  <c r="B1060" i="101"/>
  <c r="J1043" i="101"/>
  <c r="F1043" i="101"/>
  <c r="B1043" i="101"/>
  <c r="J1026" i="101"/>
  <c r="F1026" i="101"/>
  <c r="B1026" i="101"/>
  <c r="J1009" i="101"/>
  <c r="F1009" i="101"/>
  <c r="B1009" i="101"/>
  <c r="J992" i="101"/>
  <c r="F992" i="101"/>
  <c r="B992" i="101"/>
  <c r="J975" i="101"/>
  <c r="F975" i="101"/>
  <c r="B975" i="101"/>
  <c r="J958" i="101"/>
  <c r="F958" i="101"/>
  <c r="B958" i="101"/>
  <c r="J941" i="101"/>
  <c r="F941" i="101"/>
  <c r="B941" i="101"/>
  <c r="J924" i="101"/>
  <c r="F924" i="101"/>
  <c r="B924" i="101"/>
  <c r="J907" i="101"/>
  <c r="F907" i="101"/>
  <c r="B907" i="101"/>
  <c r="J890" i="101"/>
  <c r="F890" i="101"/>
  <c r="B890" i="101"/>
  <c r="J873" i="101"/>
  <c r="F873" i="101"/>
  <c r="B873" i="101"/>
  <c r="J856" i="101"/>
  <c r="F856" i="101"/>
  <c r="B856" i="101"/>
  <c r="J839" i="101"/>
  <c r="F839" i="101"/>
  <c r="B839" i="101"/>
  <c r="J822" i="101"/>
  <c r="F822" i="101"/>
  <c r="B822" i="101"/>
  <c r="J805" i="101"/>
  <c r="F805" i="101"/>
  <c r="B805" i="101"/>
  <c r="J788" i="101"/>
  <c r="F788" i="101"/>
  <c r="B788" i="101"/>
  <c r="J771" i="101"/>
  <c r="F771" i="101"/>
  <c r="B771" i="101"/>
  <c r="A23" i="101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J397" i="101" s="1"/>
  <c r="J414" i="101" s="1"/>
  <c r="J431" i="101" s="1"/>
  <c r="J448" i="101" s="1"/>
  <c r="J465" i="101" s="1"/>
  <c r="J482" i="101" s="1"/>
  <c r="J499" i="101" s="1"/>
  <c r="J516" i="101" s="1"/>
  <c r="J533" i="101" s="1"/>
  <c r="J550" i="101" s="1"/>
  <c r="J567" i="101" s="1"/>
  <c r="J584" i="101" s="1"/>
  <c r="J601" i="101" s="1"/>
  <c r="J618" i="101" s="1"/>
  <c r="J635" i="101" s="1"/>
  <c r="J652" i="101" s="1"/>
  <c r="J669" i="101" s="1"/>
  <c r="J686" i="101" s="1"/>
  <c r="J703" i="101" s="1"/>
  <c r="J720" i="101" s="1"/>
  <c r="J737" i="101" s="1"/>
  <c r="J754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F397" i="101" s="1"/>
  <c r="F414" i="101" s="1"/>
  <c r="F431" i="101" s="1"/>
  <c r="F448" i="101" s="1"/>
  <c r="F465" i="101" s="1"/>
  <c r="F482" i="101" s="1"/>
  <c r="F499" i="101" s="1"/>
  <c r="F516" i="101" s="1"/>
  <c r="F533" i="101" s="1"/>
  <c r="F550" i="101" s="1"/>
  <c r="F567" i="101" s="1"/>
  <c r="F584" i="101" s="1"/>
  <c r="F601" i="101" s="1"/>
  <c r="F618" i="101" s="1"/>
  <c r="F635" i="101" s="1"/>
  <c r="F652" i="101" s="1"/>
  <c r="F669" i="101" s="1"/>
  <c r="F686" i="101" s="1"/>
  <c r="F703" i="101" s="1"/>
  <c r="F720" i="101" s="1"/>
  <c r="F737" i="101" s="1"/>
  <c r="F754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I8" i="79"/>
  <c r="I35" i="79" s="1"/>
  <c r="H8" i="79"/>
  <c r="H35" i="79" s="1"/>
  <c r="G8" i="79"/>
  <c r="G35" i="79" s="1"/>
  <c r="F8" i="79"/>
  <c r="F35" i="79" s="1"/>
  <c r="E8" i="79"/>
  <c r="E35" i="79" s="1"/>
  <c r="D8" i="79"/>
  <c r="D35" i="79" s="1"/>
  <c r="C8" i="79"/>
  <c r="C35" i="79" s="1"/>
  <c r="B8" i="79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B35" i="79" l="1"/>
  <c r="K8" i="79"/>
  <c r="S33" i="79"/>
  <c r="AF8" i="79" l="1"/>
  <c r="T17" i="79"/>
  <c r="T33" i="79"/>
  <c r="U25" i="79"/>
  <c r="U33" i="79"/>
  <c r="P19" i="79"/>
  <c r="P33" i="79"/>
  <c r="R9" i="79"/>
  <c r="R33" i="79"/>
  <c r="Q31" i="79"/>
  <c r="Q33" i="79"/>
  <c r="U30" i="79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55" i="78" s="1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64" i="78" s="1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53" i="78" s="1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R27" i="78"/>
  <c r="CR64" i="78" s="1"/>
  <c r="CR101" i="78" s="1"/>
  <c r="CR26" i="78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G17" i="78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G9" i="78"/>
  <c r="CG46" i="78" s="1"/>
  <c r="CG83" i="78" s="1"/>
  <c r="CG8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BA66" i="78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E101" i="78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L107" i="49" s="1" a="1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H82" i="78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46" i="78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2" i="76"/>
  <c r="M5" i="76"/>
  <c r="N5" i="76"/>
  <c r="O5" i="76"/>
  <c r="P5" i="76"/>
  <c r="M9" i="76"/>
  <c r="N9" i="76"/>
  <c r="O9" i="76"/>
  <c r="P9" i="76"/>
  <c r="N15" i="76"/>
  <c r="O15" i="76"/>
  <c r="P15" i="76"/>
  <c r="M26" i="76"/>
  <c r="M37" i="76"/>
  <c r="N37" i="76"/>
  <c r="O37" i="76"/>
  <c r="P37" i="76"/>
  <c r="M41" i="76"/>
  <c r="N41" i="76"/>
  <c r="O41" i="76"/>
  <c r="P41" i="76"/>
  <c r="M45" i="76"/>
  <c r="N45" i="76"/>
  <c r="O45" i="76"/>
  <c r="P4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BX24" i="78" l="1"/>
  <c r="BX61" i="78" s="1"/>
  <c r="BX98" i="78" s="1"/>
  <c r="CI17" i="78"/>
  <c r="CI54" i="78" s="1"/>
  <c r="CI91" i="78" s="1"/>
  <c r="CT8" i="78"/>
  <c r="CT45" i="78" s="1"/>
  <c r="CT82" i="78" s="1"/>
  <c r="CH91" i="78"/>
  <c r="CT26" i="78"/>
  <c r="CT63" i="78" s="1"/>
  <c r="CT100" i="78" s="1"/>
  <c r="AQ28" i="78"/>
  <c r="AQ65" i="78" s="1"/>
  <c r="AQ102" i="78" s="1"/>
  <c r="CS100" i="78"/>
  <c r="AP102" i="78"/>
  <c r="L85" i="49" a="1"/>
  <c r="L63" i="49" a="1"/>
  <c r="L96" i="49" a="1"/>
  <c r="L74" i="49" a="1"/>
  <c r="L107" i="49"/>
  <c r="L113" i="49"/>
  <c r="L114" i="49"/>
  <c r="L112" i="49"/>
  <c r="L111" i="49"/>
  <c r="L110" i="49"/>
  <c r="L109" i="49"/>
  <c r="L108" i="49"/>
  <c r="L115" i="49"/>
  <c r="CS35" i="78"/>
  <c r="CT35" i="78" s="1"/>
  <c r="BL35" i="78"/>
  <c r="BM35" i="78" s="1"/>
  <c r="CH82" i="78"/>
  <c r="CH35" i="78"/>
  <c r="CI35" i="78" s="1"/>
  <c r="CS45" i="78"/>
  <c r="T82" i="78"/>
  <c r="BW82" i="78"/>
  <c r="BW35" i="78"/>
  <c r="BX35" i="78" s="1"/>
  <c r="AE35" i="78"/>
  <c r="AF35" i="78" s="1"/>
  <c r="AP82" i="78"/>
  <c r="AP35" i="78"/>
  <c r="AQ35" i="78" s="1"/>
  <c r="BA45" i="78"/>
  <c r="BA35" i="78"/>
  <c r="BB35" i="78" s="1"/>
  <c r="F210" i="49"/>
  <c r="D236" i="49"/>
  <c r="F239" i="49"/>
  <c r="D265" i="49"/>
  <c r="F268" i="49"/>
  <c r="D294" i="49"/>
  <c r="D178" i="49"/>
  <c r="F181" i="49"/>
  <c r="D207" i="49"/>
  <c r="BL96" i="78"/>
  <c r="CS47" i="78"/>
  <c r="AQ20" i="78"/>
  <c r="AQ57" i="78" s="1"/>
  <c r="AQ94" i="78" s="1"/>
  <c r="AE56" i="78"/>
  <c r="CS106" i="78"/>
  <c r="CH83" i="78"/>
  <c r="BW62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N26" i="76"/>
  <c r="P26" i="76"/>
  <c r="M22" i="76"/>
  <c r="M49" i="76" s="1"/>
  <c r="O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G207" i="49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G236" i="49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2" i="78"/>
  <c r="G265" i="49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G178" i="49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N63" i="49" l="1" a="1"/>
  <c r="N63" i="49" s="1"/>
  <c r="F294" i="49"/>
  <c r="N107" i="49" a="1"/>
  <c r="F265" i="49"/>
  <c r="N96" i="49" a="1"/>
  <c r="N85" i="49" a="1"/>
  <c r="L75" i="49"/>
  <c r="L74" i="49"/>
  <c r="L78" i="49"/>
  <c r="L81" i="49"/>
  <c r="L82" i="49"/>
  <c r="L79" i="49"/>
  <c r="L77" i="49"/>
  <c r="L80" i="49"/>
  <c r="L76" i="49"/>
  <c r="N74" i="49" a="1"/>
  <c r="L96" i="49"/>
  <c r="L101" i="49"/>
  <c r="L103" i="49"/>
  <c r="L97" i="49"/>
  <c r="L102" i="49"/>
  <c r="L100" i="49"/>
  <c r="L98" i="49"/>
  <c r="L104" i="49"/>
  <c r="L99" i="49"/>
  <c r="L63" i="49"/>
  <c r="L69" i="49"/>
  <c r="L70" i="49"/>
  <c r="L67" i="49"/>
  <c r="L66" i="49"/>
  <c r="L65" i="49"/>
  <c r="L71" i="49"/>
  <c r="L68" i="49"/>
  <c r="L64" i="49"/>
  <c r="L85" i="49"/>
  <c r="L92" i="49"/>
  <c r="L86" i="49"/>
  <c r="L93" i="49"/>
  <c r="L91" i="49"/>
  <c r="L87" i="49"/>
  <c r="L90" i="49"/>
  <c r="L89" i="49"/>
  <c r="L88" i="49"/>
  <c r="M82" i="76"/>
  <c r="M79" i="76"/>
  <c r="F178" i="49"/>
  <c r="F207" i="49"/>
  <c r="F236" i="49"/>
  <c r="P22" i="76"/>
  <c r="O22" i="76"/>
  <c r="N22" i="76"/>
  <c r="CT58" i="78"/>
  <c r="CT95" i="78" s="1"/>
  <c r="H4" i="71"/>
  <c r="M2" i="21"/>
  <c r="M11" i="21"/>
  <c r="N11" i="21"/>
  <c r="O11" i="21"/>
  <c r="P11" i="21"/>
  <c r="M18" i="21"/>
  <c r="N18" i="21"/>
  <c r="O18" i="21"/>
  <c r="P18" i="21"/>
  <c r="N33" i="21"/>
  <c r="O33" i="21"/>
  <c r="P33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N69" i="49" l="1"/>
  <c r="N71" i="49"/>
  <c r="N64" i="49"/>
  <c r="N65" i="49"/>
  <c r="N66" i="49"/>
  <c r="N67" i="49"/>
  <c r="N68" i="49"/>
  <c r="N70" i="49"/>
  <c r="N74" i="49"/>
  <c r="N81" i="49"/>
  <c r="N76" i="49"/>
  <c r="N75" i="49"/>
  <c r="N82" i="49"/>
  <c r="N80" i="49"/>
  <c r="N79" i="49"/>
  <c r="N77" i="49"/>
  <c r="N78" i="49"/>
  <c r="N85" i="49"/>
  <c r="N91" i="49"/>
  <c r="N90" i="49"/>
  <c r="N88" i="49"/>
  <c r="N87" i="49"/>
  <c r="N89" i="49"/>
  <c r="N86" i="49"/>
  <c r="N93" i="49"/>
  <c r="N92" i="49"/>
  <c r="N99" i="49"/>
  <c r="N96" i="49"/>
  <c r="N97" i="49"/>
  <c r="N98" i="49"/>
  <c r="N101" i="49"/>
  <c r="N103" i="49"/>
  <c r="N104" i="49"/>
  <c r="N102" i="49"/>
  <c r="N100" i="49"/>
  <c r="L52" i="49" a="1"/>
  <c r="N107" i="49"/>
  <c r="N114" i="49"/>
  <c r="N115" i="49"/>
  <c r="N113" i="49"/>
  <c r="N112" i="49"/>
  <c r="N111" i="49"/>
  <c r="N110" i="49"/>
  <c r="N108" i="49"/>
  <c r="N109" i="49"/>
  <c r="M86" i="76"/>
  <c r="F123" i="49"/>
  <c r="D149" i="49"/>
  <c r="S78" i="71"/>
  <c r="AD78" i="71"/>
  <c r="AD41" i="71"/>
  <c r="S41" i="71"/>
  <c r="N49" i="76"/>
  <c r="N82" i="76" s="1"/>
  <c r="M53" i="76"/>
  <c r="M58" i="76"/>
  <c r="M63" i="76"/>
  <c r="M67" i="76"/>
  <c r="M77" i="76"/>
  <c r="M89" i="76"/>
  <c r="M94" i="76"/>
  <c r="M57" i="76"/>
  <c r="M66" i="76"/>
  <c r="M71" i="76"/>
  <c r="M76" i="76"/>
  <c r="M60" i="76"/>
  <c r="M65" i="76"/>
  <c r="M70" i="76"/>
  <c r="M75" i="76"/>
  <c r="M80" i="76"/>
  <c r="M74" i="76"/>
  <c r="M85" i="76"/>
  <c r="M54" i="76"/>
  <c r="M59" i="76"/>
  <c r="M64" i="76"/>
  <c r="M96" i="76"/>
  <c r="M93" i="76"/>
  <c r="M81" i="76"/>
  <c r="M90" i="76"/>
  <c r="M62" i="76"/>
  <c r="M92" i="76"/>
  <c r="M84" i="76"/>
  <c r="M52" i="76"/>
  <c r="M56" i="76"/>
  <c r="M88" i="76"/>
  <c r="M73" i="76"/>
  <c r="P49" i="76"/>
  <c r="P82" i="76" s="1"/>
  <c r="O49" i="76"/>
  <c r="O82" i="76" s="1"/>
  <c r="M69" i="76"/>
  <c r="M38" i="21"/>
  <c r="P38" i="21"/>
  <c r="N38" i="21"/>
  <c r="O38" i="21"/>
  <c r="G149" i="49"/>
  <c r="F149" i="49" l="1"/>
  <c r="N52" i="49" a="1"/>
  <c r="L52" i="49"/>
  <c r="L59" i="49"/>
  <c r="L58" i="49"/>
  <c r="L57" i="49"/>
  <c r="L55" i="49"/>
  <c r="L56" i="49"/>
  <c r="L54" i="49"/>
  <c r="L53" i="49"/>
  <c r="L60" i="49"/>
  <c r="O53" i="76"/>
  <c r="O63" i="76"/>
  <c r="O67" i="76"/>
  <c r="O77" i="76"/>
  <c r="O58" i="76"/>
  <c r="O71" i="76"/>
  <c r="O76" i="76"/>
  <c r="O57" i="76"/>
  <c r="O66" i="76"/>
  <c r="O81" i="76"/>
  <c r="O60" i="76"/>
  <c r="O65" i="76"/>
  <c r="O70" i="76"/>
  <c r="O75" i="76"/>
  <c r="O80" i="76"/>
  <c r="O86" i="76"/>
  <c r="O54" i="76"/>
  <c r="O59" i="76"/>
  <c r="O64" i="76"/>
  <c r="O96" i="76"/>
  <c r="O90" i="76"/>
  <c r="O74" i="76"/>
  <c r="O94" i="76"/>
  <c r="O93" i="76"/>
  <c r="O89" i="76"/>
  <c r="O85" i="76"/>
  <c r="O52" i="76"/>
  <c r="O84" i="76"/>
  <c r="O88" i="76"/>
  <c r="O56" i="76"/>
  <c r="O79" i="76"/>
  <c r="O92" i="76"/>
  <c r="O62" i="76"/>
  <c r="O73" i="76"/>
  <c r="O69" i="76"/>
  <c r="P54" i="76"/>
  <c r="P59" i="76"/>
  <c r="P64" i="76"/>
  <c r="P74" i="76"/>
  <c r="P85" i="76"/>
  <c r="P90" i="76"/>
  <c r="P96" i="76"/>
  <c r="P53" i="76"/>
  <c r="P58" i="76"/>
  <c r="P63" i="76"/>
  <c r="P67" i="76"/>
  <c r="P77" i="76"/>
  <c r="P57" i="76"/>
  <c r="P66" i="76"/>
  <c r="P71" i="76"/>
  <c r="P76" i="76"/>
  <c r="P81" i="76"/>
  <c r="P93" i="76"/>
  <c r="P86" i="76"/>
  <c r="P60" i="76"/>
  <c r="P65" i="76"/>
  <c r="P70" i="76"/>
  <c r="P75" i="76"/>
  <c r="P80" i="76"/>
  <c r="P94" i="76"/>
  <c r="P89" i="76"/>
  <c r="P92" i="76"/>
  <c r="P62" i="76"/>
  <c r="P52" i="76"/>
  <c r="P56" i="76"/>
  <c r="P79" i="76"/>
  <c r="P88" i="76"/>
  <c r="P84" i="76"/>
  <c r="P73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4" i="76"/>
  <c r="N59" i="76"/>
  <c r="N64" i="76"/>
  <c r="N74" i="76"/>
  <c r="N85" i="76"/>
  <c r="N90" i="76"/>
  <c r="N96" i="76"/>
  <c r="N92" i="76"/>
  <c r="N79" i="76"/>
  <c r="N84" i="76"/>
  <c r="N52" i="76"/>
  <c r="N56" i="76"/>
  <c r="N88" i="76"/>
  <c r="N62" i="76"/>
  <c r="N73" i="76"/>
  <c r="P69" i="76"/>
  <c r="N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2" i="49"/>
  <c r="N54" i="49"/>
  <c r="N59" i="49"/>
  <c r="N60" i="49"/>
  <c r="N55" i="49"/>
  <c r="N58" i="49"/>
  <c r="N56" i="49"/>
  <c r="N57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I72" i="78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Q72" i="78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M72" i="78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BB72" i="78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X72" i="78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D46" i="52" l="1"/>
  <c r="AL46" i="52"/>
  <c r="Z46" i="52"/>
  <c r="R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Q45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Q41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Q37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AE15" i="76"/>
  <c r="AF15" i="76"/>
  <c r="AG15" i="76"/>
  <c r="Q15" i="76"/>
  <c r="Q9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AE5" i="76"/>
  <c r="AF5" i="76"/>
  <c r="AG5" i="76"/>
  <c r="Q5" i="76"/>
  <c r="B35" i="18" l="1"/>
  <c r="C35" i="18"/>
  <c r="D35" i="18"/>
  <c r="E35" i="18"/>
  <c r="F35" i="18"/>
  <c r="B36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B331" i="97"/>
  <c r="B323" i="97"/>
  <c r="C323" i="97"/>
  <c r="D323" i="97"/>
  <c r="E323" i="97"/>
  <c r="B324" i="97"/>
  <c r="C324" i="97"/>
  <c r="D324" i="97"/>
  <c r="E324" i="97"/>
  <c r="B325" i="97"/>
  <c r="C325" i="97"/>
  <c r="D325" i="97"/>
  <c r="E325" i="97"/>
  <c r="B326" i="97"/>
  <c r="C326" i="97"/>
  <c r="D326" i="97"/>
  <c r="E326" i="97"/>
  <c r="B327" i="97"/>
  <c r="C327" i="97"/>
  <c r="D327" i="97"/>
  <c r="E327" i="97"/>
  <c r="B328" i="97"/>
  <c r="C328" i="97"/>
  <c r="D328" i="97"/>
  <c r="E328" i="97"/>
  <c r="B329" i="97"/>
  <c r="C329" i="97"/>
  <c r="D329" i="97"/>
  <c r="E329" i="97"/>
  <c r="B330" i="97"/>
  <c r="C330" i="97"/>
  <c r="D330" i="97"/>
  <c r="E330" i="97"/>
  <c r="C331" i="97"/>
  <c r="D331" i="97"/>
  <c r="E331" i="97"/>
  <c r="B247" i="97"/>
  <c r="B239" i="97"/>
  <c r="C239" i="97"/>
  <c r="D239" i="97"/>
  <c r="E239" i="97"/>
  <c r="B240" i="97"/>
  <c r="C240" i="97"/>
  <c r="D240" i="97"/>
  <c r="E240" i="97"/>
  <c r="B241" i="97"/>
  <c r="C241" i="97"/>
  <c r="D241" i="97"/>
  <c r="E241" i="97"/>
  <c r="B242" i="97"/>
  <c r="C242" i="97"/>
  <c r="D242" i="97"/>
  <c r="E242" i="97"/>
  <c r="B243" i="97"/>
  <c r="C243" i="97"/>
  <c r="D243" i="97"/>
  <c r="E243" i="97"/>
  <c r="B244" i="97"/>
  <c r="C244" i="97"/>
  <c r="D244" i="97"/>
  <c r="E244" i="97"/>
  <c r="B245" i="97"/>
  <c r="C245" i="97"/>
  <c r="D245" i="97"/>
  <c r="E245" i="97"/>
  <c r="B246" i="97"/>
  <c r="C246" i="97"/>
  <c r="D246" i="97"/>
  <c r="E246" i="97"/>
  <c r="C247" i="97"/>
  <c r="D247" i="97"/>
  <c r="E247" i="97"/>
  <c r="B81" i="97"/>
  <c r="B165" i="97" s="1"/>
  <c r="F5" i="12" a="1"/>
  <c r="F5" i="12" s="1"/>
  <c r="E5" i="12" a="1"/>
  <c r="E5" i="12" s="1"/>
  <c r="D5" i="12" a="1"/>
  <c r="D5" i="12" s="1"/>
  <c r="C5" i="12" a="1"/>
  <c r="C5" i="12" s="1"/>
  <c r="B5" i="12" a="1"/>
  <c r="B8" i="12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F7" i="11" a="1"/>
  <c r="F8" i="11" s="1"/>
  <c r="E7" i="11" a="1"/>
  <c r="E7" i="11" s="1"/>
  <c r="D7" i="11" a="1"/>
  <c r="D7" i="11" s="1"/>
  <c r="C7" i="11" a="1"/>
  <c r="C8" i="11" s="1"/>
  <c r="B7" i="11" a="1"/>
  <c r="B7" i="11" s="1"/>
  <c r="C81" i="97"/>
  <c r="C157" i="97" s="1"/>
  <c r="D81" i="97"/>
  <c r="E81" i="97"/>
  <c r="E155" i="97" s="1"/>
  <c r="F81" i="97"/>
  <c r="A79" i="97"/>
  <c r="A163" i="97" s="1"/>
  <c r="A76" i="97"/>
  <c r="A160" i="97" s="1"/>
  <c r="A77" i="97"/>
  <c r="A161" i="97" s="1"/>
  <c r="A78" i="97"/>
  <c r="A162" i="97" s="1"/>
  <c r="A71" i="97"/>
  <c r="A155" i="97" s="1"/>
  <c r="A72" i="97"/>
  <c r="A156" i="97" s="1"/>
  <c r="A73" i="97"/>
  <c r="A157" i="97" s="1"/>
  <c r="A74" i="97"/>
  <c r="A158" i="97" s="1"/>
  <c r="A75" i="97"/>
  <c r="A159" i="97" s="1"/>
  <c r="F90" i="12" l="1"/>
  <c r="F158" i="97"/>
  <c r="F333" i="97"/>
  <c r="D160" i="97"/>
  <c r="F249" i="97"/>
  <c r="H26" i="16"/>
  <c r="J9" i="18"/>
  <c r="A35" i="18"/>
  <c r="A170" i="71"/>
  <c r="A32" i="18"/>
  <c r="A169" i="71"/>
  <c r="A14" i="18"/>
  <c r="A157" i="71"/>
  <c r="A31" i="18"/>
  <c r="A168" i="71"/>
  <c r="A13" i="18"/>
  <c r="A156" i="71"/>
  <c r="A15" i="18"/>
  <c r="A12" i="18"/>
  <c r="A155" i="71"/>
  <c r="A19" i="18"/>
  <c r="A29" i="18"/>
  <c r="A166" i="71"/>
  <c r="A9" i="18"/>
  <c r="L54" i="76" s="1"/>
  <c r="A154" i="71"/>
  <c r="A177" i="71"/>
  <c r="A26" i="18"/>
  <c r="A165" i="71"/>
  <c r="A176" i="71"/>
  <c r="A175" i="71"/>
  <c r="A22" i="18"/>
  <c r="A163" i="71"/>
  <c r="A174" i="71"/>
  <c r="A21" i="18"/>
  <c r="A162" i="71"/>
  <c r="A173" i="71"/>
  <c r="A20" i="18"/>
  <c r="A161" i="71"/>
  <c r="M153" i="75"/>
  <c r="A172" i="71"/>
  <c r="A36" i="18"/>
  <c r="A171" i="71"/>
  <c r="A18" i="18"/>
  <c r="A159" i="71"/>
  <c r="A30" i="18"/>
  <c r="I20" i="11"/>
  <c r="L22" i="18"/>
  <c r="N266" i="21"/>
  <c r="N153" i="75"/>
  <c r="X4" i="106"/>
  <c r="Z4" i="106"/>
  <c r="Y4" i="106"/>
  <c r="AB4" i="106"/>
  <c r="AC4" i="106"/>
  <c r="AA4" i="106"/>
  <c r="L7" i="7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7" i="97"/>
  <c r="A32" i="15"/>
  <c r="A114" i="15" s="1"/>
  <c r="A111" i="12"/>
  <c r="A331" i="97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C160" i="97"/>
  <c r="K8" i="18"/>
  <c r="L8" i="18"/>
  <c r="D158" i="97"/>
  <c r="L15" i="18"/>
  <c r="L18" i="18"/>
  <c r="L36" i="18"/>
  <c r="L45" i="18"/>
  <c r="C155" i="97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329" i="97"/>
  <c r="C158" i="97"/>
  <c r="A243" i="97"/>
  <c r="A330" i="97"/>
  <c r="A326" i="97"/>
  <c r="B158" i="97"/>
  <c r="A323" i="97"/>
  <c r="B157" i="97"/>
  <c r="A324" i="97"/>
  <c r="B162" i="97"/>
  <c r="D155" i="97"/>
  <c r="A325" i="97"/>
  <c r="B160" i="97"/>
  <c r="B155" i="97"/>
  <c r="E158" i="97"/>
  <c r="B163" i="97"/>
  <c r="B249" i="97"/>
  <c r="A328" i="97"/>
  <c r="A244" i="97"/>
  <c r="A240" i="97"/>
  <c r="E163" i="97"/>
  <c r="F156" i="97"/>
  <c r="A241" i="97"/>
  <c r="C161" i="97"/>
  <c r="F157" i="97"/>
  <c r="E162" i="97"/>
  <c r="F160" i="97"/>
  <c r="C159" i="97"/>
  <c r="E157" i="97"/>
  <c r="B156" i="97"/>
  <c r="A245" i="97"/>
  <c r="D163" i="97"/>
  <c r="E161" i="97"/>
  <c r="F159" i="97"/>
  <c r="E156" i="97"/>
  <c r="A242" i="97"/>
  <c r="F162" i="97"/>
  <c r="D159" i="97"/>
  <c r="C156" i="97"/>
  <c r="D162" i="97"/>
  <c r="E160" i="97"/>
  <c r="B159" i="97"/>
  <c r="D157" i="97"/>
  <c r="F155" i="97"/>
  <c r="A246" i="97"/>
  <c r="F163" i="97"/>
  <c r="F161" i="97"/>
  <c r="C163" i="97"/>
  <c r="D161" i="97"/>
  <c r="E159" i="97"/>
  <c r="D156" i="97"/>
  <c r="C162" i="97"/>
  <c r="A239" i="97"/>
  <c r="A247" i="97"/>
  <c r="B161" i="97"/>
  <c r="A106" i="12"/>
  <c r="A107" i="12"/>
  <c r="A108" i="12"/>
  <c r="A109" i="12"/>
  <c r="A110" i="12"/>
  <c r="A83" i="12"/>
  <c r="A79" i="12"/>
  <c r="A80" i="12"/>
  <c r="A81" i="12"/>
  <c r="A82" i="12"/>
  <c r="A84" i="12"/>
  <c r="F8" i="12"/>
  <c r="F23" i="12"/>
  <c r="F15" i="12"/>
  <c r="F7" i="12"/>
  <c r="F12" i="12"/>
  <c r="F19" i="12"/>
  <c r="F18" i="12"/>
  <c r="F25" i="12"/>
  <c r="F17" i="12"/>
  <c r="F16" i="12"/>
  <c r="F22" i="12"/>
  <c r="F14" i="12"/>
  <c r="F6" i="12"/>
  <c r="F20" i="12"/>
  <c r="F11" i="12"/>
  <c r="F26" i="12"/>
  <c r="F10" i="12"/>
  <c r="F9" i="12"/>
  <c r="F24" i="12"/>
  <c r="F21" i="12"/>
  <c r="F13" i="12"/>
  <c r="E12" i="12"/>
  <c r="E19" i="12"/>
  <c r="E29" i="15" s="1"/>
  <c r="E10" i="12"/>
  <c r="E25" i="12"/>
  <c r="E32" i="15" s="1"/>
  <c r="E9" i="12"/>
  <c r="E24" i="12"/>
  <c r="E38" i="15" s="1"/>
  <c r="E16" i="12"/>
  <c r="E26" i="15" s="1"/>
  <c r="E8" i="12"/>
  <c r="E22" i="12"/>
  <c r="E36" i="15" s="1"/>
  <c r="E20" i="12"/>
  <c r="E30" i="15" s="1"/>
  <c r="E11" i="12"/>
  <c r="E11" i="15" s="1"/>
  <c r="E26" i="12"/>
  <c r="E33" i="15" s="1"/>
  <c r="E18" i="12"/>
  <c r="E28" i="15" s="1"/>
  <c r="E17" i="12"/>
  <c r="E27" i="15" s="1"/>
  <c r="E23" i="12"/>
  <c r="E37" i="15" s="1"/>
  <c r="E15" i="12"/>
  <c r="E23" i="15" s="1"/>
  <c r="E7" i="12"/>
  <c r="E14" i="12"/>
  <c r="E22" i="15" s="1"/>
  <c r="E6" i="12"/>
  <c r="E21" i="12"/>
  <c r="E31" i="15" s="1"/>
  <c r="E13" i="12"/>
  <c r="E21" i="15" s="1"/>
  <c r="D20" i="12"/>
  <c r="D30" i="15" s="1"/>
  <c r="D26" i="12"/>
  <c r="D18" i="12"/>
  <c r="D28" i="15" s="1"/>
  <c r="D10" i="12"/>
  <c r="D12" i="12"/>
  <c r="D9" i="12"/>
  <c r="D8" i="12"/>
  <c r="D23" i="12"/>
  <c r="D37" i="15" s="1"/>
  <c r="D15" i="12"/>
  <c r="D23" i="15" s="1"/>
  <c r="D7" i="12"/>
  <c r="D11" i="12"/>
  <c r="D11" i="15" s="1"/>
  <c r="D25" i="12"/>
  <c r="D32" i="15" s="1"/>
  <c r="D16" i="12"/>
  <c r="D26" i="15" s="1"/>
  <c r="D22" i="12"/>
  <c r="D36" i="15" s="1"/>
  <c r="D14" i="12"/>
  <c r="D22" i="15" s="1"/>
  <c r="D6" i="12"/>
  <c r="D19" i="12"/>
  <c r="D29" i="15" s="1"/>
  <c r="D17" i="12"/>
  <c r="D27" i="15" s="1"/>
  <c r="D24" i="12"/>
  <c r="D38" i="15" s="1"/>
  <c r="D21" i="12"/>
  <c r="D31" i="15" s="1"/>
  <c r="D13" i="12"/>
  <c r="D21" i="15" s="1"/>
  <c r="C20" i="12"/>
  <c r="C30" i="15" s="1"/>
  <c r="C19" i="12"/>
  <c r="C29" i="15" s="1"/>
  <c r="C11" i="12"/>
  <c r="C11" i="15" s="1"/>
  <c r="C26" i="12"/>
  <c r="C33" i="15" s="1"/>
  <c r="C18" i="12"/>
  <c r="C28" i="15" s="1"/>
  <c r="C10" i="12"/>
  <c r="C25" i="12"/>
  <c r="C32" i="15" s="1"/>
  <c r="C17" i="12"/>
  <c r="C27" i="15" s="1"/>
  <c r="C9" i="12"/>
  <c r="C24" i="12"/>
  <c r="C38" i="15" s="1"/>
  <c r="C16" i="12"/>
  <c r="C26" i="15" s="1"/>
  <c r="C8" i="12"/>
  <c r="C12" i="12"/>
  <c r="C23" i="12"/>
  <c r="C37" i="15" s="1"/>
  <c r="C15" i="12"/>
  <c r="C23" i="15" s="1"/>
  <c r="C7" i="12"/>
  <c r="C22" i="12"/>
  <c r="C36" i="15" s="1"/>
  <c r="C14" i="12"/>
  <c r="C22" i="15" s="1"/>
  <c r="C6" i="12"/>
  <c r="C21" i="12"/>
  <c r="C31" i="15" s="1"/>
  <c r="C13" i="12"/>
  <c r="C21" i="15" s="1"/>
  <c r="B23" i="12"/>
  <c r="B37" i="15" s="1"/>
  <c r="B15" i="12"/>
  <c r="B23" i="15" s="1"/>
  <c r="B7" i="12"/>
  <c r="B22" i="12"/>
  <c r="B36" i="15" s="1"/>
  <c r="B14" i="12"/>
  <c r="B22" i="15" s="1"/>
  <c r="B6" i="12"/>
  <c r="B21" i="12"/>
  <c r="B31" i="15" s="1"/>
  <c r="B13" i="12"/>
  <c r="B21" i="15" s="1"/>
  <c r="B5" i="12"/>
  <c r="B20" i="12"/>
  <c r="B30" i="15" s="1"/>
  <c r="B12" i="12"/>
  <c r="B19" i="12"/>
  <c r="B29" i="15" s="1"/>
  <c r="B11" i="12"/>
  <c r="B11" i="15" s="1"/>
  <c r="B26" i="12"/>
  <c r="B33" i="15" s="1"/>
  <c r="B18" i="12"/>
  <c r="B28" i="15" s="1"/>
  <c r="B10" i="12"/>
  <c r="B25" i="12"/>
  <c r="B32" i="15" s="1"/>
  <c r="B17" i="12"/>
  <c r="B27" i="15" s="1"/>
  <c r="B9" i="12"/>
  <c r="B24" i="12"/>
  <c r="B38" i="15" s="1"/>
  <c r="B16" i="12"/>
  <c r="B26" i="15" s="1"/>
  <c r="F7" i="11"/>
  <c r="F12" i="11"/>
  <c r="F11" i="11"/>
  <c r="F10" i="11"/>
  <c r="F9" i="11"/>
  <c r="E11" i="11"/>
  <c r="E9" i="11"/>
  <c r="E8" i="11"/>
  <c r="E12" i="11"/>
  <c r="E10" i="11"/>
  <c r="D11" i="11"/>
  <c r="D9" i="11"/>
  <c r="D8" i="11"/>
  <c r="D12" i="11"/>
  <c r="D10" i="11"/>
  <c r="C7" i="11"/>
  <c r="C12" i="11"/>
  <c r="C11" i="11"/>
  <c r="C10" i="11"/>
  <c r="C9" i="11"/>
  <c r="B12" i="11"/>
  <c r="B11" i="11"/>
  <c r="B10" i="11"/>
  <c r="B9" i="11"/>
  <c r="B8" i="11"/>
  <c r="F95" i="12" l="1"/>
  <c r="F94" i="12"/>
  <c r="F31" i="15"/>
  <c r="F106" i="12"/>
  <c r="F22" i="15"/>
  <c r="F99" i="12"/>
  <c r="F92" i="12"/>
  <c r="F38" i="15"/>
  <c r="L38" i="15" s="1"/>
  <c r="F109" i="12"/>
  <c r="F36" i="15"/>
  <c r="L36" i="15" s="1"/>
  <c r="F107" i="12"/>
  <c r="F23" i="15"/>
  <c r="L23" i="15" s="1"/>
  <c r="F100" i="12"/>
  <c r="F37" i="15"/>
  <c r="F108" i="12"/>
  <c r="F27" i="15"/>
  <c r="F102" i="12"/>
  <c r="F93" i="12"/>
  <c r="F26" i="15"/>
  <c r="L26" i="15" s="1"/>
  <c r="F101" i="12"/>
  <c r="F33" i="15"/>
  <c r="K33" i="15" s="1"/>
  <c r="F111" i="12"/>
  <c r="F28" i="15"/>
  <c r="L28" i="15" s="1"/>
  <c r="F103" i="12"/>
  <c r="F30" i="15"/>
  <c r="K30" i="15" s="1"/>
  <c r="F105" i="12"/>
  <c r="F29" i="15"/>
  <c r="K29" i="15" s="1"/>
  <c r="F104" i="12"/>
  <c r="F32" i="15"/>
  <c r="F110" i="12"/>
  <c r="F11" i="15"/>
  <c r="K11" i="15" s="1"/>
  <c r="F96" i="12"/>
  <c r="F21" i="15"/>
  <c r="L21" i="15" s="1"/>
  <c r="F98" i="12"/>
  <c r="F91" i="12"/>
  <c r="F97" i="12"/>
  <c r="H10" i="11"/>
  <c r="J10" i="11" s="1"/>
  <c r="J23" i="11" s="1"/>
  <c r="X5" i="106"/>
  <c r="X6" i="106"/>
  <c r="M155" i="75"/>
  <c r="L49" i="75"/>
  <c r="A61" i="18"/>
  <c r="M156" i="75"/>
  <c r="M157" i="75"/>
  <c r="L10" i="76"/>
  <c r="L57" i="76"/>
  <c r="L28" i="76"/>
  <c r="L75" i="76"/>
  <c r="L18" i="76"/>
  <c r="L65" i="76"/>
  <c r="L46" i="76"/>
  <c r="L93" i="76"/>
  <c r="L13" i="76"/>
  <c r="L60" i="76"/>
  <c r="L34" i="76"/>
  <c r="L81" i="76"/>
  <c r="L19" i="76"/>
  <c r="L66" i="76"/>
  <c r="L47" i="76"/>
  <c r="L94" i="76"/>
  <c r="L29" i="76"/>
  <c r="L76" i="76"/>
  <c r="L16" i="76"/>
  <c r="L63" i="76"/>
  <c r="L11" i="76"/>
  <c r="L58" i="76"/>
  <c r="M160" i="75"/>
  <c r="L38" i="76"/>
  <c r="L85" i="76"/>
  <c r="L42" i="76"/>
  <c r="L89" i="76"/>
  <c r="L12" i="76"/>
  <c r="L59" i="76"/>
  <c r="L43" i="76"/>
  <c r="L90" i="76"/>
  <c r="L24" i="76"/>
  <c r="L71" i="76"/>
  <c r="M158" i="75"/>
  <c r="L39" i="76"/>
  <c r="L86" i="76"/>
  <c r="L20" i="76"/>
  <c r="L67" i="76"/>
  <c r="L27" i="76"/>
  <c r="L74" i="76"/>
  <c r="L30" i="76"/>
  <c r="L77" i="76"/>
  <c r="M159" i="75"/>
  <c r="L17" i="76"/>
  <c r="L64" i="76"/>
  <c r="L33" i="76"/>
  <c r="L80" i="76"/>
  <c r="H9" i="11"/>
  <c r="J9" i="11" s="1"/>
  <c r="J22" i="11" s="1"/>
  <c r="I24" i="11"/>
  <c r="I23" i="11"/>
  <c r="H11" i="11"/>
  <c r="J11" i="11" s="1"/>
  <c r="J24" i="11" s="1"/>
  <c r="I25" i="11"/>
  <c r="H12" i="11"/>
  <c r="J12" i="11" s="1"/>
  <c r="J25" i="11" s="1"/>
  <c r="I21" i="11"/>
  <c r="F45" i="11"/>
  <c r="H7" i="11"/>
  <c r="I22" i="11"/>
  <c r="H8" i="11"/>
  <c r="J8" i="11" s="1"/>
  <c r="J21" i="11" s="1"/>
  <c r="N261" i="21"/>
  <c r="N262" i="21"/>
  <c r="M161" i="75"/>
  <c r="M154" i="75"/>
  <c r="Z11" i="106"/>
  <c r="N263" i="21"/>
  <c r="N264" i="21"/>
  <c r="F46" i="11"/>
  <c r="N265" i="21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X8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I11" i="15"/>
  <c r="J30" i="15"/>
  <c r="J29" i="15"/>
  <c r="F69" i="16"/>
  <c r="N8" i="107" s="1"/>
  <c r="H13" i="16"/>
  <c r="H30" i="15"/>
  <c r="I31" i="15"/>
  <c r="I32" i="15"/>
  <c r="L29" i="15"/>
  <c r="H32" i="15"/>
  <c r="H14" i="16"/>
  <c r="F70" i="16"/>
  <c r="N9" i="107" s="1"/>
  <c r="F48" i="11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H9" i="16"/>
  <c r="H27" i="16" s="1"/>
  <c r="F65" i="16"/>
  <c r="N4" i="107" s="1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28" i="12"/>
  <c r="B35" i="12" s="1"/>
  <c r="E28" i="12"/>
  <c r="E32" i="12" s="1"/>
  <c r="F28" i="12"/>
  <c r="C28" i="12"/>
  <c r="D28" i="12"/>
  <c r="D32" i="12" s="1"/>
  <c r="L11" i="15" l="1"/>
  <c r="X18" i="106"/>
  <c r="H23" i="11"/>
  <c r="L30" i="15"/>
  <c r="F32" i="12"/>
  <c r="F113" i="12"/>
  <c r="H21" i="11"/>
  <c r="H22" i="11"/>
  <c r="H25" i="11"/>
  <c r="H14" i="11"/>
  <c r="J7" i="11"/>
  <c r="H20" i="11"/>
  <c r="H24" i="11"/>
  <c r="H33" i="16"/>
  <c r="N160" i="75"/>
  <c r="H29" i="16"/>
  <c r="N156" i="75"/>
  <c r="P7" i="31"/>
  <c r="N161" i="75"/>
  <c r="N154" i="75"/>
  <c r="H31" i="16"/>
  <c r="N158" i="75"/>
  <c r="H28" i="16"/>
  <c r="N155" i="75"/>
  <c r="H30" i="16"/>
  <c r="N157" i="75"/>
  <c r="H32" i="16"/>
  <c r="N159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B3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Z18" i="106" s="1"/>
  <c r="J14" i="11"/>
  <c r="J20" i="11"/>
  <c r="A52" i="5"/>
  <c r="A53" i="5"/>
  <c r="A54" i="5"/>
  <c r="A55" i="5"/>
  <c r="A56" i="5"/>
  <c r="A51" i="5"/>
  <c r="B50" i="5" a="1"/>
  <c r="D50" i="5" s="1"/>
  <c r="A49" i="5"/>
  <c r="Y19" i="106" l="1"/>
  <c r="H50" i="5"/>
  <c r="G50" i="5"/>
  <c r="F50" i="5"/>
  <c r="E50" i="5"/>
  <c r="C50" i="5"/>
  <c r="J50" i="5"/>
  <c r="B50" i="5"/>
  <c r="I50" i="5"/>
  <c r="A27" i="5" l="1"/>
  <c r="A29" i="5"/>
  <c r="A30" i="5"/>
  <c r="A31" i="5"/>
  <c r="A32" i="5"/>
  <c r="A33" i="5"/>
  <c r="A28" i="5"/>
  <c r="B2" i="5" a="1"/>
  <c r="B2" i="5" s="1"/>
  <c r="A1" i="5"/>
  <c r="BT2" i="5" l="1"/>
  <c r="BD2" i="5"/>
  <c r="AN2" i="5"/>
  <c r="X2" i="5"/>
  <c r="H2" i="5"/>
  <c r="BS2" i="5"/>
  <c r="BC2" i="5"/>
  <c r="AM2" i="5"/>
  <c r="W2" i="5"/>
  <c r="G2" i="5"/>
  <c r="BR2" i="5"/>
  <c r="BB2" i="5"/>
  <c r="AL2" i="5"/>
  <c r="V2" i="5"/>
  <c r="F2" i="5"/>
  <c r="BQ2" i="5"/>
  <c r="BA2" i="5"/>
  <c r="AK2" i="5"/>
  <c r="U2" i="5"/>
  <c r="E2" i="5"/>
  <c r="BP2" i="5"/>
  <c r="AZ2" i="5"/>
  <c r="AJ2" i="5"/>
  <c r="T2" i="5"/>
  <c r="D2" i="5"/>
  <c r="BW2" i="5"/>
  <c r="BO2" i="5"/>
  <c r="BG2" i="5"/>
  <c r="AY2" i="5"/>
  <c r="AQ2" i="5"/>
  <c r="AI2" i="5"/>
  <c r="AA2" i="5"/>
  <c r="S2" i="5"/>
  <c r="K2" i="5"/>
  <c r="C2" i="5"/>
  <c r="BU2" i="5"/>
  <c r="BM2" i="5"/>
  <c r="BE2" i="5"/>
  <c r="AW2" i="5"/>
  <c r="AO2" i="5"/>
  <c r="AG2" i="5"/>
  <c r="Y2" i="5"/>
  <c r="Q2" i="5"/>
  <c r="I2" i="5"/>
  <c r="BL2" i="5"/>
  <c r="AV2" i="5"/>
  <c r="AF2" i="5"/>
  <c r="P2" i="5"/>
  <c r="BK2" i="5"/>
  <c r="AU2" i="5"/>
  <c r="AE2" i="5"/>
  <c r="O2" i="5"/>
  <c r="BJ2" i="5"/>
  <c r="AT2" i="5"/>
  <c r="AD2" i="5"/>
  <c r="N2" i="5"/>
  <c r="BI2" i="5"/>
  <c r="AS2" i="5"/>
  <c r="AC2" i="5"/>
  <c r="M2" i="5"/>
  <c r="BX2" i="5"/>
  <c r="BH2" i="5"/>
  <c r="AR2" i="5"/>
  <c r="AB2" i="5"/>
  <c r="L2" i="5"/>
  <c r="BV2" i="5"/>
  <c r="BN2" i="5"/>
  <c r="BF2" i="5"/>
  <c r="AX2" i="5"/>
  <c r="AP2" i="5"/>
  <c r="AH2" i="5"/>
  <c r="Z2" i="5"/>
  <c r="R2" i="5"/>
  <c r="J2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258" i="97"/>
  <c r="C259" i="97"/>
  <c r="C260" i="97"/>
  <c r="C261" i="97"/>
  <c r="C262" i="97"/>
  <c r="C263" i="97"/>
  <c r="C264" i="97"/>
  <c r="C265" i="97"/>
  <c r="C266" i="97"/>
  <c r="C267" i="97"/>
  <c r="C268" i="97"/>
  <c r="C269" i="97"/>
  <c r="C270" i="97"/>
  <c r="C271" i="97"/>
  <c r="C272" i="97"/>
  <c r="C273" i="97"/>
  <c r="C274" i="97"/>
  <c r="C275" i="97"/>
  <c r="C276" i="97"/>
  <c r="C277" i="97"/>
  <c r="C278" i="97"/>
  <c r="C279" i="97"/>
  <c r="C280" i="97"/>
  <c r="C281" i="97"/>
  <c r="C282" i="97"/>
  <c r="C283" i="97"/>
  <c r="C284" i="97"/>
  <c r="C285" i="97"/>
  <c r="C286" i="97"/>
  <c r="C287" i="97"/>
  <c r="C288" i="97"/>
  <c r="C289" i="97"/>
  <c r="C290" i="97"/>
  <c r="C291" i="97"/>
  <c r="C292" i="97"/>
  <c r="C293" i="97"/>
  <c r="C294" i="97"/>
  <c r="C295" i="97"/>
  <c r="C296" i="97"/>
  <c r="C297" i="97"/>
  <c r="C298" i="97"/>
  <c r="C299" i="97"/>
  <c r="C300" i="97"/>
  <c r="C301" i="97"/>
  <c r="C302" i="97"/>
  <c r="C303" i="97"/>
  <c r="C304" i="97"/>
  <c r="C305" i="97"/>
  <c r="C306" i="97"/>
  <c r="C307" i="97"/>
  <c r="C308" i="97"/>
  <c r="C309" i="97"/>
  <c r="C310" i="97"/>
  <c r="C311" i="97"/>
  <c r="C312" i="97"/>
  <c r="C313" i="97"/>
  <c r="C314" i="97"/>
  <c r="C315" i="97"/>
  <c r="C316" i="97"/>
  <c r="C317" i="97"/>
  <c r="C318" i="97"/>
  <c r="C319" i="97"/>
  <c r="C320" i="97"/>
  <c r="C321" i="97"/>
  <c r="C322" i="97"/>
  <c r="C257" i="97"/>
  <c r="C255" i="97"/>
  <c r="C174" i="97"/>
  <c r="C175" i="97"/>
  <c r="C176" i="97"/>
  <c r="C177" i="97"/>
  <c r="C178" i="97"/>
  <c r="C179" i="97"/>
  <c r="C180" i="97"/>
  <c r="C181" i="97"/>
  <c r="C182" i="97"/>
  <c r="C183" i="97"/>
  <c r="C184" i="97"/>
  <c r="C185" i="97"/>
  <c r="C186" i="97"/>
  <c r="C187" i="97"/>
  <c r="C188" i="97"/>
  <c r="C189" i="97"/>
  <c r="C190" i="97"/>
  <c r="C191" i="97"/>
  <c r="C192" i="97"/>
  <c r="C193" i="97"/>
  <c r="C194" i="97"/>
  <c r="C195" i="97"/>
  <c r="C196" i="97"/>
  <c r="C197" i="97"/>
  <c r="C198" i="97"/>
  <c r="C199" i="97"/>
  <c r="C200" i="97"/>
  <c r="C201" i="97"/>
  <c r="C202" i="97"/>
  <c r="C203" i="97"/>
  <c r="C204" i="97"/>
  <c r="C205" i="97"/>
  <c r="C206" i="97"/>
  <c r="C207" i="97"/>
  <c r="C208" i="97"/>
  <c r="C209" i="97"/>
  <c r="C210" i="97"/>
  <c r="C211" i="97"/>
  <c r="C212" i="97"/>
  <c r="C213" i="97"/>
  <c r="C214" i="97"/>
  <c r="C215" i="97"/>
  <c r="C216" i="97"/>
  <c r="C217" i="97"/>
  <c r="C218" i="97"/>
  <c r="C219" i="97"/>
  <c r="C220" i="97"/>
  <c r="C221" i="97"/>
  <c r="C222" i="97"/>
  <c r="C223" i="97"/>
  <c r="C224" i="97"/>
  <c r="C225" i="97"/>
  <c r="C226" i="97"/>
  <c r="C227" i="97"/>
  <c r="C228" i="97"/>
  <c r="C229" i="97"/>
  <c r="C230" i="97"/>
  <c r="C231" i="97"/>
  <c r="C232" i="97"/>
  <c r="C233" i="97"/>
  <c r="C234" i="97"/>
  <c r="C235" i="97"/>
  <c r="C236" i="97"/>
  <c r="C237" i="97"/>
  <c r="C238" i="97"/>
  <c r="C173" i="97"/>
  <c r="C171" i="97"/>
  <c r="C4" i="13" l="1"/>
  <c r="D12" i="13" l="1"/>
  <c r="E12" i="13"/>
  <c r="F12" i="13"/>
  <c r="G12" i="13"/>
  <c r="C12" i="13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K30" i="79"/>
  <c r="K31" i="79"/>
  <c r="K32" i="79"/>
  <c r="K35" i="79" l="1"/>
  <c r="X35" i="79" s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I46" i="71" l="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I82" i="71" l="1"/>
  <c r="I35" i="78"/>
  <c r="I109" i="78" s="1"/>
  <c r="T35" i="78"/>
  <c r="U35" i="78" s="1"/>
  <c r="E33" i="49"/>
  <c r="I45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J35" i="78" l="1"/>
  <c r="J72" i="78" s="1"/>
  <c r="J109" i="78" s="1"/>
  <c r="I72" i="78"/>
  <c r="G32" i="49"/>
  <c r="G122" i="49"/>
  <c r="G209" i="49" s="1"/>
  <c r="V35" i="49"/>
  <c r="J45" i="71"/>
  <c r="J82" i="71" s="1"/>
  <c r="Q37" i="31"/>
  <c r="A93" i="49"/>
  <c r="A64" i="49"/>
  <c r="A35" i="49"/>
  <c r="G120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91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D36" i="49"/>
  <c r="I10" i="71"/>
  <c r="I13" i="71"/>
  <c r="I14" i="71"/>
  <c r="I15" i="71"/>
  <c r="I18" i="71"/>
  <c r="I22" i="71"/>
  <c r="I23" i="71"/>
  <c r="I26" i="71"/>
  <c r="I29" i="71"/>
  <c r="I30" i="71"/>
  <c r="I31" i="71"/>
  <c r="I96" i="71" l="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10" i="49"/>
  <c r="I11" i="71"/>
  <c r="G31" i="49"/>
  <c r="I32" i="71"/>
  <c r="G23" i="49"/>
  <c r="I24" i="71"/>
  <c r="G15" i="49"/>
  <c r="I16" i="71"/>
  <c r="G20" i="49"/>
  <c r="I21" i="71"/>
  <c r="G18" i="49"/>
  <c r="I19" i="71"/>
  <c r="I8" i="16" s="1" a="1"/>
  <c r="G28" i="49"/>
  <c r="G12" i="49"/>
  <c r="G14" i="49"/>
  <c r="G29" i="49"/>
  <c r="G25" i="49"/>
  <c r="G21" i="49"/>
  <c r="G17" i="49"/>
  <c r="G13" i="49"/>
  <c r="G9" i="49"/>
  <c r="G30" i="49"/>
  <c r="G22" i="49"/>
  <c r="I9" i="16" l="1"/>
  <c r="I16" i="16"/>
  <c r="I8" i="16"/>
  <c r="I12" i="16"/>
  <c r="I14" i="16"/>
  <c r="I15" i="16"/>
  <c r="I11" i="16"/>
  <c r="I10" i="16"/>
  <c r="I13" i="16"/>
  <c r="I35" i="71"/>
  <c r="I72" i="71" s="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09" i="71" l="1"/>
  <c r="I26" i="16"/>
  <c r="I27" i="16"/>
  <c r="I29" i="16"/>
  <c r="I32" i="16"/>
  <c r="I31" i="16"/>
  <c r="I30" i="16"/>
  <c r="I28" i="16"/>
  <c r="C249" i="97"/>
  <c r="B333" i="97"/>
  <c r="C333" i="97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J16" i="16" l="1"/>
  <c r="I34" i="16"/>
  <c r="I33" i="16"/>
  <c r="AM4" i="21"/>
  <c r="O2" i="21" s="1"/>
  <c r="C3" i="12"/>
  <c r="D3" i="12"/>
  <c r="E3" i="12"/>
  <c r="F3" i="12"/>
  <c r="B3" i="12"/>
  <c r="D5" i="11"/>
  <c r="E5" i="11"/>
  <c r="F5" i="11"/>
  <c r="C5" i="11"/>
  <c r="B5" i="11"/>
  <c r="A197" i="21" l="1"/>
  <c r="A137" i="21"/>
  <c r="A107" i="21"/>
  <c r="A167" i="21"/>
  <c r="A77" i="21"/>
  <c r="A47" i="21"/>
  <c r="A1" i="21"/>
  <c r="A1" i="11"/>
  <c r="A31" i="11" s="1"/>
  <c r="L1" i="11"/>
  <c r="A1" i="12"/>
  <c r="F67" i="12"/>
  <c r="F75" i="12"/>
  <c r="F83" i="12"/>
  <c r="F68" i="12"/>
  <c r="F71" i="12"/>
  <c r="F69" i="12"/>
  <c r="F77" i="12"/>
  <c r="F63" i="12"/>
  <c r="F70" i="12"/>
  <c r="F78" i="12"/>
  <c r="F86" i="12"/>
  <c r="F64" i="12"/>
  <c r="F72" i="12"/>
  <c r="F80" i="12"/>
  <c r="F76" i="12"/>
  <c r="F79" i="12"/>
  <c r="F65" i="12"/>
  <c r="F73" i="12"/>
  <c r="F81" i="12"/>
  <c r="F84" i="12"/>
  <c r="F66" i="12"/>
  <c r="F74" i="12"/>
  <c r="F82" i="12"/>
  <c r="F89" i="12"/>
  <c r="F61" i="12"/>
  <c r="H3" i="1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7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74" i="12"/>
  <c r="C66" i="12"/>
  <c r="C73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4" i="5" l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3" i="5"/>
  <c r="E180" i="97"/>
  <c r="E265" i="97"/>
  <c r="E183" i="97"/>
  <c r="E269" i="97"/>
  <c r="E187" i="97"/>
  <c r="E188" i="97"/>
  <c r="E288" i="97"/>
  <c r="E295" i="97"/>
  <c r="E296" i="97"/>
  <c r="E213" i="97"/>
  <c r="E217" i="97"/>
  <c r="F136" i="97"/>
  <c r="E305" i="97"/>
  <c r="E225" i="97"/>
  <c r="F142" i="97"/>
  <c r="F143" i="97"/>
  <c r="E312" i="97"/>
  <c r="E229" i="97"/>
  <c r="F147" i="97"/>
  <c r="F150" i="97"/>
  <c r="E319" i="97"/>
  <c r="E236" i="97"/>
  <c r="E237" i="97"/>
  <c r="E260" i="97"/>
  <c r="D177" i="97"/>
  <c r="E262" i="97"/>
  <c r="E263" i="97"/>
  <c r="D265" i="97"/>
  <c r="D186" i="97"/>
  <c r="E192" i="97"/>
  <c r="E277" i="97"/>
  <c r="D194" i="97"/>
  <c r="E195" i="97"/>
  <c r="E281" i="97"/>
  <c r="E200" i="97"/>
  <c r="D201" i="97"/>
  <c r="D286" i="97"/>
  <c r="D289" i="97"/>
  <c r="E292" i="97"/>
  <c r="E209" i="97"/>
  <c r="E210" i="97"/>
  <c r="D300" i="97"/>
  <c r="E133" i="97"/>
  <c r="D219" i="97"/>
  <c r="E137" i="97"/>
  <c r="E224" i="97"/>
  <c r="D309" i="97"/>
  <c r="E142" i="97"/>
  <c r="D227" i="97"/>
  <c r="E232" i="97"/>
  <c r="E149" i="97"/>
  <c r="D234" i="97"/>
  <c r="E151" i="97"/>
  <c r="D321" i="97"/>
  <c r="D94" i="97"/>
  <c r="D96" i="97"/>
  <c r="D105" i="97"/>
  <c r="D275" i="97"/>
  <c r="D283" i="97"/>
  <c r="D126" i="97"/>
  <c r="D295" i="97"/>
  <c r="D297" i="97"/>
  <c r="D304" i="97"/>
  <c r="D147" i="97"/>
  <c r="D232" i="97"/>
  <c r="D236" i="97"/>
  <c r="B90" i="97"/>
  <c r="B91" i="97"/>
  <c r="B92" i="97"/>
  <c r="B93" i="97"/>
  <c r="B94" i="97"/>
  <c r="B95" i="97"/>
  <c r="B96" i="97"/>
  <c r="B97" i="97"/>
  <c r="B98" i="97"/>
  <c r="B99" i="97"/>
  <c r="B100" i="97"/>
  <c r="B101" i="97"/>
  <c r="B102" i="97"/>
  <c r="B103" i="97"/>
  <c r="B104" i="97"/>
  <c r="B105" i="97"/>
  <c r="B106" i="97"/>
  <c r="B107" i="97"/>
  <c r="B108" i="97"/>
  <c r="B109" i="97"/>
  <c r="B110" i="97"/>
  <c r="B111" i="97"/>
  <c r="B112" i="97"/>
  <c r="B113" i="97"/>
  <c r="B114" i="97"/>
  <c r="B115" i="97"/>
  <c r="B116" i="97"/>
  <c r="B117" i="97"/>
  <c r="B118" i="97"/>
  <c r="B119" i="97"/>
  <c r="B120" i="97"/>
  <c r="B121" i="97"/>
  <c r="B122" i="97"/>
  <c r="B123" i="97"/>
  <c r="B124" i="97"/>
  <c r="B125" i="97"/>
  <c r="B126" i="97"/>
  <c r="B127" i="97"/>
  <c r="B128" i="97"/>
  <c r="B129" i="97"/>
  <c r="B130" i="97"/>
  <c r="B131" i="97"/>
  <c r="B132" i="97"/>
  <c r="B133" i="97"/>
  <c r="B134" i="97"/>
  <c r="B135" i="97"/>
  <c r="B136" i="97"/>
  <c r="B137" i="97"/>
  <c r="B138" i="97"/>
  <c r="B139" i="97"/>
  <c r="B140" i="97"/>
  <c r="B141" i="97"/>
  <c r="B142" i="97"/>
  <c r="B143" i="97"/>
  <c r="B144" i="97"/>
  <c r="B145" i="97"/>
  <c r="B146" i="97"/>
  <c r="B147" i="97"/>
  <c r="B148" i="97"/>
  <c r="B149" i="97"/>
  <c r="B150" i="97"/>
  <c r="B151" i="97"/>
  <c r="B152" i="97"/>
  <c r="B153" i="97"/>
  <c r="B154" i="97"/>
  <c r="B89" i="97"/>
  <c r="C89" i="97"/>
  <c r="B259" i="97"/>
  <c r="B260" i="97"/>
  <c r="B178" i="97"/>
  <c r="B180" i="97"/>
  <c r="B181" i="97"/>
  <c r="B268" i="97"/>
  <c r="C102" i="97"/>
  <c r="B272" i="97"/>
  <c r="B273" i="97"/>
  <c r="B194" i="97"/>
  <c r="B195" i="97"/>
  <c r="B280" i="97"/>
  <c r="B281" i="97"/>
  <c r="C116" i="97"/>
  <c r="B202" i="97"/>
  <c r="B203" i="97"/>
  <c r="B204" i="97"/>
  <c r="B289" i="97"/>
  <c r="B291" i="97"/>
  <c r="C124" i="97"/>
  <c r="C127" i="97"/>
  <c r="C128" i="97"/>
  <c r="C129" i="97"/>
  <c r="B216" i="97"/>
  <c r="C134" i="97"/>
  <c r="B304" i="97"/>
  <c r="B305" i="97"/>
  <c r="B308" i="97"/>
  <c r="C143" i="97"/>
  <c r="B228" i="97"/>
  <c r="B229" i="97"/>
  <c r="C148" i="97"/>
  <c r="C150" i="97"/>
  <c r="B236" i="97"/>
  <c r="C153" i="97"/>
  <c r="B322" i="97"/>
  <c r="B179" i="97"/>
  <c r="B267" i="97"/>
  <c r="B187" i="97"/>
  <c r="B275" i="97"/>
  <c r="B283" i="97"/>
  <c r="B211" i="97"/>
  <c r="B300" i="97"/>
  <c r="B217" i="97"/>
  <c r="B302" i="97"/>
  <c r="B220" i="97"/>
  <c r="B225" i="97"/>
  <c r="B231" i="97"/>
  <c r="B233" i="97"/>
  <c r="B318" i="97"/>
  <c r="D322" i="97"/>
  <c r="E322" i="97"/>
  <c r="B238" i="97"/>
  <c r="D238" i="97"/>
  <c r="E238" i="97"/>
  <c r="C151" i="97"/>
  <c r="D151" i="97"/>
  <c r="E152" i="97"/>
  <c r="E153" i="97"/>
  <c r="C154" i="97"/>
  <c r="D154" i="97"/>
  <c r="E154" i="97"/>
  <c r="F154" i="97"/>
  <c r="B314" i="97"/>
  <c r="D314" i="97"/>
  <c r="E314" i="97"/>
  <c r="B315" i="97"/>
  <c r="D315" i="97"/>
  <c r="E315" i="97"/>
  <c r="D316" i="97"/>
  <c r="E316" i="97"/>
  <c r="B317" i="97"/>
  <c r="D318" i="97"/>
  <c r="E318" i="97"/>
  <c r="B298" i="97"/>
  <c r="D298" i="97"/>
  <c r="E298" i="97"/>
  <c r="B299" i="97"/>
  <c r="D299" i="97"/>
  <c r="E299" i="97"/>
  <c r="E300" i="97"/>
  <c r="B301" i="97"/>
  <c r="D301" i="97"/>
  <c r="E301" i="97"/>
  <c r="E304" i="97"/>
  <c r="B306" i="97"/>
  <c r="D306" i="97"/>
  <c r="E306" i="97"/>
  <c r="B307" i="97"/>
  <c r="D307" i="97"/>
  <c r="E307" i="97"/>
  <c r="E308" i="97"/>
  <c r="B309" i="97"/>
  <c r="E310" i="97"/>
  <c r="D312" i="97"/>
  <c r="D231" i="97"/>
  <c r="E231" i="97"/>
  <c r="D233" i="97"/>
  <c r="E233" i="97"/>
  <c r="B214" i="97"/>
  <c r="D214" i="97"/>
  <c r="E214" i="97"/>
  <c r="B215" i="97"/>
  <c r="D215" i="97"/>
  <c r="E215" i="97"/>
  <c r="D216" i="97"/>
  <c r="E216" i="97"/>
  <c r="D217" i="97"/>
  <c r="B222" i="97"/>
  <c r="D222" i="97"/>
  <c r="E222" i="97"/>
  <c r="B223" i="97"/>
  <c r="D223" i="97"/>
  <c r="E223" i="97"/>
  <c r="B224" i="97"/>
  <c r="D226" i="97"/>
  <c r="E228" i="97"/>
  <c r="B230" i="97"/>
  <c r="D230" i="97"/>
  <c r="E230" i="97"/>
  <c r="C130" i="97"/>
  <c r="D130" i="97"/>
  <c r="E130" i="97"/>
  <c r="F130" i="97"/>
  <c r="C131" i="97"/>
  <c r="D131" i="97"/>
  <c r="E131" i="97"/>
  <c r="F131" i="97"/>
  <c r="E132" i="97"/>
  <c r="F132" i="97"/>
  <c r="C133" i="97"/>
  <c r="D133" i="97"/>
  <c r="C135" i="97"/>
  <c r="D135" i="97"/>
  <c r="F135" i="97"/>
  <c r="E136" i="97"/>
  <c r="C138" i="97"/>
  <c r="D138" i="97"/>
  <c r="E138" i="97"/>
  <c r="F138" i="97"/>
  <c r="C139" i="97"/>
  <c r="D139" i="97"/>
  <c r="E139" i="97"/>
  <c r="F139" i="97"/>
  <c r="C140" i="97"/>
  <c r="E140" i="97"/>
  <c r="F140" i="97"/>
  <c r="C141" i="97"/>
  <c r="D141" i="97"/>
  <c r="F141" i="97"/>
  <c r="C142" i="97"/>
  <c r="D142" i="97"/>
  <c r="E143" i="97"/>
  <c r="C144" i="97"/>
  <c r="E144" i="97"/>
  <c r="F144" i="97"/>
  <c r="E145" i="97"/>
  <c r="C146" i="97"/>
  <c r="D146" i="97"/>
  <c r="E146" i="97"/>
  <c r="F146" i="97"/>
  <c r="C147" i="97"/>
  <c r="E147" i="97"/>
  <c r="D148" i="97"/>
  <c r="E148" i="97"/>
  <c r="F148" i="97"/>
  <c r="C149" i="97"/>
  <c r="D149" i="97"/>
  <c r="F149" i="97"/>
  <c r="D150" i="97"/>
  <c r="A169" i="97"/>
  <c r="A81" i="97"/>
  <c r="A165" i="97" s="1"/>
  <c r="A69" i="97"/>
  <c r="A321" i="97" s="1"/>
  <c r="A70" i="97"/>
  <c r="A322" i="97" s="1"/>
  <c r="A64" i="97"/>
  <c r="A316" i="97" s="1"/>
  <c r="A65" i="97"/>
  <c r="A317" i="97" s="1"/>
  <c r="A66" i="97"/>
  <c r="A318" i="97" s="1"/>
  <c r="A67" i="97"/>
  <c r="A319" i="97" s="1"/>
  <c r="A68" i="97"/>
  <c r="A320" i="97" s="1"/>
  <c r="A46" i="97"/>
  <c r="A298" i="97" s="1"/>
  <c r="A47" i="97"/>
  <c r="A299" i="97" s="1"/>
  <c r="A48" i="97"/>
  <c r="A300" i="97" s="1"/>
  <c r="A49" i="97"/>
  <c r="A301" i="97" s="1"/>
  <c r="A50" i="97"/>
  <c r="A302" i="97" s="1"/>
  <c r="A51" i="97"/>
  <c r="A303" i="97" s="1"/>
  <c r="A52" i="97"/>
  <c r="A304" i="97" s="1"/>
  <c r="A53" i="97"/>
  <c r="A305" i="97" s="1"/>
  <c r="A54" i="97"/>
  <c r="A306" i="97" s="1"/>
  <c r="A55" i="97"/>
  <c r="A307" i="97" s="1"/>
  <c r="A56" i="97"/>
  <c r="A308" i="97" s="1"/>
  <c r="A57" i="97"/>
  <c r="A309" i="97" s="1"/>
  <c r="A58" i="97"/>
  <c r="A310" i="97" s="1"/>
  <c r="A59" i="97"/>
  <c r="A311" i="97" s="1"/>
  <c r="A60" i="97"/>
  <c r="A312" i="97" s="1"/>
  <c r="A61" i="97"/>
  <c r="A313" i="97" s="1"/>
  <c r="A62" i="97"/>
  <c r="A314" i="97" s="1"/>
  <c r="A63" i="97"/>
  <c r="A315" i="97" s="1"/>
  <c r="A6" i="97"/>
  <c r="A258" i="97" s="1"/>
  <c r="A7" i="97"/>
  <c r="A259" i="97" s="1"/>
  <c r="A8" i="97"/>
  <c r="A260" i="97" s="1"/>
  <c r="A9" i="97"/>
  <c r="A10" i="97"/>
  <c r="A262" i="97" s="1"/>
  <c r="A11" i="97"/>
  <c r="A263" i="97" s="1"/>
  <c r="A12" i="97"/>
  <c r="A264" i="97" s="1"/>
  <c r="A13" i="97"/>
  <c r="A14" i="97"/>
  <c r="A266" i="97" s="1"/>
  <c r="A15" i="97"/>
  <c r="A267" i="97" s="1"/>
  <c r="A16" i="97"/>
  <c r="A268" i="97" s="1"/>
  <c r="A17" i="97"/>
  <c r="A18" i="97"/>
  <c r="A270" i="97" s="1"/>
  <c r="A19" i="97"/>
  <c r="A271" i="97" s="1"/>
  <c r="A20" i="97"/>
  <c r="A272" i="97" s="1"/>
  <c r="A21" i="97"/>
  <c r="A273" i="97" s="1"/>
  <c r="A22" i="97"/>
  <c r="A23" i="97"/>
  <c r="A24" i="97"/>
  <c r="A276" i="97" s="1"/>
  <c r="A25" i="97"/>
  <c r="A26" i="97"/>
  <c r="A27" i="97"/>
  <c r="A28" i="97"/>
  <c r="A29" i="97"/>
  <c r="A281" i="97" s="1"/>
  <c r="A30" i="97"/>
  <c r="A282" i="97" s="1"/>
  <c r="A31" i="97"/>
  <c r="A283" i="97" s="1"/>
  <c r="A32" i="97"/>
  <c r="A33" i="97"/>
  <c r="A285" i="97" s="1"/>
  <c r="A34" i="97"/>
  <c r="A286" i="97" s="1"/>
  <c r="A35" i="97"/>
  <c r="A287" i="97" s="1"/>
  <c r="A36" i="97"/>
  <c r="A37" i="97"/>
  <c r="A289" i="97" s="1"/>
  <c r="A38" i="97"/>
  <c r="A290" i="97" s="1"/>
  <c r="A39" i="97"/>
  <c r="A291" i="97" s="1"/>
  <c r="A40" i="97"/>
  <c r="A41" i="97"/>
  <c r="A293" i="97" s="1"/>
  <c r="A42" i="97"/>
  <c r="A294" i="97" s="1"/>
  <c r="A43" i="97"/>
  <c r="A295" i="97" s="1"/>
  <c r="A44" i="97"/>
  <c r="A296" i="97" s="1"/>
  <c r="A45" i="97"/>
  <c r="A297" i="97" s="1"/>
  <c r="A5" i="97"/>
  <c r="A257" i="97" s="1"/>
  <c r="E297" i="97"/>
  <c r="B297" i="97"/>
  <c r="E293" i="97"/>
  <c r="E291" i="97"/>
  <c r="D291" i="97"/>
  <c r="E290" i="97"/>
  <c r="D290" i="97"/>
  <c r="B290" i="97"/>
  <c r="B288" i="97"/>
  <c r="D285" i="97"/>
  <c r="E284" i="97"/>
  <c r="B284" i="97"/>
  <c r="E283" i="97"/>
  <c r="E282" i="97"/>
  <c r="D282" i="97"/>
  <c r="B282" i="97"/>
  <c r="E276" i="97"/>
  <c r="B276" i="97"/>
  <c r="E275" i="97"/>
  <c r="E274" i="97"/>
  <c r="D274" i="97"/>
  <c r="B274" i="97"/>
  <c r="E268" i="97"/>
  <c r="E267" i="97"/>
  <c r="D267" i="97"/>
  <c r="E266" i="97"/>
  <c r="D266" i="97"/>
  <c r="B266" i="97"/>
  <c r="B265" i="97"/>
  <c r="E264" i="97"/>
  <c r="D262" i="97"/>
  <c r="E259" i="97"/>
  <c r="D259" i="97"/>
  <c r="E258" i="97"/>
  <c r="D258" i="97"/>
  <c r="B258" i="97"/>
  <c r="E257" i="97"/>
  <c r="D257" i="97"/>
  <c r="B257" i="97"/>
  <c r="E255" i="97"/>
  <c r="D255" i="97"/>
  <c r="B255" i="97"/>
  <c r="D212" i="97"/>
  <c r="B212" i="97"/>
  <c r="D210" i="97"/>
  <c r="B210" i="97"/>
  <c r="E208" i="97"/>
  <c r="D208" i="97"/>
  <c r="E207" i="97"/>
  <c r="D207" i="97"/>
  <c r="B207" i="97"/>
  <c r="E206" i="97"/>
  <c r="D206" i="97"/>
  <c r="B206" i="97"/>
  <c r="E204" i="97"/>
  <c r="D204" i="97"/>
  <c r="D202" i="97"/>
  <c r="D200" i="97"/>
  <c r="E199" i="97"/>
  <c r="B199" i="97"/>
  <c r="E198" i="97"/>
  <c r="D198" i="97"/>
  <c r="B198" i="97"/>
  <c r="E196" i="97"/>
  <c r="D196" i="97"/>
  <c r="E191" i="97"/>
  <c r="D191" i="97"/>
  <c r="B191" i="97"/>
  <c r="E190" i="97"/>
  <c r="D190" i="97"/>
  <c r="B190" i="97"/>
  <c r="E189" i="97"/>
  <c r="B186" i="97"/>
  <c r="E184" i="97"/>
  <c r="D183" i="97"/>
  <c r="B183" i="97"/>
  <c r="E182" i="97"/>
  <c r="D182" i="97"/>
  <c r="B182" i="97"/>
  <c r="D178" i="97"/>
  <c r="E175" i="97"/>
  <c r="D175" i="97"/>
  <c r="B175" i="97"/>
  <c r="E174" i="97"/>
  <c r="D174" i="97"/>
  <c r="B174" i="97"/>
  <c r="E173" i="97"/>
  <c r="D173" i="97"/>
  <c r="B173" i="97"/>
  <c r="E171" i="97"/>
  <c r="D171" i="97"/>
  <c r="B171" i="97"/>
  <c r="D165" i="97"/>
  <c r="C165" i="97"/>
  <c r="C126" i="97"/>
  <c r="D125" i="97"/>
  <c r="C125" i="97"/>
  <c r="D122" i="97"/>
  <c r="C122" i="97"/>
  <c r="D118" i="97"/>
  <c r="C118" i="97"/>
  <c r="D117" i="97"/>
  <c r="C117" i="97"/>
  <c r="D114" i="97"/>
  <c r="C114" i="97"/>
  <c r="C113" i="97"/>
  <c r="D110" i="97"/>
  <c r="D109" i="97"/>
  <c r="C109" i="97"/>
  <c r="C108" i="97"/>
  <c r="D106" i="97"/>
  <c r="C106" i="97"/>
  <c r="C104" i="97"/>
  <c r="D102" i="97"/>
  <c r="D101" i="97"/>
  <c r="C101" i="97"/>
  <c r="D100" i="97"/>
  <c r="C100" i="97"/>
  <c r="D98" i="97"/>
  <c r="C98" i="97"/>
  <c r="C94" i="97"/>
  <c r="D93" i="97"/>
  <c r="C93" i="97"/>
  <c r="D92" i="97"/>
  <c r="D90" i="97"/>
  <c r="C90" i="97"/>
  <c r="D89" i="97"/>
  <c r="F87" i="97"/>
  <c r="E87" i="97"/>
  <c r="D87" i="97"/>
  <c r="C87" i="97"/>
  <c r="B87" i="97"/>
  <c r="E129" i="97"/>
  <c r="D127" i="97"/>
  <c r="A204" i="97" l="1"/>
  <c r="A288" i="97"/>
  <c r="A193" i="97"/>
  <c r="A277" i="97"/>
  <c r="A185" i="97"/>
  <c r="A269" i="97"/>
  <c r="A177" i="97"/>
  <c r="A261" i="97"/>
  <c r="A196" i="97"/>
  <c r="A280" i="97"/>
  <c r="A195" i="97"/>
  <c r="A279" i="97"/>
  <c r="A194" i="97"/>
  <c r="A278" i="97"/>
  <c r="A208" i="97"/>
  <c r="A292" i="97"/>
  <c r="A200" i="97"/>
  <c r="A284" i="97"/>
  <c r="A181" i="97"/>
  <c r="A265" i="97"/>
  <c r="A191" i="97"/>
  <c r="A275" i="97"/>
  <c r="A190" i="97"/>
  <c r="A274" i="97"/>
  <c r="A205" i="97"/>
  <c r="A105" i="97"/>
  <c r="A189" i="97"/>
  <c r="A147" i="97"/>
  <c r="A231" i="97"/>
  <c r="A153" i="97"/>
  <c r="A237" i="97"/>
  <c r="A188" i="97"/>
  <c r="A146" i="97"/>
  <c r="A230" i="97"/>
  <c r="A203" i="97"/>
  <c r="A95" i="97"/>
  <c r="A179" i="97"/>
  <c r="A178" i="97"/>
  <c r="A144" i="97"/>
  <c r="A228" i="97"/>
  <c r="A151" i="97"/>
  <c r="A235" i="97"/>
  <c r="A201" i="97"/>
  <c r="A143" i="97"/>
  <c r="A227" i="97"/>
  <c r="A135" i="97"/>
  <c r="A219" i="97"/>
  <c r="A108" i="97"/>
  <c r="A192" i="97"/>
  <c r="A100" i="97"/>
  <c r="A184" i="97"/>
  <c r="A92" i="97"/>
  <c r="A176" i="97"/>
  <c r="A142" i="97"/>
  <c r="A226" i="97"/>
  <c r="A134" i="97"/>
  <c r="A218" i="97"/>
  <c r="A149" i="97"/>
  <c r="A233" i="97"/>
  <c r="A131" i="97"/>
  <c r="A215" i="97"/>
  <c r="A212" i="97"/>
  <c r="A96" i="97"/>
  <c r="A180" i="97"/>
  <c r="A138" i="97"/>
  <c r="A222" i="97"/>
  <c r="A130" i="97"/>
  <c r="A214" i="97"/>
  <c r="A211" i="97"/>
  <c r="A187" i="97"/>
  <c r="A145" i="97"/>
  <c r="A229" i="97"/>
  <c r="A137" i="97"/>
  <c r="A221" i="97"/>
  <c r="A152" i="97"/>
  <c r="A236" i="97"/>
  <c r="A126" i="97"/>
  <c r="A210" i="97"/>
  <c r="A118" i="97"/>
  <c r="A202" i="97"/>
  <c r="A102" i="97"/>
  <c r="A186" i="97"/>
  <c r="A136" i="97"/>
  <c r="A220" i="97"/>
  <c r="A125" i="97"/>
  <c r="A209" i="97"/>
  <c r="A150" i="97"/>
  <c r="A234" i="97"/>
  <c r="A123" i="97"/>
  <c r="A207" i="97"/>
  <c r="A115" i="97"/>
  <c r="A199" i="97"/>
  <c r="A183" i="97"/>
  <c r="A175" i="97"/>
  <c r="A141" i="97"/>
  <c r="A225" i="97"/>
  <c r="A133" i="97"/>
  <c r="A217" i="97"/>
  <c r="A148" i="97"/>
  <c r="A232" i="97"/>
  <c r="A129" i="97"/>
  <c r="A213" i="97"/>
  <c r="A197" i="97"/>
  <c r="A139" i="97"/>
  <c r="A223" i="97"/>
  <c r="A173" i="97"/>
  <c r="A206" i="97"/>
  <c r="A198" i="97"/>
  <c r="A182" i="97"/>
  <c r="A90" i="97"/>
  <c r="A174" i="97"/>
  <c r="A140" i="97"/>
  <c r="A224" i="97"/>
  <c r="A132" i="97"/>
  <c r="A216" i="97"/>
  <c r="A154" i="97"/>
  <c r="A238" i="97"/>
  <c r="E197" i="97"/>
  <c r="E221" i="97"/>
  <c r="F153" i="97"/>
  <c r="E272" i="97"/>
  <c r="E321" i="97"/>
  <c r="E273" i="97"/>
  <c r="E181" i="97"/>
  <c r="E280" i="97"/>
  <c r="E287" i="97"/>
  <c r="F134" i="97"/>
  <c r="E313" i="97"/>
  <c r="E302" i="97"/>
  <c r="E203" i="97"/>
  <c r="F133" i="97"/>
  <c r="F151" i="97"/>
  <c r="E320" i="97"/>
  <c r="E220" i="97"/>
  <c r="F152" i="97"/>
  <c r="E212" i="97"/>
  <c r="E270" i="97"/>
  <c r="F145" i="97"/>
  <c r="F137" i="97"/>
  <c r="D294" i="97"/>
  <c r="E150" i="97"/>
  <c r="E177" i="97"/>
  <c r="E185" i="97"/>
  <c r="D193" i="97"/>
  <c r="E201" i="97"/>
  <c r="D261" i="97"/>
  <c r="D278" i="97"/>
  <c r="E286" i="97"/>
  <c r="E141" i="97"/>
  <c r="D218" i="97"/>
  <c r="E234" i="97"/>
  <c r="D302" i="97"/>
  <c r="D287" i="97"/>
  <c r="E193" i="97"/>
  <c r="E205" i="97"/>
  <c r="E261" i="97"/>
  <c r="D270" i="97"/>
  <c r="E278" i="97"/>
  <c r="D293" i="97"/>
  <c r="E226" i="97"/>
  <c r="E311" i="97"/>
  <c r="D319" i="97"/>
  <c r="D308" i="97"/>
  <c r="D263" i="97"/>
  <c r="E135" i="97"/>
  <c r="E235" i="97"/>
  <c r="D271" i="97"/>
  <c r="E186" i="97"/>
  <c r="E194" i="97"/>
  <c r="D277" i="97"/>
  <c r="E294" i="97"/>
  <c r="D225" i="97"/>
  <c r="E309" i="97"/>
  <c r="E317" i="97"/>
  <c r="E176" i="97"/>
  <c r="E179" i="97"/>
  <c r="D195" i="97"/>
  <c r="D209" i="97"/>
  <c r="E211" i="97"/>
  <c r="D269" i="97"/>
  <c r="E289" i="97"/>
  <c r="E227" i="97"/>
  <c r="E303" i="97"/>
  <c r="D317" i="97"/>
  <c r="E279" i="97"/>
  <c r="E178" i="97"/>
  <c r="E202" i="97"/>
  <c r="E271" i="97"/>
  <c r="E219" i="97"/>
  <c r="E285" i="97"/>
  <c r="D185" i="97"/>
  <c r="E134" i="97"/>
  <c r="E218" i="97"/>
  <c r="D180" i="97"/>
  <c r="D188" i="97"/>
  <c r="D264" i="97"/>
  <c r="D272" i="97"/>
  <c r="D280" i="97"/>
  <c r="D296" i="97"/>
  <c r="D137" i="97"/>
  <c r="D184" i="97"/>
  <c r="D192" i="97"/>
  <c r="D288" i="97"/>
  <c r="D143" i="97"/>
  <c r="D132" i="97"/>
  <c r="D229" i="97"/>
  <c r="D224" i="97"/>
  <c r="D305" i="97"/>
  <c r="D303" i="97"/>
  <c r="D153" i="97"/>
  <c r="D237" i="97"/>
  <c r="D235" i="97"/>
  <c r="D320" i="97"/>
  <c r="D176" i="97"/>
  <c r="D203" i="97"/>
  <c r="D205" i="97"/>
  <c r="D211" i="97"/>
  <c r="D260" i="97"/>
  <c r="D268" i="97"/>
  <c r="D276" i="97"/>
  <c r="D284" i="97"/>
  <c r="D292" i="97"/>
  <c r="D145" i="97"/>
  <c r="D134" i="97"/>
  <c r="D220" i="97"/>
  <c r="D313" i="97"/>
  <c r="D311" i="97"/>
  <c r="D221" i="97"/>
  <c r="D129" i="97"/>
  <c r="D197" i="97"/>
  <c r="D213" i="97"/>
  <c r="D136" i="97"/>
  <c r="D97" i="97"/>
  <c r="D121" i="97"/>
  <c r="D179" i="97"/>
  <c r="D181" i="97"/>
  <c r="D187" i="97"/>
  <c r="D189" i="97"/>
  <c r="D273" i="97"/>
  <c r="D279" i="97"/>
  <c r="D281" i="97"/>
  <c r="D140" i="97"/>
  <c r="D228" i="97"/>
  <c r="D152" i="97"/>
  <c r="D113" i="97"/>
  <c r="D199" i="97"/>
  <c r="D144" i="97"/>
  <c r="D310" i="97"/>
  <c r="B312" i="97"/>
  <c r="C96" i="97"/>
  <c r="C105" i="97"/>
  <c r="C121" i="97"/>
  <c r="B264" i="97"/>
  <c r="B296" i="97"/>
  <c r="C145" i="97"/>
  <c r="C136" i="97"/>
  <c r="B321" i="97"/>
  <c r="B197" i="97"/>
  <c r="C92" i="97"/>
  <c r="C110" i="97"/>
  <c r="B292" i="97"/>
  <c r="C132" i="97"/>
  <c r="B234" i="97"/>
  <c r="B232" i="97"/>
  <c r="C152" i="97"/>
  <c r="B188" i="97"/>
  <c r="B221" i="97"/>
  <c r="B313" i="97"/>
  <c r="B320" i="97"/>
  <c r="B205" i="97"/>
  <c r="C112" i="97"/>
  <c r="B196" i="97"/>
  <c r="C137" i="97"/>
  <c r="B189" i="97"/>
  <c r="C120" i="97"/>
  <c r="C97" i="97"/>
  <c r="B227" i="97"/>
  <c r="B219" i="97"/>
  <c r="B185" i="97"/>
  <c r="B193" i="97"/>
  <c r="B310" i="97"/>
  <c r="B176" i="97"/>
  <c r="B184" i="97"/>
  <c r="B192" i="97"/>
  <c r="B200" i="97"/>
  <c r="B208" i="97"/>
  <c r="B311" i="97"/>
  <c r="B303" i="97"/>
  <c r="B316" i="97"/>
  <c r="B213" i="97"/>
  <c r="B261" i="97"/>
  <c r="B269" i="97"/>
  <c r="B277" i="97"/>
  <c r="B285" i="97"/>
  <c r="B293" i="97"/>
  <c r="B226" i="97"/>
  <c r="B218" i="97"/>
  <c r="B237" i="97"/>
  <c r="B263" i="97"/>
  <c r="B271" i="97"/>
  <c r="B279" i="97"/>
  <c r="B287" i="97"/>
  <c r="B295" i="97"/>
  <c r="B235" i="97"/>
  <c r="B319" i="97"/>
  <c r="B177" i="97"/>
  <c r="B201" i="97"/>
  <c r="B209" i="97"/>
  <c r="B262" i="97"/>
  <c r="B270" i="97"/>
  <c r="B278" i="97"/>
  <c r="B286" i="97"/>
  <c r="B294" i="97"/>
  <c r="A89" i="97"/>
  <c r="A98" i="97"/>
  <c r="A106" i="97"/>
  <c r="A124" i="97"/>
  <c r="A99" i="97"/>
  <c r="A114" i="97"/>
  <c r="A122" i="97"/>
  <c r="A116" i="97"/>
  <c r="A91" i="97"/>
  <c r="A101" i="97"/>
  <c r="A93" i="97"/>
  <c r="A109" i="97"/>
  <c r="A333" i="97"/>
  <c r="A107" i="97"/>
  <c r="A117" i="97"/>
  <c r="A249" i="97"/>
  <c r="A121" i="97"/>
  <c r="A97" i="97"/>
  <c r="A113" i="97"/>
  <c r="E95" i="97"/>
  <c r="E115" i="97"/>
  <c r="E119" i="97"/>
  <c r="E127" i="97"/>
  <c r="F91" i="97"/>
  <c r="F95" i="97"/>
  <c r="F99" i="97"/>
  <c r="F103" i="97"/>
  <c r="A112" i="97"/>
  <c r="E114" i="97"/>
  <c r="E118" i="97"/>
  <c r="E126" i="97"/>
  <c r="E165" i="97"/>
  <c r="F90" i="97"/>
  <c r="F94" i="97"/>
  <c r="F165" i="97"/>
  <c r="E89" i="97"/>
  <c r="E93" i="97"/>
  <c r="E101" i="97"/>
  <c r="A111" i="97"/>
  <c r="A119" i="97"/>
  <c r="E121" i="97"/>
  <c r="E125" i="97"/>
  <c r="F89" i="97"/>
  <c r="F93" i="97"/>
  <c r="F97" i="97"/>
  <c r="F101" i="97"/>
  <c r="D104" i="97"/>
  <c r="F105" i="97"/>
  <c r="D108" i="97"/>
  <c r="F109" i="97"/>
  <c r="D112" i="97"/>
  <c r="F113" i="97"/>
  <c r="D116" i="97"/>
  <c r="F117" i="97"/>
  <c r="D120" i="97"/>
  <c r="F121" i="97"/>
  <c r="D124" i="97"/>
  <c r="F125" i="97"/>
  <c r="D128" i="97"/>
  <c r="F129" i="97"/>
  <c r="D333" i="97"/>
  <c r="E111" i="97"/>
  <c r="F107" i="97"/>
  <c r="F111" i="97"/>
  <c r="F115" i="97"/>
  <c r="E94" i="97"/>
  <c r="A104" i="97"/>
  <c r="E106" i="97"/>
  <c r="E110" i="97"/>
  <c r="A128" i="97"/>
  <c r="F98" i="97"/>
  <c r="F106" i="97"/>
  <c r="F110" i="97"/>
  <c r="F114" i="97"/>
  <c r="F118" i="97"/>
  <c r="A103" i="97"/>
  <c r="E105" i="97"/>
  <c r="A127" i="97"/>
  <c r="E249" i="97"/>
  <c r="C91" i="97"/>
  <c r="E92" i="97"/>
  <c r="A94" i="97"/>
  <c r="C95" i="97"/>
  <c r="E96" i="97"/>
  <c r="C99" i="97"/>
  <c r="E100" i="97"/>
  <c r="C103" i="97"/>
  <c r="E104" i="97"/>
  <c r="C107" i="97"/>
  <c r="E108" i="97"/>
  <c r="A110" i="97"/>
  <c r="C111" i="97"/>
  <c r="E112" i="97"/>
  <c r="C115" i="97"/>
  <c r="E116" i="97"/>
  <c r="C119" i="97"/>
  <c r="E120" i="97"/>
  <c r="C123" i="97"/>
  <c r="E124" i="97"/>
  <c r="E128" i="97"/>
  <c r="A253" i="97"/>
  <c r="E333" i="97"/>
  <c r="E91" i="97"/>
  <c r="E99" i="97"/>
  <c r="E103" i="97"/>
  <c r="E107" i="97"/>
  <c r="E123" i="97"/>
  <c r="F119" i="97"/>
  <c r="F123" i="97"/>
  <c r="F127" i="97"/>
  <c r="A85" i="97"/>
  <c r="E90" i="97"/>
  <c r="E98" i="97"/>
  <c r="E102" i="97"/>
  <c r="A120" i="97"/>
  <c r="E122" i="97"/>
  <c r="F102" i="97"/>
  <c r="F122" i="97"/>
  <c r="F126" i="97"/>
  <c r="D249" i="97"/>
  <c r="E97" i="97"/>
  <c r="E109" i="97"/>
  <c r="E113" i="97"/>
  <c r="E117" i="97"/>
  <c r="D91" i="97"/>
  <c r="F92" i="97"/>
  <c r="D95" i="97"/>
  <c r="F96" i="97"/>
  <c r="D99" i="97"/>
  <c r="F100" i="97"/>
  <c r="D103" i="97"/>
  <c r="F104" i="97"/>
  <c r="D107" i="97"/>
  <c r="F108" i="97"/>
  <c r="D111" i="97"/>
  <c r="F112" i="97"/>
  <c r="D115" i="97"/>
  <c r="F116" i="97"/>
  <c r="D119" i="97"/>
  <c r="F120" i="97"/>
  <c r="D123" i="97"/>
  <c r="F124" i="97"/>
  <c r="F128" i="97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Z55" i="93" s="1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W55" i="93" s="1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R7" i="93" l="1"/>
  <c r="D55" i="93"/>
  <c r="AG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M6" i="78"/>
  <c r="AA107" i="78"/>
  <c r="AB107" i="78"/>
  <c r="AL6" i="78"/>
  <c r="AL88" i="78" s="1"/>
  <c r="Z107" i="78"/>
  <c r="AJ6" i="78"/>
  <c r="AM97" i="78" s="1"/>
  <c r="X107" i="78"/>
  <c r="AI6" i="78"/>
  <c r="AH1" i="78" s="1"/>
  <c r="AK6" i="78"/>
  <c r="AB117" i="78"/>
  <c r="AL83" i="78"/>
  <c r="AX6" i="78"/>
  <c r="AM43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N33" i="79"/>
  <c r="O33" i="79"/>
  <c r="B46" i="78"/>
  <c r="AK93" i="78" l="1"/>
  <c r="AM93" i="78"/>
  <c r="AM106" i="78"/>
  <c r="AM104" i="78"/>
  <c r="AM84" i="78"/>
  <c r="AM89" i="78"/>
  <c r="AM100" i="78"/>
  <c r="AL100" i="78"/>
  <c r="AI96" i="78"/>
  <c r="AI103" i="78"/>
  <c r="AL99" i="78"/>
  <c r="AI101" i="78"/>
  <c r="AL84" i="78"/>
  <c r="AI86" i="78"/>
  <c r="AL98" i="78"/>
  <c r="AM101" i="78"/>
  <c r="AM96" i="78"/>
  <c r="AI105" i="78"/>
  <c r="AM99" i="78"/>
  <c r="AL94" i="78"/>
  <c r="AI90" i="78"/>
  <c r="AM94" i="78"/>
  <c r="AL103" i="78"/>
  <c r="AI43" i="78"/>
  <c r="AL80" i="78"/>
  <c r="AI82" i="78"/>
  <c r="AI107" i="78"/>
  <c r="AI102" i="78"/>
  <c r="AM102" i="78"/>
  <c r="AL96" i="78"/>
  <c r="AI106" i="78"/>
  <c r="AM88" i="78"/>
  <c r="AK87" i="78"/>
  <c r="AL117" i="78"/>
  <c r="AI98" i="78"/>
  <c r="AM85" i="78"/>
  <c r="AL102" i="78"/>
  <c r="AL105" i="78"/>
  <c r="AL106" i="78"/>
  <c r="AL86" i="78"/>
  <c r="AL91" i="78"/>
  <c r="AL82" i="78"/>
  <c r="AL97" i="78"/>
  <c r="AL101" i="78"/>
  <c r="AL95" i="78"/>
  <c r="M8" i="79"/>
  <c r="M33" i="79"/>
  <c r="AL89" i="78"/>
  <c r="AL85" i="78"/>
  <c r="AI95" i="78"/>
  <c r="AI85" i="78"/>
  <c r="AM91" i="78"/>
  <c r="AM87" i="78"/>
  <c r="AM83" i="78"/>
  <c r="AI100" i="78"/>
  <c r="AI99" i="78"/>
  <c r="AM82" i="78"/>
  <c r="AM98" i="78"/>
  <c r="AI92" i="78"/>
  <c r="AI93" i="78"/>
  <c r="AI109" i="78"/>
  <c r="AM109" i="78"/>
  <c r="AM103" i="78"/>
  <c r="AI94" i="78"/>
  <c r="AI83" i="78"/>
  <c r="AI89" i="78"/>
  <c r="AM105" i="78"/>
  <c r="AJ43" i="78"/>
  <c r="AK107" i="78"/>
  <c r="AW6" i="78"/>
  <c r="AW106" i="78" s="1"/>
  <c r="AL43" i="78"/>
  <c r="AI117" i="78"/>
  <c r="AI91" i="78"/>
  <c r="AT6" i="78"/>
  <c r="AS1" i="78" s="1"/>
  <c r="AM90" i="78"/>
  <c r="AM92" i="78"/>
  <c r="AM117" i="78"/>
  <c r="AJ107" i="78"/>
  <c r="AI88" i="78"/>
  <c r="AI87" i="78"/>
  <c r="AI97" i="78"/>
  <c r="AM86" i="78"/>
  <c r="AU6" i="78"/>
  <c r="AX107" i="78" s="1"/>
  <c r="AL104" i="78"/>
  <c r="AL90" i="78"/>
  <c r="AI84" i="78"/>
  <c r="AI80" i="78"/>
  <c r="AI104" i="78"/>
  <c r="AM95" i="78"/>
  <c r="AM80" i="78"/>
  <c r="AL93" i="78"/>
  <c r="AL109" i="78"/>
  <c r="AL87" i="78"/>
  <c r="AL92" i="78"/>
  <c r="AL107" i="78"/>
  <c r="AM10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Q146" i="78"/>
  <c r="S72" i="78"/>
  <c r="S109" i="78" s="1"/>
  <c r="AJ101" i="78"/>
  <c r="AJ88" i="78"/>
  <c r="AJ105" i="78"/>
  <c r="AJ94" i="78"/>
  <c r="AJ90" i="78"/>
  <c r="AK103" i="78"/>
  <c r="AK106" i="78"/>
  <c r="AK100" i="78"/>
  <c r="AK99" i="78"/>
  <c r="AE109" i="78"/>
  <c r="AE72" i="78"/>
  <c r="AF72" i="78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I6" i="78"/>
  <c r="AX43" i="78"/>
  <c r="AX103" i="78"/>
  <c r="AX94" i="78"/>
  <c r="AX105" i="78"/>
  <c r="AX86" i="78"/>
  <c r="AH38" i="78"/>
  <c r="AH75" i="78"/>
  <c r="AH112" i="78"/>
  <c r="BE6" i="78"/>
  <c r="BD1" i="78" s="1"/>
  <c r="AT43" i="78"/>
  <c r="AT102" i="78"/>
  <c r="AT91" i="78"/>
  <c r="AT106" i="78"/>
  <c r="AT87" i="78"/>
  <c r="C146" i="78"/>
  <c r="AB109" i="78"/>
  <c r="F109" i="78"/>
  <c r="C109" i="78"/>
  <c r="Y146" i="78"/>
  <c r="N109" i="78"/>
  <c r="Q109" i="78"/>
  <c r="Y109" i="78"/>
  <c r="N146" i="78"/>
  <c r="V33" i="79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AE26" i="76"/>
  <c r="AF26" i="76"/>
  <c r="AG26" i="76"/>
  <c r="Q26" i="76"/>
  <c r="AE22" i="76"/>
  <c r="AF22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E9" i="76"/>
  <c r="AF9" i="76"/>
  <c r="AG9" i="76"/>
  <c r="AT103" i="78" l="1"/>
  <c r="AT93" i="78"/>
  <c r="AX87" i="78"/>
  <c r="AX85" i="78"/>
  <c r="AX97" i="78"/>
  <c r="AX91" i="78"/>
  <c r="AX83" i="78"/>
  <c r="AX88" i="78"/>
  <c r="AT85" i="78"/>
  <c r="AT80" i="78"/>
  <c r="AT96" i="78"/>
  <c r="AT101" i="78"/>
  <c r="AX104" i="78"/>
  <c r="AX98" i="78"/>
  <c r="AX109" i="78"/>
  <c r="AX93" i="78"/>
  <c r="AX92" i="78"/>
  <c r="AT89" i="78"/>
  <c r="AT99" i="78"/>
  <c r="AT84" i="78"/>
  <c r="AX82" i="78"/>
  <c r="AX100" i="78"/>
  <c r="BF6" i="78"/>
  <c r="BE107" i="78" s="1"/>
  <c r="AU43" i="78"/>
  <c r="AT104" i="78"/>
  <c r="AT88" i="78"/>
  <c r="AT94" i="78"/>
  <c r="AX84" i="78"/>
  <c r="AX95" i="78"/>
  <c r="AT90" i="78"/>
  <c r="AT98" i="78"/>
  <c r="AT92" i="78"/>
  <c r="AT100" i="78"/>
  <c r="AX102" i="78"/>
  <c r="AX89" i="78"/>
  <c r="AT82" i="78"/>
  <c r="AX90" i="78"/>
  <c r="AT109" i="78"/>
  <c r="AX99" i="78"/>
  <c r="AT86" i="78"/>
  <c r="AT117" i="78"/>
  <c r="AT83" i="78"/>
  <c r="AX96" i="78"/>
  <c r="AX80" i="78"/>
  <c r="AT95" i="78"/>
  <c r="AT105" i="78"/>
  <c r="AT97" i="78"/>
  <c r="AX101" i="78"/>
  <c r="AX106" i="78"/>
  <c r="AW96" i="78"/>
  <c r="AW102" i="78"/>
  <c r="AW104" i="78"/>
  <c r="AW90" i="78"/>
  <c r="AW117" i="78"/>
  <c r="AV107" i="78"/>
  <c r="BH6" i="78"/>
  <c r="BH98" i="78" s="1"/>
  <c r="AW43" i="78"/>
  <c r="AW92" i="78"/>
  <c r="AW99" i="78"/>
  <c r="AX117" i="78"/>
  <c r="AU107" i="78"/>
  <c r="AW101" i="78"/>
  <c r="AW103" i="78"/>
  <c r="AW86" i="78"/>
  <c r="AW87" i="78"/>
  <c r="AW88" i="78"/>
  <c r="AW98" i="78"/>
  <c r="AW84" i="78"/>
  <c r="AW107" i="78"/>
  <c r="AW97" i="78"/>
  <c r="AW83" i="78"/>
  <c r="AW91" i="78"/>
  <c r="AW82" i="78"/>
  <c r="AW85" i="78"/>
  <c r="AW94" i="78"/>
  <c r="AW95" i="78"/>
  <c r="AW93" i="78"/>
  <c r="AW100" i="78"/>
  <c r="AW89" i="78"/>
  <c r="AW109" i="78"/>
  <c r="AW105" i="78"/>
  <c r="AW80" i="78"/>
  <c r="AT107" i="78"/>
  <c r="X22" i="76"/>
  <c r="W22" i="76"/>
  <c r="Y22" i="76"/>
  <c r="V22" i="76"/>
  <c r="AG22" i="76"/>
  <c r="AG49" i="76" s="1"/>
  <c r="AG82" i="76" s="1"/>
  <c r="T22" i="76"/>
  <c r="T49" i="76" s="1"/>
  <c r="AC22" i="76"/>
  <c r="Q22" i="76"/>
  <c r="R22" i="76"/>
  <c r="R49" i="76" s="1"/>
  <c r="R82" i="76" s="1"/>
  <c r="AB22" i="76"/>
  <c r="AB49" i="76" s="1"/>
  <c r="U22" i="76"/>
  <c r="U49" i="76" s="1"/>
  <c r="AD22" i="76"/>
  <c r="AA22" i="76"/>
  <c r="AA49" i="76" s="1"/>
  <c r="AA82" i="76" s="1"/>
  <c r="S22" i="76"/>
  <c r="Z22" i="76"/>
  <c r="AV95" i="78"/>
  <c r="AV91" i="78"/>
  <c r="BH87" i="78"/>
  <c r="AU104" i="78"/>
  <c r="AU101" i="78"/>
  <c r="AV117" i="78"/>
  <c r="AU88" i="78"/>
  <c r="AU96" i="78"/>
  <c r="BG6" i="78"/>
  <c r="AV96" i="78"/>
  <c r="AU103" i="78"/>
  <c r="AV94" i="78"/>
  <c r="AU105" i="78"/>
  <c r="AV97" i="78"/>
  <c r="BH99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BH103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E49" i="76"/>
  <c r="AD72" i="78"/>
  <c r="AD109" i="78" s="1"/>
  <c r="BH89" i="78"/>
  <c r="V8" i="79"/>
  <c r="AD35" i="79"/>
  <c r="Z35" i="79"/>
  <c r="AE35" i="79"/>
  <c r="Y35" i="79"/>
  <c r="AF35" i="79"/>
  <c r="AG35" i="79"/>
  <c r="AB35" i="79"/>
  <c r="AC35" i="79"/>
  <c r="AA35" i="79"/>
  <c r="BH102" i="78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O1" i="78" s="1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W49" i="76"/>
  <c r="AF49" i="76"/>
  <c r="X49" i="76"/>
  <c r="X82" i="76" s="1"/>
  <c r="B20" i="52"/>
  <c r="Z49" i="76"/>
  <c r="Z82" i="76" s="1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33" i="21"/>
  <c r="AF33" i="21"/>
  <c r="AE33" i="21"/>
  <c r="AD33" i="21"/>
  <c r="AD38" i="21" s="1"/>
  <c r="AC33" i="21"/>
  <c r="AB33" i="21"/>
  <c r="AA33" i="21"/>
  <c r="Z33" i="21"/>
  <c r="Y33" i="21"/>
  <c r="X33" i="21"/>
  <c r="W33" i="21"/>
  <c r="V33" i="21"/>
  <c r="U33" i="21"/>
  <c r="T33" i="21"/>
  <c r="S33" i="21"/>
  <c r="R33" i="21"/>
  <c r="Q33" i="21"/>
  <c r="AG18" i="21"/>
  <c r="AF18" i="21"/>
  <c r="AE18" i="21"/>
  <c r="AC18" i="21"/>
  <c r="AB18" i="21"/>
  <c r="AA18" i="21"/>
  <c r="Z18" i="21"/>
  <c r="Y18" i="21"/>
  <c r="X18" i="21"/>
  <c r="W18" i="21"/>
  <c r="V18" i="21"/>
  <c r="U18" i="21"/>
  <c r="T18" i="21"/>
  <c r="S18" i="21"/>
  <c r="R18" i="21"/>
  <c r="Q18" i="21"/>
  <c r="AG11" i="21"/>
  <c r="AF11" i="21"/>
  <c r="AE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C180" i="71"/>
  <c r="E180" i="71"/>
  <c r="BH86" i="78" l="1"/>
  <c r="BH82" i="78"/>
  <c r="BH91" i="78"/>
  <c r="BH109" i="78"/>
  <c r="BH100" i="78"/>
  <c r="BI107" i="78"/>
  <c r="BH101" i="78"/>
  <c r="BH84" i="78"/>
  <c r="BH95" i="78"/>
  <c r="BH88" i="78"/>
  <c r="BH106" i="78"/>
  <c r="BH93" i="78"/>
  <c r="BH117" i="78"/>
  <c r="BH80" i="78"/>
  <c r="BH96" i="78"/>
  <c r="BH90" i="78"/>
  <c r="BH83" i="78"/>
  <c r="BH105" i="78"/>
  <c r="BH97" i="78"/>
  <c r="BH92" i="78"/>
  <c r="BH85" i="78"/>
  <c r="BH104" i="78"/>
  <c r="BH94" i="78"/>
  <c r="BH107" i="78"/>
  <c r="AE73" i="76"/>
  <c r="AE82" i="76"/>
  <c r="T73" i="76"/>
  <c r="T82" i="76"/>
  <c r="U73" i="76"/>
  <c r="U82" i="76"/>
  <c r="AF69" i="76"/>
  <c r="AF82" i="76"/>
  <c r="AB73" i="76"/>
  <c r="AB82" i="76"/>
  <c r="W73" i="76"/>
  <c r="W82" i="76"/>
  <c r="BP107" i="78"/>
  <c r="BT107" i="78"/>
  <c r="BG107" i="78"/>
  <c r="BH43" i="78"/>
  <c r="BS6" i="78"/>
  <c r="BI117" i="78"/>
  <c r="BF107" i="78"/>
  <c r="D180" i="71"/>
  <c r="H180" i="71" s="1"/>
  <c r="M7" i="75" s="1"/>
  <c r="M109" i="75"/>
  <c r="W56" i="76"/>
  <c r="AF73" i="76"/>
  <c r="AE56" i="76"/>
  <c r="AG65" i="76"/>
  <c r="AG70" i="76"/>
  <c r="AG80" i="76"/>
  <c r="AG60" i="76"/>
  <c r="AG75" i="76"/>
  <c r="AG74" i="76"/>
  <c r="AG54" i="76"/>
  <c r="AG59" i="76"/>
  <c r="AG64" i="76"/>
  <c r="AG53" i="76"/>
  <c r="AG58" i="76"/>
  <c r="AG63" i="76"/>
  <c r="AG67" i="76"/>
  <c r="AG77" i="76"/>
  <c r="AG89" i="76"/>
  <c r="AG94" i="76"/>
  <c r="AG57" i="76"/>
  <c r="AG66" i="76"/>
  <c r="AG81" i="76"/>
  <c r="AG85" i="76"/>
  <c r="AG71" i="76"/>
  <c r="AG93" i="76"/>
  <c r="AG86" i="76"/>
  <c r="AG96" i="76"/>
  <c r="AG76" i="76"/>
  <c r="AG90" i="76"/>
  <c r="AG79" i="76"/>
  <c r="AG88" i="76"/>
  <c r="AG84" i="76"/>
  <c r="AG92" i="76"/>
  <c r="AG62" i="76"/>
  <c r="AG52" i="76"/>
  <c r="AE60" i="76"/>
  <c r="AE65" i="76"/>
  <c r="AE70" i="76"/>
  <c r="AE75" i="76"/>
  <c r="AE80" i="76"/>
  <c r="AE86" i="76"/>
  <c r="AE54" i="76"/>
  <c r="AE59" i="76"/>
  <c r="AE64" i="76"/>
  <c r="AE74" i="76"/>
  <c r="AE53" i="76"/>
  <c r="AE58" i="76"/>
  <c r="AE63" i="76"/>
  <c r="AE67" i="76"/>
  <c r="AE77" i="76"/>
  <c r="AE89" i="76"/>
  <c r="AE94" i="76"/>
  <c r="AE66" i="76"/>
  <c r="AE71" i="76"/>
  <c r="AE57" i="76"/>
  <c r="AE76" i="76"/>
  <c r="AE81" i="76"/>
  <c r="AE85" i="76"/>
  <c r="AE93" i="76"/>
  <c r="AE96" i="76"/>
  <c r="AE90" i="76"/>
  <c r="AE62" i="76"/>
  <c r="AE88" i="76"/>
  <c r="AE84" i="76"/>
  <c r="AE79" i="76"/>
  <c r="AE52" i="76"/>
  <c r="AE92" i="76"/>
  <c r="AG56" i="76"/>
  <c r="U75" i="76"/>
  <c r="U60" i="76"/>
  <c r="U65" i="76"/>
  <c r="U70" i="76"/>
  <c r="U80" i="76"/>
  <c r="U74" i="76"/>
  <c r="U54" i="76"/>
  <c r="U59" i="76"/>
  <c r="U64" i="76"/>
  <c r="U53" i="76"/>
  <c r="U58" i="76"/>
  <c r="U63" i="76"/>
  <c r="U67" i="76"/>
  <c r="U77" i="76"/>
  <c r="U89" i="76"/>
  <c r="U94" i="76"/>
  <c r="U57" i="76"/>
  <c r="U66" i="76"/>
  <c r="U71" i="76"/>
  <c r="U86" i="76"/>
  <c r="U85" i="76"/>
  <c r="U96" i="76"/>
  <c r="U90" i="76"/>
  <c r="U76" i="76"/>
  <c r="U81" i="76"/>
  <c r="U93" i="76"/>
  <c r="U79" i="76"/>
  <c r="U52" i="76"/>
  <c r="U84" i="76"/>
  <c r="U62" i="76"/>
  <c r="U88" i="76"/>
  <c r="U92" i="76"/>
  <c r="U69" i="76"/>
  <c r="T69" i="76"/>
  <c r="AA67" i="76"/>
  <c r="AA53" i="76"/>
  <c r="AA58" i="76"/>
  <c r="AA63" i="76"/>
  <c r="AA77" i="76"/>
  <c r="AA76" i="76"/>
  <c r="AA81" i="76"/>
  <c r="AA57" i="76"/>
  <c r="AA66" i="76"/>
  <c r="AA71" i="76"/>
  <c r="AA60" i="76"/>
  <c r="AA65" i="76"/>
  <c r="AA70" i="76"/>
  <c r="AA75" i="76"/>
  <c r="AA80" i="76"/>
  <c r="AA86" i="76"/>
  <c r="AA54" i="76"/>
  <c r="AA59" i="76"/>
  <c r="AA64" i="76"/>
  <c r="AA93" i="76"/>
  <c r="AA96" i="76"/>
  <c r="AA74" i="76"/>
  <c r="AA90" i="76"/>
  <c r="AA85" i="76"/>
  <c r="AA94" i="76"/>
  <c r="AA89" i="76"/>
  <c r="AA88" i="76"/>
  <c r="AA84" i="76"/>
  <c r="AA92" i="76"/>
  <c r="AA79" i="76"/>
  <c r="AA52" i="76"/>
  <c r="AA62" i="76"/>
  <c r="R54" i="76"/>
  <c r="R59" i="76"/>
  <c r="R64" i="76"/>
  <c r="R74" i="76"/>
  <c r="R85" i="76"/>
  <c r="R53" i="76"/>
  <c r="R67" i="76"/>
  <c r="R58" i="76"/>
  <c r="R63" i="76"/>
  <c r="R77" i="76"/>
  <c r="R57" i="76"/>
  <c r="R66" i="76"/>
  <c r="R71" i="76"/>
  <c r="R76" i="76"/>
  <c r="R81" i="76"/>
  <c r="R93" i="76"/>
  <c r="R60" i="76"/>
  <c r="R65" i="76"/>
  <c r="R70" i="76"/>
  <c r="R86" i="76"/>
  <c r="R96" i="76"/>
  <c r="R90" i="76"/>
  <c r="R75" i="76"/>
  <c r="R89" i="76"/>
  <c r="R80" i="76"/>
  <c r="R94" i="76"/>
  <c r="R92" i="76"/>
  <c r="R84" i="76"/>
  <c r="R79" i="76"/>
  <c r="R52" i="76"/>
  <c r="R62" i="76"/>
  <c r="R88" i="76"/>
  <c r="AB69" i="76"/>
  <c r="AG73" i="76"/>
  <c r="U56" i="76"/>
  <c r="AG69" i="76"/>
  <c r="AB54" i="76"/>
  <c r="AB59" i="76"/>
  <c r="AB64" i="76"/>
  <c r="AB74" i="76"/>
  <c r="AB85" i="76"/>
  <c r="AB90" i="76"/>
  <c r="AB96" i="76"/>
  <c r="AB53" i="76"/>
  <c r="AB58" i="76"/>
  <c r="AB63" i="76"/>
  <c r="AB67" i="76"/>
  <c r="AB77" i="76"/>
  <c r="AB57" i="76"/>
  <c r="AB66" i="76"/>
  <c r="AB71" i="76"/>
  <c r="AB76" i="76"/>
  <c r="AB81" i="76"/>
  <c r="AB93" i="76"/>
  <c r="AB70" i="76"/>
  <c r="AB75" i="76"/>
  <c r="AB60" i="76"/>
  <c r="AB65" i="76"/>
  <c r="AB89" i="76"/>
  <c r="AB86" i="76"/>
  <c r="AB80" i="76"/>
  <c r="AB94" i="76"/>
  <c r="AB88" i="76"/>
  <c r="AB79" i="76"/>
  <c r="AB92" i="76"/>
  <c r="AB62" i="76"/>
  <c r="AB84" i="76"/>
  <c r="AB52" i="76"/>
  <c r="AC49" i="76"/>
  <c r="AC82" i="76" s="1"/>
  <c r="AA73" i="76"/>
  <c r="R73" i="76"/>
  <c r="AA56" i="76"/>
  <c r="W69" i="76"/>
  <c r="X71" i="76"/>
  <c r="X76" i="76"/>
  <c r="X81" i="76"/>
  <c r="X57" i="76"/>
  <c r="X66" i="76"/>
  <c r="X65" i="76"/>
  <c r="X70" i="76"/>
  <c r="X80" i="76"/>
  <c r="X60" i="76"/>
  <c r="X75" i="76"/>
  <c r="X54" i="76"/>
  <c r="X59" i="76"/>
  <c r="X64" i="76"/>
  <c r="X74" i="76"/>
  <c r="X85" i="76"/>
  <c r="X90" i="76"/>
  <c r="X96" i="76"/>
  <c r="X53" i="76"/>
  <c r="X58" i="76"/>
  <c r="X63" i="76"/>
  <c r="X67" i="76"/>
  <c r="X77" i="76"/>
  <c r="X93" i="76"/>
  <c r="X94" i="76"/>
  <c r="X86" i="76"/>
  <c r="X89" i="76"/>
  <c r="X62" i="76"/>
  <c r="X88" i="76"/>
  <c r="X92" i="76"/>
  <c r="X84" i="76"/>
  <c r="X52" i="76"/>
  <c r="X79" i="76"/>
  <c r="AD49" i="76"/>
  <c r="AA69" i="76"/>
  <c r="R69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57" i="76"/>
  <c r="T66" i="76"/>
  <c r="T71" i="76"/>
  <c r="T76" i="76"/>
  <c r="T81" i="76"/>
  <c r="T93" i="76"/>
  <c r="T62" i="76"/>
  <c r="T84" i="76"/>
  <c r="T88" i="76"/>
  <c r="T92" i="76"/>
  <c r="T79" i="76"/>
  <c r="T52" i="76"/>
  <c r="AF60" i="76"/>
  <c r="AF65" i="76"/>
  <c r="AF70" i="76"/>
  <c r="AF75" i="76"/>
  <c r="AF80" i="76"/>
  <c r="AF86" i="76"/>
  <c r="AF54" i="76"/>
  <c r="AF59" i="76"/>
  <c r="AF64" i="76"/>
  <c r="AF74" i="76"/>
  <c r="AF85" i="76"/>
  <c r="AF90" i="76"/>
  <c r="AF96" i="76"/>
  <c r="AF53" i="76"/>
  <c r="AF58" i="76"/>
  <c r="AF63" i="76"/>
  <c r="AF67" i="76"/>
  <c r="AF77" i="76"/>
  <c r="AF89" i="76"/>
  <c r="AF94" i="76"/>
  <c r="AF57" i="76"/>
  <c r="AF66" i="76"/>
  <c r="AF71" i="76"/>
  <c r="AF76" i="76"/>
  <c r="AF81" i="76"/>
  <c r="AF93" i="76"/>
  <c r="AF88" i="76"/>
  <c r="AF92" i="76"/>
  <c r="AF84" i="76"/>
  <c r="AF79" i="76"/>
  <c r="AF62" i="76"/>
  <c r="AF52" i="76"/>
  <c r="T56" i="76"/>
  <c r="X56" i="76"/>
  <c r="X73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54" i="76"/>
  <c r="Z59" i="76"/>
  <c r="Z64" i="76"/>
  <c r="Z74" i="76"/>
  <c r="Z85" i="76"/>
  <c r="Z90" i="76"/>
  <c r="Z96" i="76"/>
  <c r="Z62" i="76"/>
  <c r="Z52" i="76"/>
  <c r="Z88" i="76"/>
  <c r="Z84" i="76"/>
  <c r="Z79" i="76"/>
  <c r="Z92" i="76"/>
  <c r="AB56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53" i="76"/>
  <c r="W58" i="76"/>
  <c r="W63" i="76"/>
  <c r="W67" i="76"/>
  <c r="W77" i="76"/>
  <c r="W89" i="76"/>
  <c r="W94" i="76"/>
  <c r="W84" i="76"/>
  <c r="W52" i="76"/>
  <c r="W88" i="76"/>
  <c r="W79" i="76"/>
  <c r="W62" i="76"/>
  <c r="W92" i="76"/>
  <c r="Z73" i="76"/>
  <c r="AF56" i="76"/>
  <c r="Z56" i="76"/>
  <c r="X69" i="76"/>
  <c r="V49" i="76"/>
  <c r="V82" i="76" s="1"/>
  <c r="S49" i="76"/>
  <c r="S82" i="76" s="1"/>
  <c r="Y49" i="76"/>
  <c r="Y82" i="76" s="1"/>
  <c r="Z69" i="76"/>
  <c r="Q49" i="76"/>
  <c r="AE69" i="76"/>
  <c r="R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87" i="78"/>
  <c r="BS88" i="78"/>
  <c r="BS84" i="78"/>
  <c r="BS92" i="78"/>
  <c r="BS94" i="78"/>
  <c r="BS98" i="78"/>
  <c r="BS106" i="78"/>
  <c r="BS82" i="78"/>
  <c r="BS91" i="78"/>
  <c r="BS86" i="78"/>
  <c r="BS103" i="78"/>
  <c r="BS97" i="78"/>
  <c r="BS117" i="78"/>
  <c r="BS99" i="78"/>
  <c r="BS95" i="78"/>
  <c r="BS93" i="78"/>
  <c r="BS104" i="78"/>
  <c r="BS101" i="78"/>
  <c r="BS83" i="78"/>
  <c r="BS80" i="78"/>
  <c r="BS102" i="78"/>
  <c r="BS89" i="78"/>
  <c r="BS96" i="78"/>
  <c r="BS105" i="78"/>
  <c r="BS85" i="78"/>
  <c r="BS100" i="78"/>
  <c r="BS90" i="78"/>
  <c r="F109" i="71"/>
  <c r="F146" i="71"/>
  <c r="N109" i="75" s="1"/>
  <c r="B109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Q38" i="21"/>
  <c r="B8" i="52"/>
  <c r="C146" i="71"/>
  <c r="C109" i="71"/>
  <c r="P8" i="52"/>
  <c r="N8" i="52"/>
  <c r="L8" i="52"/>
  <c r="K8" i="52"/>
  <c r="J8" i="52"/>
  <c r="H8" i="52"/>
  <c r="G8" i="52"/>
  <c r="AD69" i="76" l="1"/>
  <c r="AD82" i="76"/>
  <c r="Q69" i="76"/>
  <c r="Q82" i="76"/>
  <c r="I180" i="71"/>
  <c r="N7" i="75" s="1"/>
  <c r="CA107" i="78"/>
  <c r="BR107" i="78"/>
  <c r="CD6" i="78"/>
  <c r="CD99" i="78" s="1"/>
  <c r="BS43" i="78"/>
  <c r="CE107" i="78"/>
  <c r="BS107" i="78"/>
  <c r="BR109" i="78"/>
  <c r="BQ107" i="78"/>
  <c r="BS109" i="78"/>
  <c r="BZ1" i="78"/>
  <c r="Y53" i="76"/>
  <c r="Y58" i="76"/>
  <c r="Y63" i="76"/>
  <c r="Y67" i="76"/>
  <c r="Y77" i="76"/>
  <c r="Y89" i="76"/>
  <c r="Y94" i="76"/>
  <c r="Y57" i="76"/>
  <c r="Y66" i="76"/>
  <c r="Y71" i="76"/>
  <c r="Y76" i="76"/>
  <c r="Y60" i="76"/>
  <c r="Y65" i="76"/>
  <c r="Y70" i="76"/>
  <c r="Y75" i="76"/>
  <c r="Y80" i="76"/>
  <c r="Y86" i="76"/>
  <c r="Y64" i="76"/>
  <c r="Y54" i="76"/>
  <c r="Y59" i="76"/>
  <c r="Y74" i="76"/>
  <c r="Y85" i="76"/>
  <c r="Y81" i="76"/>
  <c r="Y93" i="76"/>
  <c r="Y90" i="76"/>
  <c r="Y96" i="76"/>
  <c r="Y79" i="76"/>
  <c r="Y92" i="76"/>
  <c r="Y52" i="76"/>
  <c r="Y62" i="76"/>
  <c r="Y84" i="76"/>
  <c r="Y88" i="76"/>
  <c r="Y56" i="76"/>
  <c r="Y73" i="76"/>
  <c r="S60" i="76"/>
  <c r="S65" i="76"/>
  <c r="S70" i="76"/>
  <c r="S75" i="76"/>
  <c r="S80" i="76"/>
  <c r="S86" i="76"/>
  <c r="S54" i="76"/>
  <c r="S59" i="76"/>
  <c r="S64" i="76"/>
  <c r="S74" i="76"/>
  <c r="S53" i="76"/>
  <c r="S58" i="76"/>
  <c r="S63" i="76"/>
  <c r="S67" i="76"/>
  <c r="S77" i="76"/>
  <c r="S89" i="76"/>
  <c r="S94" i="76"/>
  <c r="S81" i="76"/>
  <c r="S57" i="76"/>
  <c r="S66" i="76"/>
  <c r="S71" i="76"/>
  <c r="S96" i="76"/>
  <c r="S85" i="76"/>
  <c r="S90" i="76"/>
  <c r="S76" i="76"/>
  <c r="S93" i="76"/>
  <c r="S84" i="76"/>
  <c r="S79" i="76"/>
  <c r="S52" i="76"/>
  <c r="S88" i="76"/>
  <c r="S92" i="76"/>
  <c r="S62" i="76"/>
  <c r="S73" i="76"/>
  <c r="S56" i="76"/>
  <c r="S69" i="76"/>
  <c r="V57" i="76"/>
  <c r="V66" i="76"/>
  <c r="V71" i="76"/>
  <c r="V76" i="76"/>
  <c r="V81" i="76"/>
  <c r="V93" i="76"/>
  <c r="V60" i="76"/>
  <c r="V65" i="76"/>
  <c r="V70" i="76"/>
  <c r="V75" i="76"/>
  <c r="V54" i="76"/>
  <c r="V59" i="76"/>
  <c r="V64" i="76"/>
  <c r="V74" i="76"/>
  <c r="V85" i="76"/>
  <c r="V90" i="76"/>
  <c r="V96" i="76"/>
  <c r="V53" i="76"/>
  <c r="V77" i="76"/>
  <c r="V58" i="76"/>
  <c r="V63" i="76"/>
  <c r="V67" i="76"/>
  <c r="V89" i="76"/>
  <c r="V86" i="76"/>
  <c r="V80" i="76"/>
  <c r="V94" i="76"/>
  <c r="V88" i="76"/>
  <c r="V84" i="76"/>
  <c r="V62" i="76"/>
  <c r="V92" i="76"/>
  <c r="V79" i="76"/>
  <c r="V52" i="76"/>
  <c r="V56" i="76"/>
  <c r="V73" i="76"/>
  <c r="V69" i="76"/>
  <c r="AD64" i="76"/>
  <c r="AD74" i="76"/>
  <c r="AD54" i="76"/>
  <c r="AD59" i="76"/>
  <c r="AD77" i="76"/>
  <c r="AD53" i="76"/>
  <c r="AD58" i="76"/>
  <c r="AD63" i="76"/>
  <c r="AD67" i="76"/>
  <c r="AD57" i="76"/>
  <c r="AD66" i="76"/>
  <c r="AD71" i="76"/>
  <c r="AD76" i="76"/>
  <c r="AD81" i="76"/>
  <c r="AD93" i="76"/>
  <c r="AD60" i="76"/>
  <c r="AD65" i="76"/>
  <c r="AD94" i="76"/>
  <c r="AD70" i="76"/>
  <c r="AD89" i="76"/>
  <c r="AD96" i="76"/>
  <c r="AD86" i="76"/>
  <c r="AD75" i="76"/>
  <c r="AD80" i="76"/>
  <c r="AD90" i="76"/>
  <c r="AD85" i="76"/>
  <c r="AD79" i="76"/>
  <c r="AD84" i="76"/>
  <c r="AD92" i="76"/>
  <c r="AD62" i="76"/>
  <c r="AD52" i="76"/>
  <c r="AD88" i="76"/>
  <c r="AD73" i="76"/>
  <c r="AD5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0" i="76"/>
  <c r="Q65" i="76"/>
  <c r="Q70" i="76"/>
  <c r="Q75" i="76"/>
  <c r="Q80" i="76"/>
  <c r="Q86" i="76"/>
  <c r="Q56" i="76"/>
  <c r="Q84" i="76"/>
  <c r="Q52" i="76"/>
  <c r="Q92" i="76"/>
  <c r="Q62" i="76"/>
  <c r="Q79" i="76"/>
  <c r="Q88" i="76"/>
  <c r="Q73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60" i="76"/>
  <c r="AC65" i="76"/>
  <c r="AC70" i="76"/>
  <c r="AC75" i="76"/>
  <c r="AC80" i="76"/>
  <c r="AC86" i="76"/>
  <c r="AC84" i="76"/>
  <c r="AC92" i="76"/>
  <c r="AC88" i="76"/>
  <c r="AC62" i="76"/>
  <c r="AC79" i="76"/>
  <c r="AC52" i="76"/>
  <c r="AC73" i="76"/>
  <c r="AC56" i="76"/>
  <c r="Y69" i="76"/>
  <c r="AC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91" i="78" l="1"/>
  <c r="CD83" i="78"/>
  <c r="CD84" i="78"/>
  <c r="CD87" i="78"/>
  <c r="CD85" i="78"/>
  <c r="CD109" i="78"/>
  <c r="CD90" i="78"/>
  <c r="CD97" i="78"/>
  <c r="CD105" i="78"/>
  <c r="CD117" i="78"/>
  <c r="CD94" i="78"/>
  <c r="CD98" i="78"/>
  <c r="CD93" i="78"/>
  <c r="CD86" i="78"/>
  <c r="CD82" i="78"/>
  <c r="CD96" i="78"/>
  <c r="CD95" i="78"/>
  <c r="CD89" i="78"/>
  <c r="CD88" i="78"/>
  <c r="CD101" i="78"/>
  <c r="CD106" i="78"/>
  <c r="CD107" i="78"/>
  <c r="CL107" i="78"/>
  <c r="CD92" i="78"/>
  <c r="CD102" i="78"/>
  <c r="CD104" i="78"/>
  <c r="CD80" i="78"/>
  <c r="CD103" i="78"/>
  <c r="CD100" i="78"/>
  <c r="CP43" i="78"/>
  <c r="CP107" i="78"/>
  <c r="CC80" i="78"/>
  <c r="CB107" i="78"/>
  <c r="CC107" i="78"/>
  <c r="CO6" i="78"/>
  <c r="CO83" i="78" s="1"/>
  <c r="CD43" i="78"/>
  <c r="CE117" i="78"/>
  <c r="CB87" i="78"/>
  <c r="CK1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O94" i="78" l="1"/>
  <c r="CO97" i="78"/>
  <c r="CO106" i="78"/>
  <c r="CO85" i="78"/>
  <c r="CO98" i="78"/>
  <c r="CO104" i="78"/>
  <c r="CO103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91" i="78"/>
  <c r="CO87" i="78"/>
  <c r="CO95" i="78"/>
  <c r="CO117" i="78"/>
  <c r="CO109" i="78"/>
  <c r="CN107" i="78"/>
  <c r="CO43" i="78"/>
  <c r="CP117" i="78"/>
  <c r="CM107" i="78"/>
  <c r="CO107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H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35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35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N28" i="80"/>
  <c r="O28" i="80" s="1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H46" i="16" l="1"/>
  <c r="A479" i="76"/>
  <c r="L1" i="16"/>
  <c r="A1" i="16"/>
  <c r="B46" i="16"/>
  <c r="H80" i="16"/>
  <c r="M51" i="75" s="1"/>
  <c r="L39" i="16"/>
  <c r="I46" i="16"/>
  <c r="M152" i="75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A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50" i="75" l="1"/>
  <c r="P4" i="31"/>
  <c r="A1" i="31" s="1"/>
  <c r="P35" i="31"/>
  <c r="A34" i="31" s="1"/>
  <c r="BZ109" i="78"/>
  <c r="BZ72" i="78"/>
  <c r="BZ146" i="78"/>
  <c r="H42" i="16"/>
  <c r="H22" i="16"/>
  <c r="E65" i="16" l="1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E18" i="16"/>
  <c r="C18" i="16"/>
  <c r="Q40" i="80"/>
  <c r="E40" i="80"/>
  <c r="B41" i="80"/>
  <c r="B40" i="80"/>
  <c r="M163" i="75" l="1"/>
  <c r="H36" i="16"/>
  <c r="H27" i="11"/>
  <c r="J27" i="11"/>
  <c r="I27" i="11"/>
  <c r="AB14" i="106"/>
  <c r="Y14" i="106"/>
  <c r="C51" i="18"/>
  <c r="I60" i="18" s="1"/>
  <c r="X14" i="106"/>
  <c r="AC14" i="106"/>
  <c r="AA14" i="106"/>
  <c r="E51" i="18"/>
  <c r="K61" i="18" s="1"/>
  <c r="Z14" i="106"/>
  <c r="F52" i="11"/>
  <c r="F41" i="11"/>
  <c r="D33" i="16"/>
  <c r="H56" i="16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1" i="18" l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F80" i="49" s="1"/>
  <c r="D74" i="49"/>
  <c r="D75" i="49"/>
  <c r="D69" i="49"/>
  <c r="D58" i="49"/>
  <c r="D59" i="49"/>
  <c r="D54" i="49"/>
  <c r="D55" i="49"/>
  <c r="D51" i="49"/>
  <c r="F51" i="49" s="1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C33" i="49" l="1"/>
  <c r="D25" i="49"/>
  <c r="D26" i="49"/>
  <c r="D30" i="49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34" i="16" l="1"/>
  <c r="W54" i="16"/>
  <c r="W72" i="16"/>
  <c r="L54" i="16"/>
  <c r="W34" i="16"/>
  <c r="L72" i="16"/>
  <c r="L50" i="16"/>
  <c r="W30" i="16"/>
  <c r="L68" i="16"/>
  <c r="L30" i="16"/>
  <c r="W50" i="16"/>
  <c r="W68" i="16"/>
  <c r="W46" i="16"/>
  <c r="L46" i="16"/>
  <c r="W26" i="16"/>
  <c r="W64" i="16"/>
  <c r="L64" i="16"/>
  <c r="L26" i="16"/>
  <c r="L33" i="16"/>
  <c r="L71" i="16"/>
  <c r="W53" i="16"/>
  <c r="W71" i="16"/>
  <c r="L53" i="16"/>
  <c r="W33" i="16"/>
  <c r="L70" i="16"/>
  <c r="L32" i="16"/>
  <c r="W32" i="16"/>
  <c r="W52" i="16"/>
  <c r="W70" i="16"/>
  <c r="L52" i="16"/>
  <c r="W31" i="16"/>
  <c r="L69" i="16"/>
  <c r="L31" i="16"/>
  <c r="L51" i="16"/>
  <c r="W69" i="16"/>
  <c r="W51" i="16"/>
  <c r="W67" i="16"/>
  <c r="L49" i="16"/>
  <c r="W29" i="16"/>
  <c r="L67" i="16"/>
  <c r="L29" i="16"/>
  <c r="W49" i="16"/>
  <c r="W66" i="16"/>
  <c r="L48" i="16"/>
  <c r="L66" i="16"/>
  <c r="W28" i="16"/>
  <c r="L28" i="16"/>
  <c r="W48" i="16"/>
  <c r="W47" i="16"/>
  <c r="W65" i="16"/>
  <c r="L47" i="16"/>
  <c r="W27" i="16"/>
  <c r="L65" i="16"/>
  <c r="L27" i="16"/>
  <c r="A51" i="18"/>
  <c r="W56" i="16"/>
  <c r="W74" i="16"/>
  <c r="L56" i="16"/>
  <c r="W36" i="16"/>
  <c r="L74" i="16"/>
  <c r="L36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23" i="76" l="1"/>
  <c r="L70" i="76"/>
  <c r="L49" i="76"/>
  <c r="L96" i="76"/>
  <c r="L23" i="75"/>
  <c r="A87" i="18"/>
  <c r="A96" i="18"/>
  <c r="L18" i="75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9" i="79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109" i="78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339" i="76" l="1"/>
  <c r="A199" i="76"/>
  <c r="A1" i="76"/>
  <c r="A164" i="76"/>
  <c r="A234" i="76"/>
  <c r="A118" i="76"/>
  <c r="A444" i="76"/>
  <c r="A374" i="76"/>
  <c r="A409" i="76"/>
  <c r="A59" i="76"/>
  <c r="A304" i="76"/>
  <c r="A269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B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72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72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X94" i="60" s="1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DD58" i="60"/>
  <c r="DJ58" i="60" s="1"/>
  <c r="DP58" i="60" s="1"/>
  <c r="CX58" i="60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X77" i="60" l="1"/>
  <c r="CR77" i="60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F50" i="49" s="1"/>
  <c r="D52" i="49"/>
  <c r="D53" i="49"/>
  <c r="D56" i="49"/>
  <c r="D57" i="49"/>
  <c r="D60" i="49"/>
  <c r="F60" i="49" s="1"/>
  <c r="C93" i="49"/>
  <c r="C180" i="49" s="1"/>
  <c r="C267" i="49" s="1"/>
  <c r="D93" i="49"/>
  <c r="D180" i="49" s="1"/>
  <c r="D267" i="49" s="1"/>
  <c r="E93" i="49"/>
  <c r="E180" i="49" s="1"/>
  <c r="E267" i="49" s="1"/>
  <c r="F93" i="49"/>
  <c r="F180" i="49" s="1"/>
  <c r="F267" i="49" s="1"/>
  <c r="B93" i="49"/>
  <c r="B180" i="49" s="1"/>
  <c r="B267" i="49" s="1"/>
  <c r="C64" i="49"/>
  <c r="C151" i="49" s="1"/>
  <c r="C238" i="49" s="1"/>
  <c r="D64" i="49"/>
  <c r="D151" i="49" s="1"/>
  <c r="D238" i="49" s="1"/>
  <c r="E64" i="49"/>
  <c r="E151" i="49" s="1"/>
  <c r="E238" i="49" s="1"/>
  <c r="F64" i="49"/>
  <c r="F151" i="49" s="1"/>
  <c r="F238" i="49" s="1"/>
  <c r="B64" i="49"/>
  <c r="B151" i="49" s="1"/>
  <c r="B238" i="49" s="1"/>
  <c r="C35" i="49"/>
  <c r="D35" i="49"/>
  <c r="E35" i="49"/>
  <c r="F35" i="49"/>
  <c r="B35" i="49"/>
  <c r="A33" i="49"/>
  <c r="L41" i="49" l="1" a="1"/>
  <c r="L42" i="49" s="1"/>
  <c r="L19" i="49" a="1"/>
  <c r="L30" i="49" a="1"/>
  <c r="D7" i="49"/>
  <c r="D91" i="49"/>
  <c r="D62" i="49"/>
  <c r="D120" i="49"/>
  <c r="F122" i="49"/>
  <c r="F209" i="49" s="1"/>
  <c r="U35" i="49"/>
  <c r="D122" i="49"/>
  <c r="D209" i="49" s="1"/>
  <c r="S35" i="49"/>
  <c r="E122" i="49"/>
  <c r="E209" i="49" s="1"/>
  <c r="T35" i="49"/>
  <c r="D13" i="49"/>
  <c r="D12" i="49"/>
  <c r="D31" i="49"/>
  <c r="C122" i="49"/>
  <c r="C209" i="49" s="1"/>
  <c r="R35" i="49"/>
  <c r="B122" i="49"/>
  <c r="B209" i="49" s="1"/>
  <c r="Q35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36" i="49"/>
  <c r="N19" i="49" l="1" a="1"/>
  <c r="N27" i="49" s="1"/>
  <c r="N30" i="49" a="1"/>
  <c r="N37" i="49" s="1"/>
  <c r="L46" i="49"/>
  <c r="L43" i="49"/>
  <c r="N41" i="49" a="1"/>
  <c r="N49" i="49" s="1"/>
  <c r="L44" i="49"/>
  <c r="L47" i="49"/>
  <c r="L41" i="49"/>
  <c r="L49" i="49"/>
  <c r="L48" i="49"/>
  <c r="L45" i="49"/>
  <c r="L8" i="49" a="1"/>
  <c r="L30" i="49"/>
  <c r="L35" i="49"/>
  <c r="L37" i="49"/>
  <c r="L33" i="49"/>
  <c r="L34" i="49"/>
  <c r="L32" i="49"/>
  <c r="L31" i="49"/>
  <c r="L38" i="49"/>
  <c r="L36" i="49"/>
  <c r="L19" i="49"/>
  <c r="L26" i="49"/>
  <c r="L20" i="49"/>
  <c r="L27" i="49"/>
  <c r="L25" i="49"/>
  <c r="L24" i="49"/>
  <c r="L23" i="49"/>
  <c r="L22" i="49"/>
  <c r="L21" i="49"/>
  <c r="F91" i="49"/>
  <c r="F120" i="49"/>
  <c r="F62" i="49"/>
  <c r="D33" i="49"/>
  <c r="F9" i="49"/>
  <c r="F10" i="49"/>
  <c r="F18" i="49"/>
  <c r="F13" i="49"/>
  <c r="F19" i="49"/>
  <c r="F24" i="49"/>
  <c r="F14" i="49"/>
  <c r="F21" i="49"/>
  <c r="F31" i="49"/>
  <c r="F20" i="49"/>
  <c r="F8" i="49"/>
  <c r="F23" i="49"/>
  <c r="F27" i="49"/>
  <c r="F15" i="49"/>
  <c r="F7" i="49"/>
  <c r="F28" i="49"/>
  <c r="F12" i="49"/>
  <c r="N19" i="49" l="1"/>
  <c r="N20" i="49"/>
  <c r="N21" i="49"/>
  <c r="N45" i="49"/>
  <c r="N38" i="49"/>
  <c r="N26" i="49"/>
  <c r="N24" i="49"/>
  <c r="N22" i="49"/>
  <c r="N30" i="49"/>
  <c r="N33" i="49"/>
  <c r="N31" i="49"/>
  <c r="N34" i="49"/>
  <c r="N23" i="49"/>
  <c r="N36" i="49"/>
  <c r="N32" i="49"/>
  <c r="N25" i="49"/>
  <c r="N35" i="49"/>
  <c r="N48" i="49"/>
  <c r="N42" i="49"/>
  <c r="N47" i="49"/>
  <c r="N43" i="49"/>
  <c r="N44" i="49"/>
  <c r="N41" i="49"/>
  <c r="N46" i="49"/>
  <c r="L8" i="49"/>
  <c r="L15" i="49"/>
  <c r="L16" i="49"/>
  <c r="L13" i="49"/>
  <c r="L14" i="49"/>
  <c r="L12" i="49"/>
  <c r="L11" i="49"/>
  <c r="L10" i="49"/>
  <c r="L9" i="49"/>
  <c r="N8" i="49" a="1"/>
  <c r="F33" i="49"/>
  <c r="N8" i="49" l="1"/>
  <c r="N15" i="49"/>
  <c r="N10" i="49"/>
  <c r="N9" i="49"/>
  <c r="N11" i="49"/>
  <c r="N14" i="49"/>
  <c r="N16" i="49"/>
  <c r="N13" i="49"/>
  <c r="N12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R38" i="21"/>
  <c r="S38" i="21"/>
  <c r="T38" i="21"/>
  <c r="U38" i="21"/>
  <c r="V38" i="21"/>
  <c r="W38" i="21"/>
  <c r="X38" i="21"/>
  <c r="Y38" i="21"/>
  <c r="Z38" i="21"/>
  <c r="AA38" i="21"/>
  <c r="AB38" i="21"/>
  <c r="AC38" i="21"/>
  <c r="AE38" i="21"/>
  <c r="AF38" i="21"/>
  <c r="AG38" i="2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M2" i="51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43" i="18"/>
  <c r="B39" i="18"/>
  <c r="B34" i="18"/>
  <c r="H89" i="18" s="1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D37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N233" i="21" s="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7" i="76"/>
  <c r="K7" i="15"/>
  <c r="L7" i="15"/>
  <c r="A51" i="51"/>
  <c r="L9" i="15"/>
  <c r="E3" i="44"/>
  <c r="D89" i="18"/>
  <c r="C89" i="18"/>
  <c r="F3" i="44"/>
  <c r="F10" i="44" s="1"/>
  <c r="E89" i="18"/>
  <c r="F89" i="18"/>
  <c r="B89" i="18"/>
  <c r="B59" i="18"/>
  <c r="L41" i="76"/>
  <c r="L88" i="76"/>
  <c r="A1" i="51"/>
  <c r="L37" i="76"/>
  <c r="L84" i="76"/>
  <c r="L32" i="76"/>
  <c r="L79" i="76"/>
  <c r="L26" i="76"/>
  <c r="L73" i="76"/>
  <c r="L22" i="76"/>
  <c r="L69" i="76"/>
  <c r="L15" i="76"/>
  <c r="L62" i="76"/>
  <c r="L45" i="76"/>
  <c r="L92" i="76"/>
  <c r="L9" i="76"/>
  <c r="L56" i="76"/>
  <c r="N230" i="21"/>
  <c r="H17" i="11"/>
  <c r="C118" i="15"/>
  <c r="N11" i="19" s="1"/>
  <c r="C113" i="15"/>
  <c r="N16" i="19" s="1"/>
  <c r="C109" i="15"/>
  <c r="N20" i="19" s="1"/>
  <c r="C104" i="15"/>
  <c r="N25" i="19" s="1"/>
  <c r="C98" i="15"/>
  <c r="N31" i="19" s="1"/>
  <c r="C93" i="15"/>
  <c r="N36" i="19" s="1"/>
  <c r="C89" i="15"/>
  <c r="N40" i="19" s="1"/>
  <c r="C122" i="15"/>
  <c r="N7" i="19" s="1"/>
  <c r="C117" i="15"/>
  <c r="N12" i="19" s="1"/>
  <c r="C112" i="15"/>
  <c r="N17" i="19" s="1"/>
  <c r="C108" i="15"/>
  <c r="N21" i="19" s="1"/>
  <c r="C103" i="15"/>
  <c r="N26" i="19" s="1"/>
  <c r="C97" i="15"/>
  <c r="N32" i="19" s="1"/>
  <c r="C92" i="15"/>
  <c r="N37" i="19" s="1"/>
  <c r="C114" i="15"/>
  <c r="N15" i="19" s="1"/>
  <c r="C105" i="15"/>
  <c r="N24" i="19" s="1"/>
  <c r="C95" i="15"/>
  <c r="N34" i="19" s="1"/>
  <c r="C120" i="15"/>
  <c r="N9" i="19" s="1"/>
  <c r="C115" i="15"/>
  <c r="N14" i="19" s="1"/>
  <c r="C111" i="15"/>
  <c r="N18" i="19" s="1"/>
  <c r="C107" i="15"/>
  <c r="N22" i="19" s="1"/>
  <c r="C102" i="15"/>
  <c r="N27" i="19" s="1"/>
  <c r="C96" i="15"/>
  <c r="N33" i="19" s="1"/>
  <c r="C91" i="15"/>
  <c r="N38" i="19" s="1"/>
  <c r="C119" i="15"/>
  <c r="N10" i="19" s="1"/>
  <c r="C110" i="15"/>
  <c r="N19" i="19" s="1"/>
  <c r="C100" i="15"/>
  <c r="N29" i="19" s="1"/>
  <c r="C90" i="15"/>
  <c r="N39" i="19" s="1"/>
  <c r="C3" i="44"/>
  <c r="L15" i="15"/>
  <c r="B3" i="44"/>
  <c r="F12" i="44"/>
  <c r="F11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59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A53" i="18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4" i="18"/>
  <c r="H96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E46" i="44" l="1"/>
  <c r="B5" i="44"/>
  <c r="B7" i="44"/>
  <c r="B9" i="44"/>
  <c r="B11" i="44"/>
  <c r="B13" i="44"/>
  <c r="B10" i="44"/>
  <c r="B12" i="44"/>
  <c r="B6" i="44"/>
  <c r="B8" i="44"/>
  <c r="E7" i="44"/>
  <c r="E9" i="44"/>
  <c r="E11" i="44"/>
  <c r="E13" i="44"/>
  <c r="E5" i="44"/>
  <c r="E8" i="44"/>
  <c r="E10" i="44"/>
  <c r="E38" i="44" s="1"/>
  <c r="E12" i="44"/>
  <c r="E54" i="44" s="1"/>
  <c r="E6" i="44"/>
  <c r="C7" i="44"/>
  <c r="C9" i="44"/>
  <c r="C11" i="44"/>
  <c r="C13" i="44"/>
  <c r="C5" i="44"/>
  <c r="C6" i="44"/>
  <c r="C8" i="44"/>
  <c r="C10" i="44"/>
  <c r="C12" i="44"/>
  <c r="D7" i="44"/>
  <c r="D9" i="44"/>
  <c r="D11" i="44"/>
  <c r="D13" i="44"/>
  <c r="D5" i="44"/>
  <c r="D8" i="44"/>
  <c r="D10" i="44"/>
  <c r="F52" i="44" s="1"/>
  <c r="D12" i="44"/>
  <c r="F40" i="44" s="1"/>
  <c r="D6" i="44"/>
  <c r="F5" i="44"/>
  <c r="E33" i="44" s="1"/>
  <c r="F13" i="44"/>
  <c r="F6" i="44"/>
  <c r="A1" i="44"/>
  <c r="F7" i="44"/>
  <c r="F8" i="44"/>
  <c r="F18" i="44"/>
  <c r="F9" i="44"/>
  <c r="E32" i="44"/>
  <c r="E18" i="44"/>
  <c r="C18" i="44"/>
  <c r="C32" i="44"/>
  <c r="B18" i="44"/>
  <c r="L234" i="21"/>
  <c r="L264" i="21" s="1"/>
  <c r="L235" i="21"/>
  <c r="L265" i="21" s="1"/>
  <c r="L233" i="21"/>
  <c r="L263" i="21" s="1"/>
  <c r="L232" i="21"/>
  <c r="L262" i="21" s="1"/>
  <c r="L236" i="21"/>
  <c r="L266" i="21" s="1"/>
  <c r="L231" i="21"/>
  <c r="L261" i="21" s="1"/>
  <c r="B32" i="44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E55" i="44" l="1"/>
  <c r="E50" i="44"/>
  <c r="F33" i="44"/>
  <c r="E49" i="44"/>
  <c r="E40" i="44"/>
  <c r="E52" i="44"/>
  <c r="E36" i="44"/>
  <c r="D48" i="44"/>
  <c r="E35" i="44"/>
  <c r="E51" i="44"/>
  <c r="F50" i="44"/>
  <c r="F49" i="44"/>
  <c r="E48" i="44"/>
  <c r="E47" i="44"/>
  <c r="E34" i="44"/>
  <c r="E15" i="44"/>
  <c r="E24" i="44" s="1"/>
  <c r="E39" i="44"/>
  <c r="E41" i="44"/>
  <c r="E53" i="44"/>
  <c r="D53" i="44"/>
  <c r="F15" i="44"/>
  <c r="F19" i="44" s="1"/>
  <c r="E37" i="44"/>
  <c r="B41" i="44"/>
  <c r="B52" i="44"/>
  <c r="B47" i="44"/>
  <c r="B35" i="44"/>
  <c r="B40" i="44"/>
  <c r="B33" i="44"/>
  <c r="B34" i="44"/>
  <c r="B38" i="44"/>
  <c r="B36" i="44"/>
  <c r="B54" i="44"/>
  <c r="B50" i="44"/>
  <c r="B15" i="44"/>
  <c r="B21" i="44" s="1"/>
  <c r="B48" i="44"/>
  <c r="B53" i="44"/>
  <c r="B39" i="44"/>
  <c r="B55" i="44"/>
  <c r="C41" i="44"/>
  <c r="B37" i="44"/>
  <c r="B51" i="44"/>
  <c r="C15" i="44"/>
  <c r="C20" i="44" s="1"/>
  <c r="B49" i="44"/>
  <c r="C37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E20" i="44" l="1"/>
  <c r="E21" i="44"/>
  <c r="E26" i="44"/>
  <c r="E22" i="44"/>
  <c r="F24" i="44"/>
  <c r="E19" i="44"/>
  <c r="E27" i="44"/>
  <c r="E23" i="44"/>
  <c r="F20" i="44"/>
  <c r="F23" i="44"/>
  <c r="F29" i="44"/>
  <c r="E25" i="44"/>
  <c r="F26" i="44"/>
  <c r="E43" i="44"/>
  <c r="E29" i="44"/>
  <c r="E57" i="44"/>
  <c r="F22" i="44"/>
  <c r="F25" i="44"/>
  <c r="F27" i="44"/>
  <c r="F21" i="44"/>
  <c r="B25" i="44"/>
  <c r="B24" i="44"/>
  <c r="C24" i="44"/>
  <c r="B22" i="44"/>
  <c r="B26" i="44"/>
  <c r="B19" i="44"/>
  <c r="B29" i="44"/>
  <c r="B27" i="44"/>
  <c r="B20" i="44"/>
  <c r="B23" i="44"/>
  <c r="C27" i="44"/>
  <c r="C26" i="44"/>
  <c r="C25" i="44"/>
  <c r="C21" i="44"/>
  <c r="B43" i="44"/>
  <c r="C29" i="44"/>
  <c r="B57" i="44"/>
  <c r="C23" i="44"/>
  <c r="C19" i="44"/>
  <c r="C22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72" i="78"/>
  <c r="U109" i="78" s="1"/>
  <c r="J21" i="71"/>
  <c r="J14" i="71"/>
  <c r="J29" i="71"/>
  <c r="J22" i="71"/>
  <c r="J20" i="71"/>
  <c r="J10" i="71"/>
  <c r="J25" i="71"/>
  <c r="J13" i="71"/>
  <c r="J15" i="71"/>
  <c r="J35" i="71" l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72" i="71" l="1"/>
  <c r="Q64" i="31"/>
  <c r="J109" i="71"/>
  <c r="I47" i="16" l="1"/>
  <c r="I50" i="16"/>
  <c r="I52" i="16"/>
  <c r="I49" i="16"/>
  <c r="I54" i="16"/>
  <c r="C85" i="60"/>
  <c r="I85" i="60" s="1"/>
  <c r="O85" i="60" s="1"/>
  <c r="U85" i="60" s="1"/>
  <c r="J8" i="16" l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J26" i="16" l="1"/>
  <c r="J46" i="16" s="1"/>
  <c r="I56" i="16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9" i="15"/>
  <c r="M10" i="19" s="1"/>
  <c r="B93" i="15"/>
  <c r="M36" i="19" s="1"/>
  <c r="B114" i="15"/>
  <c r="M15" i="19" s="1"/>
  <c r="B110" i="15"/>
  <c r="M19" i="19" s="1"/>
  <c r="B105" i="15"/>
  <c r="M24" i="19" s="1"/>
  <c r="B112" i="15"/>
  <c r="M17" i="19" s="1"/>
  <c r="B108" i="15"/>
  <c r="M21" i="19" s="1"/>
  <c r="B103" i="15"/>
  <c r="M26" i="19" s="1"/>
  <c r="B113" i="15"/>
  <c r="M16" i="19" s="1"/>
  <c r="B118" i="15"/>
  <c r="M11" i="19" s="1"/>
  <c r="B109" i="15"/>
  <c r="M20" i="19" s="1"/>
  <c r="B120" i="15"/>
  <c r="M9" i="19" s="1"/>
  <c r="B104" i="15"/>
  <c r="M25" i="19" s="1"/>
  <c r="B115" i="15"/>
  <c r="M14" i="19" s="1"/>
  <c r="B111" i="15"/>
  <c r="M18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77" i="12"/>
  <c r="B104" i="12"/>
  <c r="B100" i="12"/>
  <c r="B73" i="12"/>
  <c r="B97" i="12"/>
  <c r="B70" i="12"/>
  <c r="B95" i="12"/>
  <c r="B68" i="12"/>
  <c r="B10" i="15"/>
  <c r="B92" i="15" s="1"/>
  <c r="M37" i="19" s="1"/>
  <c r="B101" i="12"/>
  <c r="B74" i="12"/>
  <c r="B90" i="12"/>
  <c r="B8" i="15"/>
  <c r="B90" i="15" s="1"/>
  <c r="M39" i="19" s="1"/>
  <c r="B9" i="15"/>
  <c r="B91" i="15" s="1"/>
  <c r="M38" i="19" s="1"/>
  <c r="B91" i="12"/>
  <c r="B64" i="12"/>
  <c r="B20" i="15"/>
  <c r="B102" i="15" s="1"/>
  <c r="M27" i="19" s="1"/>
  <c r="M8" i="11"/>
  <c r="B48" i="11"/>
  <c r="B78" i="12"/>
  <c r="B105" i="12"/>
  <c r="M5" i="11"/>
  <c r="B45" i="11"/>
  <c r="B14" i="11"/>
  <c r="N268" i="21" s="1"/>
  <c r="B7" i="15"/>
  <c r="B89" i="15" s="1"/>
  <c r="B99" i="12"/>
  <c r="B72" i="12"/>
  <c r="B49" i="11"/>
  <c r="B25" i="15"/>
  <c r="B107" i="15" s="1"/>
  <c r="M22" i="19" s="1"/>
  <c r="M9" i="11"/>
  <c r="B76" i="12"/>
  <c r="B103" i="12"/>
  <c r="B96" i="12"/>
  <c r="B69" i="12"/>
  <c r="B98" i="12"/>
  <c r="B71" i="12"/>
  <c r="B102" i="12"/>
  <c r="B75" i="12"/>
  <c r="B65" i="12"/>
  <c r="B92" i="12"/>
  <c r="B14" i="15"/>
  <c r="B96" i="15" s="1"/>
  <c r="M33" i="19" s="1"/>
  <c r="H54" i="15" l="1"/>
  <c r="M40" i="19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B52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B50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<sst xmlns="http://schemas.openxmlformats.org/spreadsheetml/2006/main" count="3243" uniqueCount="547">
  <si>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</si>
  <si>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</si>
  <si>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</si>
  <si>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</si>
  <si>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</si>
  <si>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</si>
  <si>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</si>
  <si>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</si>
  <si>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</si>
  <si>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</si>
  <si>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</si>
  <si>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</si>
  <si>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</si>
  <si>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</si>
  <si>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</si>
  <si>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</si>
  <si>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</si>
  <si>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</si>
  <si>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</si>
  <si>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</si>
  <si>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</si>
  <si>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</si>
  <si>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</si>
  <si>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</si>
  <si>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</si>
  <si>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</si>
  <si>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</si>
  <si>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</si>
  <si>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</si>
  <si>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</si>
  <si>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</si>
  <si>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</si>
  <si>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</si>
  <si>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</si>
  <si>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</si>
  <si>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</si>
  <si>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% per annum</t>
  </si>
  <si>
    <t>All qualifications</t>
  </si>
  <si>
    <t>Qualification</t>
  </si>
  <si>
    <t>Total Requirement</t>
  </si>
  <si>
    <t>Net Change</t>
  </si>
  <si>
    <t>Growth % per annum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</si>
  <si>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</si>
  <si>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</si>
  <si>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</si>
  <si>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</si>
  <si>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</si>
  <si>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</si>
  <si>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</si>
  <si>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</si>
  <si>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</si>
  <si>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</si>
  <si>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</si>
  <si>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</si>
  <si>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</si>
  <si>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</si>
  <si>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</si>
  <si>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</si>
  <si>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</si>
  <si>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</si>
  <si>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</si>
  <si>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</si>
  <si>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</si>
  <si>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</si>
  <si>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</si>
  <si>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</si>
  <si>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</si>
  <si>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</si>
  <si>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</si>
  <si>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</si>
  <si>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</si>
  <si>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</si>
  <si>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</si>
  <si>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</si>
  <si>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</si>
  <si>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</si>
  <si>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</si>
  <si>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</si>
  <si>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</si>
  <si>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</si>
  <si>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</si>
  <si>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</si>
  <si>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</si>
  <si>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</si>
  <si>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</si>
  <si>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</si>
  <si>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</si>
  <si>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</si>
  <si>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</si>
  <si>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</si>
  <si>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</si>
  <si>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</si>
  <si>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</si>
  <si>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</si>
  <si>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</si>
  <si>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</si>
  <si>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</si>
  <si>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</si>
  <si>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</si>
  <si>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</si>
  <si>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</si>
  <si>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</si>
  <si>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</si>
  <si>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</si>
  <si>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</si>
  <si>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</si>
  <si>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</si>
  <si>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</si>
  <si>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</si>
  <si>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</si>
  <si>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</si>
  <si>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</si>
  <si>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</si>
  <si>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</si>
  <si>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</si>
  <si>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</si>
  <si>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</si>
  <si>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</si>
  <si>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</si>
  <si>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</si>
  <si>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</si>
  <si>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</si>
  <si>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</si>
  <si>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</si>
  <si>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</si>
  <si>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</si>
  <si>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</si>
  <si>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</si>
  <si>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</si>
  <si>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</si>
  <si>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</si>
  <si>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</si>
  <si>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</si>
  <si>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</si>
  <si>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</si>
  <si>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</si>
  <si>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</si>
  <si>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</si>
  <si>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</si>
  <si>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</si>
  <si>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</si>
  <si>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</si>
  <si>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</si>
  <si>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</si>
  <si>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</si>
  <si>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</si>
  <si>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</si>
  <si>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</si>
  <si>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</si>
  <si>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</si>
  <si>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</si>
  <si>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</si>
  <si>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</si>
  <si>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</si>
  <si>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</si>
  <si>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</si>
  <si>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</si>
  <si>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</si>
  <si>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</si>
  <si>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</si>
  <si>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</si>
  <si>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</si>
  <si>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</si>
  <si>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</si>
  <si>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</si>
  <si>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</si>
  <si>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</si>
  <si>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</si>
  <si>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</si>
  <si>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</si>
  <si>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</si>
  <si>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</si>
  <si>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</si>
  <si>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</si>
  <si>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</si>
  <si>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</si>
  <si>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</si>
  <si>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</si>
  <si>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</si>
  <si>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</si>
  <si>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</si>
  <si>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</si>
  <si>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</si>
  <si>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</si>
  <si>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</si>
  <si>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</si>
  <si>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</si>
  <si>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</si>
  <si>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</si>
  <si>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</si>
  <si>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</si>
  <si>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</si>
  <si>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</si>
  <si>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</si>
  <si>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</si>
  <si>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</si>
  <si>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</si>
  <si>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</si>
  <si>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</si>
  <si>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</si>
  <si>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</si>
  <si>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</si>
  <si>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</si>
  <si>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</si>
  <si>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</si>
  <si>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</si>
  <si>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</si>
  <si>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</si>
  <si>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</si>
  <si>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</si>
  <si>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</si>
  <si>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</si>
  <si>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</si>
  <si>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</si>
  <si>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</si>
  <si>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</si>
  <si>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</si>
  <si>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</si>
  <si>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</si>
  <si>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</si>
  <si>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</si>
  <si>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</si>
  <si>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</si>
  <si>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</si>
  <si>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</si>
  <si>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</si>
  <si>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</si>
  <si>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</si>
  <si>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</si>
  <si>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</si>
  <si>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</si>
  <si>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</si>
  <si>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</si>
  <si>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</si>
  <si>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</si>
  <si>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</si>
  <si>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</si>
  <si>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</si>
  <si>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</si>
  <si>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</si>
  <si>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</si>
  <si>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</si>
  <si>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</si>
  <si>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</si>
  <si>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</si>
  <si>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</si>
  <si>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</si>
  <si>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</si>
  <si>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</si>
  <si>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</si>
  <si>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</si>
  <si>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</si>
  <si>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</si>
  <si>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</si>
  <si>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</si>
  <si>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</si>
  <si>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</si>
  <si>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</si>
  <si>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</si>
  <si>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</si>
  <si>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</si>
  <si>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</si>
  <si>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</si>
  <si>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</si>
  <si>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</si>
  <si>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</si>
  <si>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</si>
  <si>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</si>
  <si>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</si>
  <si>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</si>
  <si>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</si>
  <si>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</si>
  <si>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</si>
  <si>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</si>
  <si>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</si>
  <si>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</si>
  <si>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</si>
  <si>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</si>
  <si>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</si>
  <si>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</si>
  <si>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</si>
  <si>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</si>
  <si>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</si>
  <si>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</si>
  <si>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</si>
  <si>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</si>
  <si>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</si>
  <si>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</si>
  <si>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</si>
  <si>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</si>
  <si>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</si>
  <si>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</si>
  <si>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</si>
  <si>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</si>
  <si>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</si>
  <si>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</si>
  <si>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</si>
  <si>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</si>
  <si>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</si>
  <si>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</si>
  <si>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</si>
  <si>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</si>
  <si>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</si>
  <si>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</si>
  <si>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</si>
  <si>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</si>
  <si>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</si>
  <si>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</si>
  <si>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</si>
  <si>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</si>
  <si>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</si>
  <si>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</si>
  <si>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</si>
  <si>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</si>
  <si>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</si>
  <si>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</si>
  <si>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</si>
  <si>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</si>
  <si>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</si>
  <si>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</si>
  <si>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</si>
  <si>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</si>
  <si>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</si>
  <si>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</si>
  <si>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</si>
  <si>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</si>
  <si>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</si>
  <si>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</si>
  <si>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</si>
  <si>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</si>
  <si>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</si>
  <si>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</si>
  <si>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</si>
  <si>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</si>
  <si>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</si>
  <si>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</si>
  <si>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</si>
  <si>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</si>
  <si>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</si>
  <si>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</si>
  <si>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</si>
  <si>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</si>
  <si>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</si>
  <si>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</si>
  <si>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</si>
  <si>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</si>
  <si>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</si>
  <si>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</si>
  <si>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</si>
  <si>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</si>
  <si>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</si>
  <si>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Aggregation of 9-Qualifications to 6-Qualification groups</t>
  </si>
  <si>
    <t>Female</t>
  </si>
  <si>
    <t>Male</t>
  </si>
  <si>
    <t>Total employment</t>
  </si>
  <si>
    <t>Male employment</t>
  </si>
  <si>
    <t>Female employment</t>
  </si>
  <si>
    <t>Industry 22 Total</t>
  </si>
  <si>
    <t>Industry 21 Total</t>
  </si>
  <si>
    <t>Industry 20 Total</t>
  </si>
  <si>
    <t>Industry 17 Total</t>
  </si>
  <si>
    <t>Industry 16 Total</t>
  </si>
  <si>
    <t>Industry 14 Total</t>
  </si>
  <si>
    <t>Industry 13 Total</t>
  </si>
  <si>
    <t>Industry 12 Total</t>
  </si>
  <si>
    <t>Industry 11 Total</t>
  </si>
  <si>
    <t>Industry 10 Total</t>
  </si>
  <si>
    <t>Industry 9 Total</t>
  </si>
  <si>
    <t>Industry 8 Total</t>
  </si>
  <si>
    <t>Industry 7 Total</t>
  </si>
  <si>
    <t>Industry 5 Total</t>
  </si>
  <si>
    <t>Industry 4 Total</t>
  </si>
  <si>
    <t>Industry 3 Total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</si>
  <si>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</si>
  <si>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</si>
  <si>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</si>
  <si>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</si>
  <si>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</si>
  <si>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</si>
  <si>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</si>
  <si>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</si>
  <si>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</si>
  <si>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</si>
  <si>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</si>
  <si>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</si>
  <si>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</si>
  <si>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Ind T3</t>
  </si>
  <si>
    <t>Occ T3</t>
  </si>
  <si>
    <t>Employment by Industry (75 industries)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</si>
  <si>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</si>
  <si>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</si>
  <si>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</si>
  <si>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</si>
  <si>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</si>
  <si>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</si>
  <si>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Employment Status by Industry and Gender (75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</si>
  <si>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</si>
  <si>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</si>
  <si>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</si>
  <si>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</si>
  <si>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</si>
  <si>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</si>
  <si>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Occupation Composition by Gender (9 occupations by 75 industries)</t>
  </si>
  <si>
    <t>Occupation Composition by Employment Status (9 occupations by 75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</si>
  <si>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</si>
  <si>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</si>
  <si>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</si>
  <si>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</si>
  <si>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</si>
  <si>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</si>
  <si>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</si>
  <si>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</si>
  <si>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</si>
  <si>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</si>
  <si>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</si>
  <si>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</si>
  <si>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</si>
  <si>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</si>
  <si>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</si>
  <si>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</si>
  <si>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</si>
  <si>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</si>
  <si>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</si>
  <si>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</si>
  <si>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</si>
  <si>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</si>
  <si>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</si>
  <si>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</si>
  <si>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</si>
  <si>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</si>
  <si>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</si>
  <si>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</si>
  <si>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</si>
  <si>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</si>
  <si>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</si>
  <si>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</si>
  <si>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</si>
  <si>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</si>
  <si>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</si>
  <si>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</si>
  <si>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</si>
  <si>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</si>
  <si>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axis bounds</t>
  </si>
  <si>
    <t>major unit</t>
  </si>
  <si>
    <t>max</t>
  </si>
  <si>
    <t>min</t>
  </si>
  <si>
    <t>Scenario</t>
  </si>
  <si>
    <t>.Main</t>
  </si>
  <si>
    <t>MDM version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</si>
  <si>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</si>
  <si>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</si>
  <si>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RQF7 Other higher degree</t>
  </si>
  <si>
    <t>RQF6 First degree</t>
  </si>
  <si>
    <t>RQF5 Foundation degree;Nursing;Teaching</t>
  </si>
  <si>
    <t>RQF4 HE below degree level</t>
  </si>
  <si>
    <t>RQF3 A level &amp; equivalent</t>
  </si>
  <si>
    <t>RQF2 GCSE(A-C) &amp; equivalent</t>
  </si>
  <si>
    <t>RQF1 GCSE(below grade C) &amp; equivalent</t>
  </si>
  <si>
    <t>RQF 7-8</t>
  </si>
  <si>
    <t>RQF 4-6</t>
  </si>
  <si>
    <t>6-Qualification groups (RQF)</t>
  </si>
  <si>
    <t>6-Qualifications (RQF)</t>
  </si>
  <si>
    <t>Non-marketed services</t>
  </si>
  <si>
    <t>Shares (%)</t>
  </si>
  <si>
    <t>Shares of all occupations (%)</t>
  </si>
  <si>
    <t>Shares of all qualifications (%)</t>
  </si>
  <si>
    <t>Qualification levels (000s)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</si>
  <si>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</si>
  <si>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</si>
  <si>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</si>
  <si>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</si>
  <si>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</si>
  <si>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</si>
  <si>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</si>
  <si>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26-Occupation</t>
  </si>
  <si>
    <t>11 Corporate managers and directors</t>
  </si>
  <si>
    <t>12 Other managers and proprietors</t>
  </si>
  <si>
    <t>21 Science, research, engineering and technology professionals</t>
  </si>
  <si>
    <t>Associate professional occupations</t>
  </si>
  <si>
    <t>22 Health professionals</t>
  </si>
  <si>
    <t>Administrative and secretarial occupations</t>
  </si>
  <si>
    <t>23 Teaching and other educational professionals</t>
  </si>
  <si>
    <t>24 Business, media and public service professionals</t>
  </si>
  <si>
    <t>Caring, leisure and other service occupations</t>
  </si>
  <si>
    <t>31 Science, engineering and technology associate professionals</t>
  </si>
  <si>
    <t>Sales and customer service occupations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</si>
  <si>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</si>
  <si>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</si>
  <si>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</si>
  <si>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</si>
  <si>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</si>
  <si>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</si>
  <si>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</si>
  <si>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</si>
  <si>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</si>
  <si>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</si>
  <si>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</si>
  <si>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</si>
  <si>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</si>
  <si>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</si>
  <si>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</si>
  <si>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</si>
  <si>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</si>
  <si>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</si>
  <si>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</si>
  <si>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Aggregation of 26-Sub major occupation groups to 9-Major occupation groups</t>
  </si>
  <si>
    <t>9-Occupation (SOC2020)</t>
  </si>
  <si>
    <t>SOC2020 Sub-Major Groups</t>
  </si>
  <si>
    <t>Aggregation 26 occupations to 9 Major group names: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</si>
  <si>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</si>
  <si>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</si>
  <si>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</si>
  <si>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</si>
  <si>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</si>
  <si>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</si>
  <si>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</si>
  <si>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</si>
  <si>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</si>
  <si>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</si>
  <si>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Nuffield - Rev 13547</t>
  </si>
  <si>
    <t>Date database created</t>
  </si>
  <si>
    <t>26-Occupation (SOC2020)</t>
  </si>
  <si>
    <t>Region/Nation</t>
  </si>
  <si>
    <t>3. East</t>
  </si>
  <si>
    <t>Region/Nation name</t>
  </si>
  <si>
    <t>East</t>
  </si>
  <si>
    <t>Copyright:  Warwick Institute for Employment Research / Cambridge Econometrics, 2023</t>
  </si>
  <si>
    <t>M:\IE\Projects\Nuffield via NFER AI and automation\Data\Results\Workbooks\GB\v2 Main\GB_Database.Main.xlsx</t>
  </si>
  <si>
    <t>M:\IE\Projects\Nuffield via NFER AI and automation\Data\Results\Workbooks\UK\v2 Main\UK_Database.Main.xlsx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</si>
  <si>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</si>
  <si>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</si>
  <si>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</si>
  <si>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</si>
  <si>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</si>
  <si>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</si>
  <si>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75 Industries</t>
  </si>
  <si>
    <t>6 + 22 Industries</t>
  </si>
  <si>
    <t>9 Occupations by 75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</si>
  <si>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</si>
  <si>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</si>
  <si>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</si>
  <si>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</si>
  <si>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</si>
  <si>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</si>
  <si>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</si>
  <si>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automation/Data/Results/Workbooks/EE/EE_Database.Main.xlsx</t>
  </si>
  <si>
    <t>02 10 2023 04:57:38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</si>
</sst>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89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0" fontId="5" fillId="0" borderId="1" xfId="0" applyFont="1" applyBorder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0" fontId="3" fillId="0" borderId="7" xfId="0" applyFont="1" applyBorder="1"/>
    <xf numFmtId="0" fontId="3" fillId="0" borderId="2" xfId="0" applyFont="1" applyBorder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0" applyNumberFormat="1" applyFont="1" applyAlignment="1">
      <alignment wrapText="1"/>
    </xf>
    <xf numFmtId="0" fontId="10" fillId="0" borderId="10" xfId="0" applyFont="1" applyBorder="1"/>
    <xf numFmtId="1" fontId="3" fillId="0" borderId="0" xfId="0" applyNumberFormat="1" applyFont="1" applyAlignment="1">
      <alignment horizontal="right" wrapText="1"/>
    </xf>
    <xf numFmtId="167" fontId="3" fillId="0" borderId="10" xfId="10" applyNumberFormat="1" applyFont="1" applyBorder="1" applyAlignment="1">
      <alignment wrapText="1"/>
    </xf>
    <xf numFmtId="1" fontId="3" fillId="0" borderId="0" xfId="0" applyNumberFormat="1" applyFont="1" applyAlignment="1">
      <alignment horizontal="right"/>
    </xf>
    <xf numFmtId="0" fontId="27" fillId="0" borderId="0" xfId="7" applyFont="1" applyAlignment="1">
      <alignment horizontal="center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168" fontId="0" fillId="0" borderId="10" xfId="1" applyNumberFormat="1" applyFont="1" applyBorder="1" applyAlignment="1"/>
    <xf numFmtId="168" fontId="3" fillId="0" borderId="10" xfId="1" applyNumberFormat="1" applyFont="1" applyBorder="1" applyAlignment="1">
      <alignment wrapText="1"/>
    </xf>
    <xf numFmtId="4" fontId="5" fillId="0" borderId="0" xfId="0" applyNumberFormat="1" applyFont="1"/>
    <xf numFmtId="0" fontId="1" fillId="0" borderId="0" xfId="7" applyFont="1" applyAlignment="1">
      <alignment horizontal="center" vertical="center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22" fontId="0" fillId="0" borderId="0" xfId="0" applyNumberFormat="1"/>
    <xf numFmtId="0" fontId="27" fillId="0" borderId="0" xfId="7" applyFont="1" applyAlignment="1">
      <alignment horizont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1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D000000}"/>
    <cellStyle name="Normal_WarningSheet" xfId="13" xr:uid="{00000000-0005-0000-0000-00000E000000}"/>
    <cellStyle name="Per cent" xfId="11" builtinId="5"/>
    <cellStyle name="Percent 2" xfId="10" xr:uid="{00000000-0005-0000-0000-000010000000}"/>
  </cellStyles>
  <dxfs count="15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0.76326935937189866</c:v>
                </c:pt>
                <c:pt idx="2">
                  <c:v>1.4457372122555379</c:v>
                </c:pt>
                <c:pt idx="3">
                  <c:v>1.4812337165341471</c:v>
                </c:pt>
                <c:pt idx="4">
                  <c:v>-0.83490516756158373</c:v>
                </c:pt>
                <c:pt idx="5">
                  <c:v>1.1665362846994709</c:v>
                </c:pt>
                <c:pt idx="7">
                  <c:v>-0.52662682102594394</c:v>
                </c:pt>
                <c:pt idx="8">
                  <c:v>6.5554543566492152</c:v>
                </c:pt>
                <c:pt idx="9">
                  <c:v>-0.78006063158857497</c:v>
                </c:pt>
                <c:pt idx="10">
                  <c:v>2.1553597832734139</c:v>
                </c:pt>
                <c:pt idx="11">
                  <c:v>2.9805871744002399</c:v>
                </c:pt>
                <c:pt idx="12">
                  <c:v>0.96064683676744256</c:v>
                </c:pt>
                <c:pt idx="13">
                  <c:v>0.10194434638812755</c:v>
                </c:pt>
                <c:pt idx="14">
                  <c:v>-3.1391200564011679</c:v>
                </c:pt>
                <c:pt idx="15">
                  <c:v>1.0006184696311982</c:v>
                </c:pt>
                <c:pt idx="17">
                  <c:v>1.6126670334956517</c:v>
                </c:pt>
                <c:pt idx="18">
                  <c:v>3.8051537098244603</c:v>
                </c:pt>
                <c:pt idx="19">
                  <c:v>-1.088389512974608</c:v>
                </c:pt>
                <c:pt idx="20">
                  <c:v>0.41705535868024057</c:v>
                </c:pt>
                <c:pt idx="22">
                  <c:v>2.3506017480688035</c:v>
                </c:pt>
                <c:pt idx="24">
                  <c:v>-0.38082755613005892</c:v>
                </c:pt>
                <c:pt idx="25">
                  <c:v>-1.4067926739187886</c:v>
                </c:pt>
                <c:pt idx="26">
                  <c:v>0.80638747052073079</c:v>
                </c:pt>
                <c:pt idx="27">
                  <c:v>-0.40395936370751784</c:v>
                </c:pt>
                <c:pt idx="29">
                  <c:v>-0.61433091320027833</c:v>
                </c:pt>
                <c:pt idx="30">
                  <c:v>-3.1995906014511188</c:v>
                </c:pt>
                <c:pt idx="31">
                  <c:v>2.5046577309398632</c:v>
                </c:pt>
                <c:pt idx="32">
                  <c:v>-9.0174266424126728</c:v>
                </c:pt>
                <c:pt idx="33">
                  <c:v>-5.1384622305172485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0.54590226783473028</c:v>
                </c:pt>
                <c:pt idx="2">
                  <c:v>1.1943308522234908</c:v>
                </c:pt>
                <c:pt idx="3">
                  <c:v>1.2393547226130508E-2</c:v>
                </c:pt>
                <c:pt idx="4">
                  <c:v>0.81632490948853054</c:v>
                </c:pt>
                <c:pt idx="5">
                  <c:v>0.71697487730901788</c:v>
                </c:pt>
                <c:pt idx="7">
                  <c:v>3.3093456833865886E-2</c:v>
                </c:pt>
                <c:pt idx="8">
                  <c:v>-0.11808043003224133</c:v>
                </c:pt>
                <c:pt idx="9">
                  <c:v>0.89117809248573376</c:v>
                </c:pt>
                <c:pt idx="10">
                  <c:v>0.88277198895900799</c:v>
                </c:pt>
                <c:pt idx="11">
                  <c:v>1.0526925871850112</c:v>
                </c:pt>
                <c:pt idx="12">
                  <c:v>-0.88822715456692292</c:v>
                </c:pt>
                <c:pt idx="13">
                  <c:v>0.60179099630182087</c:v>
                </c:pt>
                <c:pt idx="14">
                  <c:v>-0.32048672311942861</c:v>
                </c:pt>
                <c:pt idx="15">
                  <c:v>0.54704808290675366</c:v>
                </c:pt>
                <c:pt idx="17">
                  <c:v>0.96263619385150712</c:v>
                </c:pt>
                <c:pt idx="18">
                  <c:v>0.70104034215838773</c:v>
                </c:pt>
                <c:pt idx="19">
                  <c:v>0.21198256882719591</c:v>
                </c:pt>
                <c:pt idx="20">
                  <c:v>0.49699131437834776</c:v>
                </c:pt>
                <c:pt idx="22">
                  <c:v>1.2455077280584037</c:v>
                </c:pt>
                <c:pt idx="24">
                  <c:v>-1.1935565378666024</c:v>
                </c:pt>
                <c:pt idx="25">
                  <c:v>-1.1276140329146811</c:v>
                </c:pt>
                <c:pt idx="26">
                  <c:v>0.90420302521347917</c:v>
                </c:pt>
                <c:pt idx="27">
                  <c:v>-0.81213891267825078</c:v>
                </c:pt>
                <c:pt idx="29">
                  <c:v>1.0098345442218992</c:v>
                </c:pt>
                <c:pt idx="30">
                  <c:v>-0.76223504679517884</c:v>
                </c:pt>
                <c:pt idx="31">
                  <c:v>-4.4264463795055553</c:v>
                </c:pt>
                <c:pt idx="32">
                  <c:v>0.15935461299412257</c:v>
                </c:pt>
                <c:pt idx="33">
                  <c:v>0.24713101632760637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42.534999999548525</c:v>
                </c:pt>
                <c:pt idx="1">
                  <c:v>35.679000000109333</c:v>
                </c:pt>
                <c:pt idx="2">
                  <c:v>43.721000000117591</c:v>
                </c:pt>
                <c:pt idx="3">
                  <c:v>33.508000000087144</c:v>
                </c:pt>
                <c:pt idx="4">
                  <c:v>44.138999999621127</c:v>
                </c:pt>
                <c:pt idx="5">
                  <c:v>40.811000000194547</c:v>
                </c:pt>
                <c:pt idx="6">
                  <c:v>38.495999999503333</c:v>
                </c:pt>
                <c:pt idx="7">
                  <c:v>30.77500000025044</c:v>
                </c:pt>
                <c:pt idx="8">
                  <c:v>35.772000000369822</c:v>
                </c:pt>
                <c:pt idx="9">
                  <c:v>43.194000000439345</c:v>
                </c:pt>
                <c:pt idx="10">
                  <c:v>25.4429999999434</c:v>
                </c:pt>
                <c:pt idx="11">
                  <c:v>25.760999999916709</c:v>
                </c:pt>
                <c:pt idx="12">
                  <c:v>26.118000000209697</c:v>
                </c:pt>
                <c:pt idx="13">
                  <c:v>26.406000000218643</c:v>
                </c:pt>
                <c:pt idx="14">
                  <c:v>26.685000000096572</c:v>
                </c:pt>
                <c:pt idx="15">
                  <c:v>26.603000000203799</c:v>
                </c:pt>
                <c:pt idx="16">
                  <c:v>26.549000000152578</c:v>
                </c:pt>
                <c:pt idx="17">
                  <c:v>26.492000000269861</c:v>
                </c:pt>
                <c:pt idx="18">
                  <c:v>26.433000000263437</c:v>
                </c:pt>
                <c:pt idx="19">
                  <c:v>26.37400000023429</c:v>
                </c:pt>
                <c:pt idx="20">
                  <c:v>26.320000000267999</c:v>
                </c:pt>
                <c:pt idx="21">
                  <c:v>26.268000000262138</c:v>
                </c:pt>
                <c:pt idx="22">
                  <c:v>26.217000000310343</c:v>
                </c:pt>
                <c:pt idx="23">
                  <c:v>26.162000000228264</c:v>
                </c:pt>
                <c:pt idx="24" formatCode="#,##0.00">
                  <c:v>26.110000000190329</c:v>
                </c:pt>
                <c:pt idx="25">
                  <c:v>26.058000000086867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1.6670000000046654</c:v>
                </c:pt>
                <c:pt idx="1">
                  <c:v>1.8509999999908924</c:v>
                </c:pt>
                <c:pt idx="2">
                  <c:v>1.2679999999943052</c:v>
                </c:pt>
                <c:pt idx="3">
                  <c:v>1.5539999999925831</c:v>
                </c:pt>
                <c:pt idx="4">
                  <c:v>1.6839999999917969</c:v>
                </c:pt>
                <c:pt idx="5">
                  <c:v>2.4379999999869169</c:v>
                </c:pt>
                <c:pt idx="6">
                  <c:v>1.2929999999944555</c:v>
                </c:pt>
                <c:pt idx="7">
                  <c:v>2.4800000000052216</c:v>
                </c:pt>
                <c:pt idx="8">
                  <c:v>2.4960000000060507</c:v>
                </c:pt>
                <c:pt idx="9">
                  <c:v>1.9439999999976525</c:v>
                </c:pt>
                <c:pt idx="10">
                  <c:v>2.7589999999879002</c:v>
                </c:pt>
                <c:pt idx="11">
                  <c:v>2.5799999999862049</c:v>
                </c:pt>
                <c:pt idx="12">
                  <c:v>2.5069999999792447</c:v>
                </c:pt>
                <c:pt idx="13">
                  <c:v>2.3629999999786717</c:v>
                </c:pt>
                <c:pt idx="14">
                  <c:v>2.219999999977802</c:v>
                </c:pt>
                <c:pt idx="15">
                  <c:v>2.1029999999813591</c:v>
                </c:pt>
                <c:pt idx="16">
                  <c:v>2.0089999999816275</c:v>
                </c:pt>
                <c:pt idx="17">
                  <c:v>1.9159999999844244</c:v>
                </c:pt>
                <c:pt idx="18">
                  <c:v>1.8319999999801677</c:v>
                </c:pt>
                <c:pt idx="19">
                  <c:v>1.7569999999824577</c:v>
                </c:pt>
                <c:pt idx="20">
                  <c:v>1.6909999999818657</c:v>
                </c:pt>
                <c:pt idx="21">
                  <c:v>1.620999999986557</c:v>
                </c:pt>
                <c:pt idx="22">
                  <c:v>1.5579999999857683</c:v>
                </c:pt>
                <c:pt idx="23">
                  <c:v>1.499999999985876</c:v>
                </c:pt>
                <c:pt idx="24" formatCode="#,##0.00">
                  <c:v>1.4479999999842335</c:v>
                </c:pt>
                <c:pt idx="25">
                  <c:v>1.3989999999889444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5.7580000000206493</c:v>
                </c:pt>
                <c:pt idx="1">
                  <c:v>6.2789999999702264</c:v>
                </c:pt>
                <c:pt idx="2">
                  <c:v>6.0769999999721858</c:v>
                </c:pt>
                <c:pt idx="3">
                  <c:v>6.3769999999746565</c:v>
                </c:pt>
                <c:pt idx="4">
                  <c:v>6.2179999999977076</c:v>
                </c:pt>
                <c:pt idx="5">
                  <c:v>6.9769999999797303</c:v>
                </c:pt>
                <c:pt idx="6">
                  <c:v>6.3440000000043604</c:v>
                </c:pt>
                <c:pt idx="7">
                  <c:v>8.2539999999650444</c:v>
                </c:pt>
                <c:pt idx="8">
                  <c:v>7.4219999999969977</c:v>
                </c:pt>
                <c:pt idx="9">
                  <c:v>7.2169999999705867</c:v>
                </c:pt>
                <c:pt idx="10">
                  <c:v>5.9299999999484241</c:v>
                </c:pt>
                <c:pt idx="11">
                  <c:v>5.7689999999406503</c:v>
                </c:pt>
                <c:pt idx="12">
                  <c:v>5.6230000000017037</c:v>
                </c:pt>
                <c:pt idx="13">
                  <c:v>5.5809999999988564</c:v>
                </c:pt>
                <c:pt idx="14">
                  <c:v>5.5519999999787375</c:v>
                </c:pt>
                <c:pt idx="15">
                  <c:v>5.5280000000022245</c:v>
                </c:pt>
                <c:pt idx="16">
                  <c:v>5.5019999999908649</c:v>
                </c:pt>
                <c:pt idx="17">
                  <c:v>5.4779999999824716</c:v>
                </c:pt>
                <c:pt idx="18">
                  <c:v>5.4509999999647132</c:v>
                </c:pt>
                <c:pt idx="19">
                  <c:v>5.4270000000037397</c:v>
                </c:pt>
                <c:pt idx="20">
                  <c:v>5.4030000000013931</c:v>
                </c:pt>
                <c:pt idx="21">
                  <c:v>5.3799999999795771</c:v>
                </c:pt>
                <c:pt idx="22">
                  <c:v>5.3559999999685344</c:v>
                </c:pt>
                <c:pt idx="23">
                  <c:v>5.3339999999935293</c:v>
                </c:pt>
                <c:pt idx="24" formatCode="#,##0.00">
                  <c:v>5.30999999999697</c:v>
                </c:pt>
                <c:pt idx="25">
                  <c:v>5.286999999950595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18.935999999950262</c:v>
                </c:pt>
                <c:pt idx="1">
                  <c:v>18.465999999983968</c:v>
                </c:pt>
                <c:pt idx="2">
                  <c:v>21.831999999962022</c:v>
                </c:pt>
                <c:pt idx="3">
                  <c:v>21.507999999932007</c:v>
                </c:pt>
                <c:pt idx="4">
                  <c:v>17.046999999878039</c:v>
                </c:pt>
                <c:pt idx="5">
                  <c:v>22.081999999964733</c:v>
                </c:pt>
                <c:pt idx="6">
                  <c:v>21.667999999797328</c:v>
                </c:pt>
                <c:pt idx="7">
                  <c:v>18.508000000103326</c:v>
                </c:pt>
                <c:pt idx="8">
                  <c:v>26.935000000115348</c:v>
                </c:pt>
                <c:pt idx="9">
                  <c:v>25.468000000018925</c:v>
                </c:pt>
                <c:pt idx="10">
                  <c:v>21.412000000012718</c:v>
                </c:pt>
                <c:pt idx="11">
                  <c:v>20.997000000004764</c:v>
                </c:pt>
                <c:pt idx="12">
                  <c:v>20.881000000059075</c:v>
                </c:pt>
                <c:pt idx="13">
                  <c:v>21.239000000058091</c:v>
                </c:pt>
                <c:pt idx="14">
                  <c:v>22.184000000075809</c:v>
                </c:pt>
                <c:pt idx="15">
                  <c:v>22.736000000181132</c:v>
                </c:pt>
                <c:pt idx="16">
                  <c:v>23.131000000179526</c:v>
                </c:pt>
                <c:pt idx="17">
                  <c:v>23.433000000207358</c:v>
                </c:pt>
                <c:pt idx="18">
                  <c:v>23.671000000212128</c:v>
                </c:pt>
                <c:pt idx="19">
                  <c:v>23.888000000140522</c:v>
                </c:pt>
                <c:pt idx="20">
                  <c:v>24.076000000192675</c:v>
                </c:pt>
                <c:pt idx="21">
                  <c:v>24.255000000189639</c:v>
                </c:pt>
                <c:pt idx="22">
                  <c:v>24.414000000248564</c:v>
                </c:pt>
                <c:pt idx="23">
                  <c:v>24.583000000212646</c:v>
                </c:pt>
                <c:pt idx="24" formatCode="#,##0.00">
                  <c:v>24.725000000200453</c:v>
                </c:pt>
                <c:pt idx="25">
                  <c:v>24.895000000121044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708868519262555"/>
          <c:y val="0.9404955394969049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31.459999999540056</c:v>
                </c:pt>
                <c:pt idx="1">
                  <c:v>32.361000000136244</c:v>
                </c:pt>
                <c:pt idx="2">
                  <c:v>30.849000000058883</c:v>
                </c:pt>
                <c:pt idx="3">
                  <c:v>28.397000000038762</c:v>
                </c:pt>
                <c:pt idx="4">
                  <c:v>37.107999999684338</c:v>
                </c:pt>
                <c:pt idx="5">
                  <c:v>32.947000000102392</c:v>
                </c:pt>
                <c:pt idx="6">
                  <c:v>33.83899999972467</c:v>
                </c:pt>
                <c:pt idx="7">
                  <c:v>37.589000000267049</c:v>
                </c:pt>
                <c:pt idx="8">
                  <c:v>37.255000000397139</c:v>
                </c:pt>
                <c:pt idx="9">
                  <c:v>35.560000000154922</c:v>
                </c:pt>
                <c:pt idx="10">
                  <c:v>34.296999999961379</c:v>
                </c:pt>
                <c:pt idx="11">
                  <c:v>34.990999999945757</c:v>
                </c:pt>
                <c:pt idx="12">
                  <c:v>35.80300000037154</c:v>
                </c:pt>
                <c:pt idx="13">
                  <c:v>36.227000000371326</c:v>
                </c:pt>
                <c:pt idx="14">
                  <c:v>36.595000000176874</c:v>
                </c:pt>
                <c:pt idx="15">
                  <c:v>36.915000000564248</c:v>
                </c:pt>
                <c:pt idx="16">
                  <c:v>37.145000000512425</c:v>
                </c:pt>
                <c:pt idx="17">
                  <c:v>37.372000000545533</c:v>
                </c:pt>
                <c:pt idx="18">
                  <c:v>37.607000000523513</c:v>
                </c:pt>
                <c:pt idx="19">
                  <c:v>37.8330000004458</c:v>
                </c:pt>
                <c:pt idx="20">
                  <c:v>38.086000000551842</c:v>
                </c:pt>
                <c:pt idx="21">
                  <c:v>38.341000000524787</c:v>
                </c:pt>
                <c:pt idx="22">
                  <c:v>38.58700000066947</c:v>
                </c:pt>
                <c:pt idx="23">
                  <c:v>38.82100000048051</c:v>
                </c:pt>
                <c:pt idx="24" formatCode="#,##0.00">
                  <c:v>39.043000000630215</c:v>
                </c:pt>
                <c:pt idx="25">
                  <c:v>39.255000000253339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55.38600000007672</c:v>
                </c:pt>
                <c:pt idx="1">
                  <c:v>51.183999999808947</c:v>
                </c:pt>
                <c:pt idx="2">
                  <c:v>50.758999999836831</c:v>
                </c:pt>
                <c:pt idx="3">
                  <c:v>49.714999999831107</c:v>
                </c:pt>
                <c:pt idx="4">
                  <c:v>46.413999999868757</c:v>
                </c:pt>
                <c:pt idx="5">
                  <c:v>45.036999999856398</c:v>
                </c:pt>
                <c:pt idx="6">
                  <c:v>46.324999999860623</c:v>
                </c:pt>
                <c:pt idx="7">
                  <c:v>47.544000000039233</c:v>
                </c:pt>
                <c:pt idx="8">
                  <c:v>46.15800000003216</c:v>
                </c:pt>
                <c:pt idx="9">
                  <c:v>44.193999999914404</c:v>
                </c:pt>
                <c:pt idx="10">
                  <c:v>41.95699999987874</c:v>
                </c:pt>
                <c:pt idx="11">
                  <c:v>42.91199999985151</c:v>
                </c:pt>
                <c:pt idx="12">
                  <c:v>42.495000000058745</c:v>
                </c:pt>
                <c:pt idx="13">
                  <c:v>42.390000000047607</c:v>
                </c:pt>
                <c:pt idx="14">
                  <c:v>42.10900000004542</c:v>
                </c:pt>
                <c:pt idx="15">
                  <c:v>41.735000000218044</c:v>
                </c:pt>
                <c:pt idx="16">
                  <c:v>41.077000000199362</c:v>
                </c:pt>
                <c:pt idx="17">
                  <c:v>40.419000000225701</c:v>
                </c:pt>
                <c:pt idx="18">
                  <c:v>39.757000000210404</c:v>
                </c:pt>
                <c:pt idx="19">
                  <c:v>39.108000000175579</c:v>
                </c:pt>
                <c:pt idx="20">
                  <c:v>38.502000000231597</c:v>
                </c:pt>
                <c:pt idx="21">
                  <c:v>37.877000000205577</c:v>
                </c:pt>
                <c:pt idx="22">
                  <c:v>37.25600000025748</c:v>
                </c:pt>
                <c:pt idx="23">
                  <c:v>36.635000000227201</c:v>
                </c:pt>
                <c:pt idx="24" formatCode="#,##0.00">
                  <c:v>36.012000000217448</c:v>
                </c:pt>
                <c:pt idx="25">
                  <c:v>35.39400000007759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145.10699999967784</c:v>
                </c:pt>
                <c:pt idx="1">
                  <c:v>153.37899999974147</c:v>
                </c:pt>
                <c:pt idx="2">
                  <c:v>162.66999999974516</c:v>
                </c:pt>
                <c:pt idx="3">
                  <c:v>152.11199999963486</c:v>
                </c:pt>
                <c:pt idx="4">
                  <c:v>146.02999999924214</c:v>
                </c:pt>
                <c:pt idx="5">
                  <c:v>147.16699999984309</c:v>
                </c:pt>
                <c:pt idx="6">
                  <c:v>155.54599999911628</c:v>
                </c:pt>
                <c:pt idx="7">
                  <c:v>152.01200000051284</c:v>
                </c:pt>
                <c:pt idx="8">
                  <c:v>151.43100000048179</c:v>
                </c:pt>
                <c:pt idx="9">
                  <c:v>148.00399999995719</c:v>
                </c:pt>
                <c:pt idx="10">
                  <c:v>144.38599999982685</c:v>
                </c:pt>
                <c:pt idx="11">
                  <c:v>142.46299999969708</c:v>
                </c:pt>
                <c:pt idx="12">
                  <c:v>139.96800000030075</c:v>
                </c:pt>
                <c:pt idx="13">
                  <c:v>137.33500000026262</c:v>
                </c:pt>
                <c:pt idx="14">
                  <c:v>135.5960000002494</c:v>
                </c:pt>
                <c:pt idx="15">
                  <c:v>133.73000000086748</c:v>
                </c:pt>
                <c:pt idx="16">
                  <c:v>132.20800000080629</c:v>
                </c:pt>
                <c:pt idx="17">
                  <c:v>130.68300000097801</c:v>
                </c:pt>
                <c:pt idx="18">
                  <c:v>129.2350000009402</c:v>
                </c:pt>
                <c:pt idx="19">
                  <c:v>127.83100000070682</c:v>
                </c:pt>
                <c:pt idx="20">
                  <c:v>126.56100000092209</c:v>
                </c:pt>
                <c:pt idx="21">
                  <c:v>125.26000000090178</c:v>
                </c:pt>
                <c:pt idx="22">
                  <c:v>124.01900000113038</c:v>
                </c:pt>
                <c:pt idx="23">
                  <c:v>122.82600000097217</c:v>
                </c:pt>
                <c:pt idx="24" formatCode="#,##0.00">
                  <c:v>121.67000000088176</c:v>
                </c:pt>
                <c:pt idx="25">
                  <c:v>120.5880000003182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220.26799999824664</c:v>
                </c:pt>
                <c:pt idx="1">
                  <c:v>223.24499999990505</c:v>
                </c:pt>
                <c:pt idx="2">
                  <c:v>209.38799999959073</c:v>
                </c:pt>
                <c:pt idx="3">
                  <c:v>209.04999999887849</c:v>
                </c:pt>
                <c:pt idx="4">
                  <c:v>223.79699999599711</c:v>
                </c:pt>
                <c:pt idx="5">
                  <c:v>243.42699999686482</c:v>
                </c:pt>
                <c:pt idx="6">
                  <c:v>241.69199999409017</c:v>
                </c:pt>
                <c:pt idx="7">
                  <c:v>252.72000000213029</c:v>
                </c:pt>
                <c:pt idx="8">
                  <c:v>248.74100000189787</c:v>
                </c:pt>
                <c:pt idx="9">
                  <c:v>240.42400000202716</c:v>
                </c:pt>
                <c:pt idx="10">
                  <c:v>273.41399999809221</c:v>
                </c:pt>
                <c:pt idx="11">
                  <c:v>271.81899999695912</c:v>
                </c:pt>
                <c:pt idx="12">
                  <c:v>276.43999999348642</c:v>
                </c:pt>
                <c:pt idx="13">
                  <c:v>286.52599999318193</c:v>
                </c:pt>
                <c:pt idx="14">
                  <c:v>294.26199999268198</c:v>
                </c:pt>
                <c:pt idx="15">
                  <c:v>297.71799999340323</c:v>
                </c:pt>
                <c:pt idx="16">
                  <c:v>300.88299999371856</c:v>
                </c:pt>
                <c:pt idx="17">
                  <c:v>303.43899999469579</c:v>
                </c:pt>
                <c:pt idx="18">
                  <c:v>306.34199999350761</c:v>
                </c:pt>
                <c:pt idx="19">
                  <c:v>309.1199999933956</c:v>
                </c:pt>
                <c:pt idx="20">
                  <c:v>312.27299999258224</c:v>
                </c:pt>
                <c:pt idx="21">
                  <c:v>315.5009999956186</c:v>
                </c:pt>
                <c:pt idx="22">
                  <c:v>318.82899999577114</c:v>
                </c:pt>
                <c:pt idx="23">
                  <c:v>322.22799999441241</c:v>
                </c:pt>
                <c:pt idx="24" formatCode="#,##0.00">
                  <c:v>325.68599999369553</c:v>
                </c:pt>
                <c:pt idx="25">
                  <c:v>329.19799999638491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492.6269999897392</c:v>
                </c:pt>
                <c:pt idx="1">
                  <c:v>500.76900000216961</c:v>
                </c:pt>
                <c:pt idx="2">
                  <c:v>483.90999999887657</c:v>
                </c:pt>
                <c:pt idx="3">
                  <c:v>472.55000000065354</c:v>
                </c:pt>
                <c:pt idx="4">
                  <c:v>482.26600000483984</c:v>
                </c:pt>
                <c:pt idx="5">
                  <c:v>498.44400000861361</c:v>
                </c:pt>
                <c:pt idx="6">
                  <c:v>479.15900000522174</c:v>
                </c:pt>
                <c:pt idx="7">
                  <c:v>500.6710000052388</c:v>
                </c:pt>
                <c:pt idx="8">
                  <c:v>507.80600000887063</c:v>
                </c:pt>
                <c:pt idx="9">
                  <c:v>483.70600000729888</c:v>
                </c:pt>
                <c:pt idx="10">
                  <c:v>471.90300000065332</c:v>
                </c:pt>
                <c:pt idx="11">
                  <c:v>475.14499999396696</c:v>
                </c:pt>
                <c:pt idx="12">
                  <c:v>476.60600001013944</c:v>
                </c:pt>
                <c:pt idx="13">
                  <c:v>476.96100001162756</c:v>
                </c:pt>
                <c:pt idx="14">
                  <c:v>478.05300000544008</c:v>
                </c:pt>
                <c:pt idx="15">
                  <c:v>479.37400000978693</c:v>
                </c:pt>
                <c:pt idx="16">
                  <c:v>480.21000000738508</c:v>
                </c:pt>
                <c:pt idx="17">
                  <c:v>480.91900000714776</c:v>
                </c:pt>
                <c:pt idx="18">
                  <c:v>481.56100000609302</c:v>
                </c:pt>
                <c:pt idx="19">
                  <c:v>482.15700000821937</c:v>
                </c:pt>
                <c:pt idx="20">
                  <c:v>482.86100000724554</c:v>
                </c:pt>
                <c:pt idx="21">
                  <c:v>483.61500000745906</c:v>
                </c:pt>
                <c:pt idx="22">
                  <c:v>484.36800000746132</c:v>
                </c:pt>
                <c:pt idx="23">
                  <c:v>485.30000000514383</c:v>
                </c:pt>
                <c:pt idx="24" formatCode="#,##0.00">
                  <c:v>486.21200000960351</c:v>
                </c:pt>
                <c:pt idx="25">
                  <c:v>487.1329999997273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141.88799999691722</c:v>
                </c:pt>
                <c:pt idx="1">
                  <c:v>141.29000000007343</c:v>
                </c:pt>
                <c:pt idx="2">
                  <c:v>142.05699999924303</c:v>
                </c:pt>
                <c:pt idx="3">
                  <c:v>142.68599999987401</c:v>
                </c:pt>
                <c:pt idx="4">
                  <c:v>137.86099999835128</c:v>
                </c:pt>
                <c:pt idx="5">
                  <c:v>137.70200000063343</c:v>
                </c:pt>
                <c:pt idx="6">
                  <c:v>168.53799999847519</c:v>
                </c:pt>
                <c:pt idx="7">
                  <c:v>165.26300000083071</c:v>
                </c:pt>
                <c:pt idx="8">
                  <c:v>176.63900000060997</c:v>
                </c:pt>
                <c:pt idx="9">
                  <c:v>173.9109999992456</c:v>
                </c:pt>
                <c:pt idx="10">
                  <c:v>165.97200000091698</c:v>
                </c:pt>
                <c:pt idx="11">
                  <c:v>173.53300000161829</c:v>
                </c:pt>
                <c:pt idx="12">
                  <c:v>175.85700000366631</c:v>
                </c:pt>
                <c:pt idx="13">
                  <c:v>177.27300000378372</c:v>
                </c:pt>
                <c:pt idx="14">
                  <c:v>178.73500000307146</c:v>
                </c:pt>
                <c:pt idx="15">
                  <c:v>179.56200000425699</c:v>
                </c:pt>
                <c:pt idx="16">
                  <c:v>180.10100000417722</c:v>
                </c:pt>
                <c:pt idx="17">
                  <c:v>180.6060000043959</c:v>
                </c:pt>
                <c:pt idx="18">
                  <c:v>181.09500000493216</c:v>
                </c:pt>
                <c:pt idx="19">
                  <c:v>181.57800000371279</c:v>
                </c:pt>
                <c:pt idx="20">
                  <c:v>182.10600000454562</c:v>
                </c:pt>
                <c:pt idx="21">
                  <c:v>182.5790000041662</c:v>
                </c:pt>
                <c:pt idx="22">
                  <c:v>183.03800000513957</c:v>
                </c:pt>
                <c:pt idx="23">
                  <c:v>183.47500000368782</c:v>
                </c:pt>
                <c:pt idx="24" formatCode="#,##0.00">
                  <c:v>183.89300000466224</c:v>
                </c:pt>
                <c:pt idx="25">
                  <c:v>184.30800000338297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152.95099999711428</c:v>
                </c:pt>
                <c:pt idx="1">
                  <c:v>156.56200000165066</c:v>
                </c:pt>
                <c:pt idx="2">
                  <c:v>168.95500000074404</c:v>
                </c:pt>
                <c:pt idx="3">
                  <c:v>170.17800000110395</c:v>
                </c:pt>
                <c:pt idx="4">
                  <c:v>192.70000000156151</c:v>
                </c:pt>
                <c:pt idx="5">
                  <c:v>187.11200000318414</c:v>
                </c:pt>
                <c:pt idx="6">
                  <c:v>194.27300000234069</c:v>
                </c:pt>
                <c:pt idx="7">
                  <c:v>198.47000000144737</c:v>
                </c:pt>
                <c:pt idx="8">
                  <c:v>198.06800000348855</c:v>
                </c:pt>
                <c:pt idx="9">
                  <c:v>199.73500000341528</c:v>
                </c:pt>
                <c:pt idx="10">
                  <c:v>202.69399999955419</c:v>
                </c:pt>
                <c:pt idx="11">
                  <c:v>191.65099999683486</c:v>
                </c:pt>
                <c:pt idx="12">
                  <c:v>194.4710000044706</c:v>
                </c:pt>
                <c:pt idx="13">
                  <c:v>199.46000000531902</c:v>
                </c:pt>
                <c:pt idx="14">
                  <c:v>204.63600000210451</c:v>
                </c:pt>
                <c:pt idx="15">
                  <c:v>208.38200000404572</c:v>
                </c:pt>
                <c:pt idx="16">
                  <c:v>211.59700000281057</c:v>
                </c:pt>
                <c:pt idx="17">
                  <c:v>214.5090000027653</c:v>
                </c:pt>
                <c:pt idx="18">
                  <c:v>217.26000000209433</c:v>
                </c:pt>
                <c:pt idx="19">
                  <c:v>219.88300000407301</c:v>
                </c:pt>
                <c:pt idx="20">
                  <c:v>222.43900000327605</c:v>
                </c:pt>
                <c:pt idx="21">
                  <c:v>224.91100000347762</c:v>
                </c:pt>
                <c:pt idx="22">
                  <c:v>227.30700000311614</c:v>
                </c:pt>
                <c:pt idx="23">
                  <c:v>229.61900000254337</c:v>
                </c:pt>
                <c:pt idx="24" formatCode="#,##0.00">
                  <c:v>231.85200000519512</c:v>
                </c:pt>
                <c:pt idx="25">
                  <c:v>234.01899999857832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23.498000000140312</c:v>
                </c:pt>
                <c:pt idx="1">
                  <c:v>23.83399999979278</c:v>
                </c:pt>
                <c:pt idx="2">
                  <c:v>26.28699999988639</c:v>
                </c:pt>
                <c:pt idx="3">
                  <c:v>23.075999999864809</c:v>
                </c:pt>
                <c:pt idx="4">
                  <c:v>24.086999999993715</c:v>
                </c:pt>
                <c:pt idx="5">
                  <c:v>36.552000000029444</c:v>
                </c:pt>
                <c:pt idx="6">
                  <c:v>32.319000000125634</c:v>
                </c:pt>
                <c:pt idx="7">
                  <c:v>29.63599999993146</c:v>
                </c:pt>
                <c:pt idx="8">
                  <c:v>26.521999999975478</c:v>
                </c:pt>
                <c:pt idx="9">
                  <c:v>29.073999999872537</c:v>
                </c:pt>
                <c:pt idx="10">
                  <c:v>31.163999999966283</c:v>
                </c:pt>
                <c:pt idx="11">
                  <c:v>30.668999999906148</c:v>
                </c:pt>
                <c:pt idx="12">
                  <c:v>30.48300000013975</c:v>
                </c:pt>
                <c:pt idx="13">
                  <c:v>30.275000000143301</c:v>
                </c:pt>
                <c:pt idx="14">
                  <c:v>30.125000000242995</c:v>
                </c:pt>
                <c:pt idx="15">
                  <c:v>30.126000000375701</c:v>
                </c:pt>
                <c:pt idx="16">
                  <c:v>30.088000000346216</c:v>
                </c:pt>
                <c:pt idx="17">
                  <c:v>30.051000000409818</c:v>
                </c:pt>
                <c:pt idx="18">
                  <c:v>30.012000000433368</c:v>
                </c:pt>
                <c:pt idx="19">
                  <c:v>29.974000000479627</c:v>
                </c:pt>
                <c:pt idx="20">
                  <c:v>29.923000000515529</c:v>
                </c:pt>
                <c:pt idx="21">
                  <c:v>29.879000000396736</c:v>
                </c:pt>
                <c:pt idx="22">
                  <c:v>29.83300000042324</c:v>
                </c:pt>
                <c:pt idx="23">
                  <c:v>29.790000000544175</c:v>
                </c:pt>
                <c:pt idx="24" formatCode="#,##0.00">
                  <c:v>29.744000000413095</c:v>
                </c:pt>
                <c:pt idx="25">
                  <c:v>29.699000000039586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67.92800000115227</c:v>
                </c:pt>
                <c:pt idx="1">
                  <c:v>66.435999999137138</c:v>
                </c:pt>
                <c:pt idx="2">
                  <c:v>79.652999999287843</c:v>
                </c:pt>
                <c:pt idx="3">
                  <c:v>79.929999999181462</c:v>
                </c:pt>
                <c:pt idx="4">
                  <c:v>93.0840000005593</c:v>
                </c:pt>
                <c:pt idx="5">
                  <c:v>83.208999999124018</c:v>
                </c:pt>
                <c:pt idx="6">
                  <c:v>89.712000000758295</c:v>
                </c:pt>
                <c:pt idx="7">
                  <c:v>102.55599999883296</c:v>
                </c:pt>
                <c:pt idx="8">
                  <c:v>80.963999999093815</c:v>
                </c:pt>
                <c:pt idx="9">
                  <c:v>84.552999998846516</c:v>
                </c:pt>
                <c:pt idx="10">
                  <c:v>83.633999999069403</c:v>
                </c:pt>
                <c:pt idx="11">
                  <c:v>84.295999998851116</c:v>
                </c:pt>
                <c:pt idx="12">
                  <c:v>84.71499999939499</c:v>
                </c:pt>
                <c:pt idx="13">
                  <c:v>85.723999999278632</c:v>
                </c:pt>
                <c:pt idx="14">
                  <c:v>86.521999999461244</c:v>
                </c:pt>
                <c:pt idx="15">
                  <c:v>87.2039999997385</c:v>
                </c:pt>
                <c:pt idx="16">
                  <c:v>87.792999999607787</c:v>
                </c:pt>
                <c:pt idx="17">
                  <c:v>88.259999999522861</c:v>
                </c:pt>
                <c:pt idx="18">
                  <c:v>88.685999999241801</c:v>
                </c:pt>
                <c:pt idx="19">
                  <c:v>89.111000000071144</c:v>
                </c:pt>
                <c:pt idx="20">
                  <c:v>89.564999999987435</c:v>
                </c:pt>
                <c:pt idx="21">
                  <c:v>90.012999999552534</c:v>
                </c:pt>
                <c:pt idx="22">
                  <c:v>90.439999999287494</c:v>
                </c:pt>
                <c:pt idx="23">
                  <c:v>90.837000000243677</c:v>
                </c:pt>
                <c:pt idx="24" formatCode="#,##0.00">
                  <c:v>91.191999999740148</c:v>
                </c:pt>
                <c:pt idx="25">
                  <c:v>91.509999998699584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70.848000000368572</c:v>
                </c:pt>
                <c:pt idx="1">
                  <c:v>75.860999999434355</c:v>
                </c:pt>
                <c:pt idx="2">
                  <c:v>76.109999999473715</c:v>
                </c:pt>
                <c:pt idx="3">
                  <c:v>76.971999999470981</c:v>
                </c:pt>
                <c:pt idx="4">
                  <c:v>82.430000000119151</c:v>
                </c:pt>
                <c:pt idx="5">
                  <c:v>74.523999999641632</c:v>
                </c:pt>
                <c:pt idx="6">
                  <c:v>71.18200000027079</c:v>
                </c:pt>
                <c:pt idx="7">
                  <c:v>69.75999999948138</c:v>
                </c:pt>
                <c:pt idx="8">
                  <c:v>71.834999999471123</c:v>
                </c:pt>
                <c:pt idx="9">
                  <c:v>75.766999999226869</c:v>
                </c:pt>
                <c:pt idx="10">
                  <c:v>78.172999999498444</c:v>
                </c:pt>
                <c:pt idx="11">
                  <c:v>79.048999999285243</c:v>
                </c:pt>
                <c:pt idx="12">
                  <c:v>78.300999999786939</c:v>
                </c:pt>
                <c:pt idx="13">
                  <c:v>77.330999999731191</c:v>
                </c:pt>
                <c:pt idx="14">
                  <c:v>76.301000000091975</c:v>
                </c:pt>
                <c:pt idx="15">
                  <c:v>75.513000000691946</c:v>
                </c:pt>
                <c:pt idx="16">
                  <c:v>74.806000000663801</c:v>
                </c:pt>
                <c:pt idx="17">
                  <c:v>74.098000000812604</c:v>
                </c:pt>
                <c:pt idx="18">
                  <c:v>73.391000000789035</c:v>
                </c:pt>
                <c:pt idx="19">
                  <c:v>72.683000001008011</c:v>
                </c:pt>
                <c:pt idx="20">
                  <c:v>71.983000001047301</c:v>
                </c:pt>
                <c:pt idx="21">
                  <c:v>71.251000000818493</c:v>
                </c:pt>
                <c:pt idx="22">
                  <c:v>70.529000000867413</c:v>
                </c:pt>
                <c:pt idx="23">
                  <c:v>69.809000001374201</c:v>
                </c:pt>
                <c:pt idx="24" formatCode="#,##0.00">
                  <c:v>69.093000000793111</c:v>
                </c:pt>
                <c:pt idx="25">
                  <c:v>68.380999999685031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56.804999999950802</c:v>
                </c:pt>
                <c:pt idx="1">
                  <c:v>41.445999999775339</c:v>
                </c:pt>
                <c:pt idx="2">
                  <c:v>39.814999999757454</c:v>
                </c:pt>
                <c:pt idx="3">
                  <c:v>48.46599999973801</c:v>
                </c:pt>
                <c:pt idx="4">
                  <c:v>36.964999999984109</c:v>
                </c:pt>
                <c:pt idx="5">
                  <c:v>44.884999999948363</c:v>
                </c:pt>
                <c:pt idx="6">
                  <c:v>42.697000000005801</c:v>
                </c:pt>
                <c:pt idx="7">
                  <c:v>44.929999999801396</c:v>
                </c:pt>
                <c:pt idx="8">
                  <c:v>52.929000000010191</c:v>
                </c:pt>
                <c:pt idx="9">
                  <c:v>50.697999999990891</c:v>
                </c:pt>
                <c:pt idx="10">
                  <c:v>51.984999999648018</c:v>
                </c:pt>
                <c:pt idx="11">
                  <c:v>52.025999999480184</c:v>
                </c:pt>
                <c:pt idx="12">
                  <c:v>51.855000000079585</c:v>
                </c:pt>
                <c:pt idx="13">
                  <c:v>52.037000000080312</c:v>
                </c:pt>
                <c:pt idx="14">
                  <c:v>52.601999999950678</c:v>
                </c:pt>
                <c:pt idx="15">
                  <c:v>53.148000000317865</c:v>
                </c:pt>
                <c:pt idx="16">
                  <c:v>53.816000000226026</c:v>
                </c:pt>
                <c:pt idx="17">
                  <c:v>54.546000000339575</c:v>
                </c:pt>
                <c:pt idx="18">
                  <c:v>55.309000000243529</c:v>
                </c:pt>
                <c:pt idx="19">
                  <c:v>56.090000000529656</c:v>
                </c:pt>
                <c:pt idx="20">
                  <c:v>56.878000000506454</c:v>
                </c:pt>
                <c:pt idx="21">
                  <c:v>57.67500000039508</c:v>
                </c:pt>
                <c:pt idx="22">
                  <c:v>58.47100000040102</c:v>
                </c:pt>
                <c:pt idx="23">
                  <c:v>59.263000000569086</c:v>
                </c:pt>
                <c:pt idx="24" formatCode="#,##0.00">
                  <c:v>60.050000000434565</c:v>
                </c:pt>
                <c:pt idx="25">
                  <c:v>60.826999999666633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226.64300000498292</c:v>
                </c:pt>
                <c:pt idx="1">
                  <c:v>206.86799999669114</c:v>
                </c:pt>
                <c:pt idx="2">
                  <c:v>238.42399999742977</c:v>
                </c:pt>
                <c:pt idx="3">
                  <c:v>243.0079999968226</c:v>
                </c:pt>
                <c:pt idx="4">
                  <c:v>264.67200000116071</c:v>
                </c:pt>
                <c:pt idx="5">
                  <c:v>277.4479999970377</c:v>
                </c:pt>
                <c:pt idx="6">
                  <c:v>265.52900000096719</c:v>
                </c:pt>
                <c:pt idx="7">
                  <c:v>299.32199999733126</c:v>
                </c:pt>
                <c:pt idx="8">
                  <c:v>300.44099999584904</c:v>
                </c:pt>
                <c:pt idx="9">
                  <c:v>330.80599999527561</c:v>
                </c:pt>
                <c:pt idx="10">
                  <c:v>308.6649999988694</c:v>
                </c:pt>
                <c:pt idx="11">
                  <c:v>313.58399999811519</c:v>
                </c:pt>
                <c:pt idx="12">
                  <c:v>316.03499999796202</c:v>
                </c:pt>
                <c:pt idx="13">
                  <c:v>319.22399999777161</c:v>
                </c:pt>
                <c:pt idx="14">
                  <c:v>322.5680000009329</c:v>
                </c:pt>
                <c:pt idx="15">
                  <c:v>325.30000000143718</c:v>
                </c:pt>
                <c:pt idx="16">
                  <c:v>327.88500000166607</c:v>
                </c:pt>
                <c:pt idx="17">
                  <c:v>330.54400000203674</c:v>
                </c:pt>
                <c:pt idx="18">
                  <c:v>333.26300000232874</c:v>
                </c:pt>
                <c:pt idx="19">
                  <c:v>336.06000000307984</c:v>
                </c:pt>
                <c:pt idx="20">
                  <c:v>338.79300000326691</c:v>
                </c:pt>
                <c:pt idx="21">
                  <c:v>341.45800000222897</c:v>
                </c:pt>
                <c:pt idx="22">
                  <c:v>344.13700000203232</c:v>
                </c:pt>
                <c:pt idx="23">
                  <c:v>346.81300000545991</c:v>
                </c:pt>
                <c:pt idx="24" formatCode="#,##0.00">
                  <c:v>349.48700000225023</c:v>
                </c:pt>
                <c:pt idx="25">
                  <c:v>352.1619999985495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229.94299999787054</c:v>
                </c:pt>
                <c:pt idx="1">
                  <c:v>214.18300000103821</c:v>
                </c:pt>
                <c:pt idx="2">
                  <c:v>246.81800000096101</c:v>
                </c:pt>
                <c:pt idx="3">
                  <c:v>268.69600000108676</c:v>
                </c:pt>
                <c:pt idx="4">
                  <c:v>280.57800000031955</c:v>
                </c:pt>
                <c:pt idx="5">
                  <c:v>302.63600000230775</c:v>
                </c:pt>
                <c:pt idx="6">
                  <c:v>298.32100000101246</c:v>
                </c:pt>
                <c:pt idx="7">
                  <c:v>287.04200000069875</c:v>
                </c:pt>
                <c:pt idx="8">
                  <c:v>300.138000002674</c:v>
                </c:pt>
                <c:pt idx="9">
                  <c:v>309.53100000260196</c:v>
                </c:pt>
                <c:pt idx="10">
                  <c:v>291.01499999948669</c:v>
                </c:pt>
                <c:pt idx="11">
                  <c:v>295.51799999871486</c:v>
                </c:pt>
                <c:pt idx="12">
                  <c:v>301.10400000297653</c:v>
                </c:pt>
                <c:pt idx="13">
                  <c:v>304.25500000328793</c:v>
                </c:pt>
                <c:pt idx="14">
                  <c:v>306.90200000129119</c:v>
                </c:pt>
                <c:pt idx="15">
                  <c:v>309.03100000285241</c:v>
                </c:pt>
                <c:pt idx="16">
                  <c:v>311.40700000225377</c:v>
                </c:pt>
                <c:pt idx="17">
                  <c:v>313.74600000252337</c:v>
                </c:pt>
                <c:pt idx="18">
                  <c:v>316.07700000234183</c:v>
                </c:pt>
                <c:pt idx="19">
                  <c:v>318.40200000295295</c:v>
                </c:pt>
                <c:pt idx="20">
                  <c:v>320.7960000029247</c:v>
                </c:pt>
                <c:pt idx="21">
                  <c:v>323.11400000276046</c:v>
                </c:pt>
                <c:pt idx="22">
                  <c:v>325.43800000305617</c:v>
                </c:pt>
                <c:pt idx="23">
                  <c:v>327.76300000228161</c:v>
                </c:pt>
                <c:pt idx="24" formatCode="#,##0.00">
                  <c:v>330.09800000331785</c:v>
                </c:pt>
                <c:pt idx="25">
                  <c:v>332.44000000063778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73.6150000000695</c:v>
                </c:pt>
                <c:pt idx="1">
                  <c:v>73.547999999628829</c:v>
                </c:pt>
                <c:pt idx="2">
                  <c:v>80.066999999767106</c:v>
                </c:pt>
                <c:pt idx="3">
                  <c:v>71.523999999566144</c:v>
                </c:pt>
                <c:pt idx="4">
                  <c:v>83.289000000115607</c:v>
                </c:pt>
                <c:pt idx="5">
                  <c:v>74.761000000313388</c:v>
                </c:pt>
                <c:pt idx="6">
                  <c:v>93.556999999989756</c:v>
                </c:pt>
                <c:pt idx="7">
                  <c:v>92.026000000129613</c:v>
                </c:pt>
                <c:pt idx="8">
                  <c:v>88.778000000139372</c:v>
                </c:pt>
                <c:pt idx="9">
                  <c:v>87.07599999998088</c:v>
                </c:pt>
                <c:pt idx="10">
                  <c:v>102.6960000004706</c:v>
                </c:pt>
                <c:pt idx="11">
                  <c:v>101.42700000020554</c:v>
                </c:pt>
                <c:pt idx="12">
                  <c:v>97.07400000069444</c:v>
                </c:pt>
                <c:pt idx="13">
                  <c:v>95.931000000811906</c:v>
                </c:pt>
                <c:pt idx="14">
                  <c:v>96.903000001411797</c:v>
                </c:pt>
                <c:pt idx="15">
                  <c:v>97.292000001495268</c:v>
                </c:pt>
                <c:pt idx="16">
                  <c:v>97.791000001449817</c:v>
                </c:pt>
                <c:pt idx="17">
                  <c:v>98.224000002144052</c:v>
                </c:pt>
                <c:pt idx="18">
                  <c:v>98.549000002539273</c:v>
                </c:pt>
                <c:pt idx="19">
                  <c:v>98.817000002198569</c:v>
                </c:pt>
                <c:pt idx="20">
                  <c:v>99.123000002390796</c:v>
                </c:pt>
                <c:pt idx="21">
                  <c:v>99.472000002197674</c:v>
                </c:pt>
                <c:pt idx="22">
                  <c:v>99.838000002434995</c:v>
                </c:pt>
                <c:pt idx="23">
                  <c:v>100.20300000261507</c:v>
                </c:pt>
                <c:pt idx="24" formatCode="#,##0.00">
                  <c:v>100.55400000172413</c:v>
                </c:pt>
                <c:pt idx="25">
                  <c:v>100.89200000081811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89.037999999691962</c:v>
                </c:pt>
                <c:pt idx="1">
                  <c:v>89.419999999591809</c:v>
                </c:pt>
                <c:pt idx="2">
                  <c:v>86.450999999627342</c:v>
                </c:pt>
                <c:pt idx="3">
                  <c:v>73.13399999935163</c:v>
                </c:pt>
                <c:pt idx="4">
                  <c:v>84.668999999857533</c:v>
                </c:pt>
                <c:pt idx="5">
                  <c:v>99.6720000004821</c:v>
                </c:pt>
                <c:pt idx="6">
                  <c:v>95.023000000002355</c:v>
                </c:pt>
                <c:pt idx="7">
                  <c:v>86.3299999996959</c:v>
                </c:pt>
                <c:pt idx="8">
                  <c:v>83.940000000296479</c:v>
                </c:pt>
                <c:pt idx="9">
                  <c:v>87.452000000196477</c:v>
                </c:pt>
                <c:pt idx="10">
                  <c:v>97.074999999409286</c:v>
                </c:pt>
                <c:pt idx="11">
                  <c:v>96.889999999215632</c:v>
                </c:pt>
                <c:pt idx="12">
                  <c:v>96.592000000364877</c:v>
                </c:pt>
                <c:pt idx="13">
                  <c:v>96.791000000441358</c:v>
                </c:pt>
                <c:pt idx="14">
                  <c:v>97.053000000551251</c:v>
                </c:pt>
                <c:pt idx="15">
                  <c:v>97.001000000746984</c:v>
                </c:pt>
                <c:pt idx="16">
                  <c:v>96.8990000005345</c:v>
                </c:pt>
                <c:pt idx="17">
                  <c:v>96.813000002128959</c:v>
                </c:pt>
                <c:pt idx="18">
                  <c:v>96.757000002098366</c:v>
                </c:pt>
                <c:pt idx="19">
                  <c:v>96.750000002215117</c:v>
                </c:pt>
                <c:pt idx="20">
                  <c:v>96.805000002241613</c:v>
                </c:pt>
                <c:pt idx="21">
                  <c:v>96.904000002090712</c:v>
                </c:pt>
                <c:pt idx="22">
                  <c:v>97.027000002252223</c:v>
                </c:pt>
                <c:pt idx="23">
                  <c:v>97.17800000253942</c:v>
                </c:pt>
                <c:pt idx="24" formatCode="#,##0.00">
                  <c:v>97.353000001041067</c:v>
                </c:pt>
                <c:pt idx="25">
                  <c:v>97.558000000258232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106.43000000072863</c:v>
                </c:pt>
                <c:pt idx="1">
                  <c:v>96.484999999292015</c:v>
                </c:pt>
                <c:pt idx="2">
                  <c:v>94.628999999413466</c:v>
                </c:pt>
                <c:pt idx="3">
                  <c:v>94.089999999279556</c:v>
                </c:pt>
                <c:pt idx="4">
                  <c:v>94.769999999686334</c:v>
                </c:pt>
                <c:pt idx="5">
                  <c:v>93.169999999344981</c:v>
                </c:pt>
                <c:pt idx="6">
                  <c:v>89.281999999628582</c:v>
                </c:pt>
                <c:pt idx="7">
                  <c:v>90.566999999750863</c:v>
                </c:pt>
                <c:pt idx="8">
                  <c:v>89.341999999334661</c:v>
                </c:pt>
                <c:pt idx="9">
                  <c:v>87.053999999271809</c:v>
                </c:pt>
                <c:pt idx="10">
                  <c:v>89.344999999824566</c:v>
                </c:pt>
                <c:pt idx="11">
                  <c:v>90.235999999666134</c:v>
                </c:pt>
                <c:pt idx="12">
                  <c:v>91.807999999706539</c:v>
                </c:pt>
                <c:pt idx="13">
                  <c:v>92.995999999674865</c:v>
                </c:pt>
                <c:pt idx="14">
                  <c:v>94.490000000110456</c:v>
                </c:pt>
                <c:pt idx="15">
                  <c:v>95.20600000044486</c:v>
                </c:pt>
                <c:pt idx="16">
                  <c:v>95.774000000468192</c:v>
                </c:pt>
                <c:pt idx="17">
                  <c:v>96.349000000538723</c:v>
                </c:pt>
                <c:pt idx="18">
                  <c:v>96.92500000054423</c:v>
                </c:pt>
                <c:pt idx="19">
                  <c:v>97.498000000642762</c:v>
                </c:pt>
                <c:pt idx="20">
                  <c:v>98.071000000679348</c:v>
                </c:pt>
                <c:pt idx="21">
                  <c:v>98.637000000579604</c:v>
                </c:pt>
                <c:pt idx="22">
                  <c:v>99.208000000608877</c:v>
                </c:pt>
                <c:pt idx="23">
                  <c:v>99.776000001061774</c:v>
                </c:pt>
                <c:pt idx="24" formatCode="#,##0.00">
                  <c:v>100.35000000064998</c:v>
                </c:pt>
                <c:pt idx="25">
                  <c:v>100.93299999979894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248.69900000867776</c:v>
                </c:pt>
                <c:pt idx="1">
                  <c:v>256.06700000000768</c:v>
                </c:pt>
                <c:pt idx="2">
                  <c:v>256.19600000308128</c:v>
                </c:pt>
                <c:pt idx="3">
                  <c:v>261.06900000222527</c:v>
                </c:pt>
                <c:pt idx="4">
                  <c:v>270.64999999920622</c:v>
                </c:pt>
                <c:pt idx="5">
                  <c:v>263.15899999695313</c:v>
                </c:pt>
                <c:pt idx="6">
                  <c:v>271.20099999843603</c:v>
                </c:pt>
                <c:pt idx="7">
                  <c:v>261.68899999522381</c:v>
                </c:pt>
                <c:pt idx="8">
                  <c:v>282.54199999209743</c:v>
                </c:pt>
                <c:pt idx="9">
                  <c:v>281.39199999629238</c:v>
                </c:pt>
                <c:pt idx="10">
                  <c:v>283.23500000341642</c:v>
                </c:pt>
                <c:pt idx="11">
                  <c:v>280.66300001246123</c:v>
                </c:pt>
                <c:pt idx="12">
                  <c:v>278.47199998850692</c:v>
                </c:pt>
                <c:pt idx="13">
                  <c:v>278.17499998709127</c:v>
                </c:pt>
                <c:pt idx="14">
                  <c:v>278.41299999425246</c:v>
                </c:pt>
                <c:pt idx="15">
                  <c:v>279.15199998312448</c:v>
                </c:pt>
                <c:pt idx="16">
                  <c:v>279.46099998650794</c:v>
                </c:pt>
                <c:pt idx="17">
                  <c:v>279.76799998690296</c:v>
                </c:pt>
                <c:pt idx="18">
                  <c:v>280.09499998943369</c:v>
                </c:pt>
                <c:pt idx="19">
                  <c:v>280.45999998522439</c:v>
                </c:pt>
                <c:pt idx="20">
                  <c:v>281.01799998588393</c:v>
                </c:pt>
                <c:pt idx="21">
                  <c:v>281.58499998669691</c:v>
                </c:pt>
                <c:pt idx="22">
                  <c:v>282.13599998590746</c:v>
                </c:pt>
                <c:pt idx="23">
                  <c:v>282.6769999875242</c:v>
                </c:pt>
                <c:pt idx="24" formatCode="#,##0.00">
                  <c:v>283.21799998222093</c:v>
                </c:pt>
                <c:pt idx="25">
                  <c:v>283.76200000257643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296.43800000492155</c:v>
                </c:pt>
                <c:pt idx="1">
                  <c:v>318.7120000007875</c:v>
                </c:pt>
                <c:pt idx="2">
                  <c:v>319.06000000190335</c:v>
                </c:pt>
                <c:pt idx="3">
                  <c:v>339.34400000222706</c:v>
                </c:pt>
                <c:pt idx="4">
                  <c:v>347.93699999992066</c:v>
                </c:pt>
                <c:pt idx="5">
                  <c:v>341.61899999510536</c:v>
                </c:pt>
                <c:pt idx="6">
                  <c:v>357.07599999948752</c:v>
                </c:pt>
                <c:pt idx="7">
                  <c:v>376.49899999900936</c:v>
                </c:pt>
                <c:pt idx="8">
                  <c:v>361.14899999480104</c:v>
                </c:pt>
                <c:pt idx="9">
                  <c:v>380.34299999432375</c:v>
                </c:pt>
                <c:pt idx="10">
                  <c:v>367.03799999996426</c:v>
                </c:pt>
                <c:pt idx="11">
                  <c:v>374.07500000365906</c:v>
                </c:pt>
                <c:pt idx="12">
                  <c:v>380.07199999614477</c:v>
                </c:pt>
                <c:pt idx="13">
                  <c:v>385.47699999510485</c:v>
                </c:pt>
                <c:pt idx="14">
                  <c:v>391.70799999588155</c:v>
                </c:pt>
                <c:pt idx="15">
                  <c:v>396.8929999952677</c:v>
                </c:pt>
                <c:pt idx="16">
                  <c:v>401.33199999637446</c:v>
                </c:pt>
                <c:pt idx="17">
                  <c:v>405.54299999081155</c:v>
                </c:pt>
                <c:pt idx="18">
                  <c:v>409.68699998990542</c:v>
                </c:pt>
                <c:pt idx="19">
                  <c:v>413.79999998983322</c:v>
                </c:pt>
                <c:pt idx="20">
                  <c:v>417.88699999006838</c:v>
                </c:pt>
                <c:pt idx="21">
                  <c:v>421.97399998880542</c:v>
                </c:pt>
                <c:pt idx="22">
                  <c:v>426.05999998781749</c:v>
                </c:pt>
                <c:pt idx="23">
                  <c:v>430.17799998723336</c:v>
                </c:pt>
                <c:pt idx="24" formatCode="#,##0.00">
                  <c:v>434.35099999180864</c:v>
                </c:pt>
                <c:pt idx="25">
                  <c:v>438.58499999829911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68.895999999524093</c:v>
                </c:pt>
                <c:pt idx="1">
                  <c:v>62.275000000054419</c:v>
                </c:pt>
                <c:pt idx="2">
                  <c:v>72.898000000046096</c:v>
                </c:pt>
                <c:pt idx="3">
                  <c:v>62.946999999986389</c:v>
                </c:pt>
                <c:pt idx="4">
                  <c:v>69.087999999488673</c:v>
                </c:pt>
                <c:pt idx="5">
                  <c:v>72.308000000125929</c:v>
                </c:pt>
                <c:pt idx="6">
                  <c:v>67.800999999299478</c:v>
                </c:pt>
                <c:pt idx="7">
                  <c:v>60.017000000324032</c:v>
                </c:pt>
                <c:pt idx="8">
                  <c:v>72.625000000488214</c:v>
                </c:pt>
                <c:pt idx="9">
                  <c:v>77.823000000426504</c:v>
                </c:pt>
                <c:pt idx="10">
                  <c:v>55.543999999892442</c:v>
                </c:pt>
                <c:pt idx="11">
                  <c:v>55.106999999848327</c:v>
                </c:pt>
                <c:pt idx="12">
                  <c:v>55.129000000249718</c:v>
                </c:pt>
                <c:pt idx="13">
                  <c:v>55.589000000254266</c:v>
                </c:pt>
                <c:pt idx="14">
                  <c:v>56.641000000128926</c:v>
                </c:pt>
                <c:pt idx="15">
                  <c:v>56.970000000368515</c:v>
                </c:pt>
                <c:pt idx="16">
                  <c:v>57.191000000304598</c:v>
                </c:pt>
                <c:pt idx="17">
                  <c:v>57.319000000444113</c:v>
                </c:pt>
                <c:pt idx="18">
                  <c:v>57.387000000420443</c:v>
                </c:pt>
                <c:pt idx="19">
                  <c:v>57.446000000361011</c:v>
                </c:pt>
                <c:pt idx="20">
                  <c:v>57.490000000443928</c:v>
                </c:pt>
                <c:pt idx="21">
                  <c:v>57.524000000417907</c:v>
                </c:pt>
                <c:pt idx="22">
                  <c:v>57.545000000513205</c:v>
                </c:pt>
                <c:pt idx="23">
                  <c:v>57.579000000420308</c:v>
                </c:pt>
                <c:pt idx="24">
                  <c:v>57.593000000371987</c:v>
                </c:pt>
                <c:pt idx="25">
                  <c:v>57.639000000147448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231.9529999992946</c:v>
                </c:pt>
                <c:pt idx="1">
                  <c:v>236.92399999968666</c:v>
                </c:pt>
                <c:pt idx="2">
                  <c:v>244.27799999964088</c:v>
                </c:pt>
                <c:pt idx="3">
                  <c:v>230.22399999950471</c:v>
                </c:pt>
                <c:pt idx="4">
                  <c:v>229.55199999879522</c:v>
                </c:pt>
                <c:pt idx="5">
                  <c:v>225.15099999980188</c:v>
                </c:pt>
                <c:pt idx="6">
                  <c:v>235.70999999870156</c:v>
                </c:pt>
                <c:pt idx="7">
                  <c:v>237.14500000081912</c:v>
                </c:pt>
                <c:pt idx="8">
                  <c:v>234.84400000091108</c:v>
                </c:pt>
                <c:pt idx="9">
                  <c:v>227.75800000002653</c:v>
                </c:pt>
                <c:pt idx="10">
                  <c:v>220.63999999966697</c:v>
                </c:pt>
                <c:pt idx="11">
                  <c:v>220.36599999949433</c:v>
                </c:pt>
                <c:pt idx="12">
                  <c:v>218.26600000073103</c:v>
                </c:pt>
                <c:pt idx="13">
                  <c:v>215.95200000068155</c:v>
                </c:pt>
                <c:pt idx="14">
                  <c:v>214.3000000004717</c:v>
                </c:pt>
                <c:pt idx="15">
                  <c:v>212.38000000164976</c:v>
                </c:pt>
                <c:pt idx="16">
                  <c:v>210.43000000151807</c:v>
                </c:pt>
                <c:pt idx="17">
                  <c:v>208.47400000174923</c:v>
                </c:pt>
                <c:pt idx="18">
                  <c:v>206.59900000167411</c:v>
                </c:pt>
                <c:pt idx="19">
                  <c:v>204.77200000132819</c:v>
                </c:pt>
                <c:pt idx="20">
                  <c:v>203.14900000170553</c:v>
                </c:pt>
                <c:pt idx="21">
                  <c:v>201.47800000163215</c:v>
                </c:pt>
                <c:pt idx="22">
                  <c:v>199.86200000205733</c:v>
                </c:pt>
                <c:pt idx="23">
                  <c:v>198.28200000167988</c:v>
                </c:pt>
                <c:pt idx="24">
                  <c:v>196.72500000172943</c:v>
                </c:pt>
                <c:pt idx="25">
                  <c:v>195.23700000064912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220.26799999824664</c:v>
                </c:pt>
                <c:pt idx="1">
                  <c:v>223.24499999990505</c:v>
                </c:pt>
                <c:pt idx="2">
                  <c:v>209.38799999959073</c:v>
                </c:pt>
                <c:pt idx="3">
                  <c:v>209.04999999887849</c:v>
                </c:pt>
                <c:pt idx="4">
                  <c:v>223.79699999599711</c:v>
                </c:pt>
                <c:pt idx="5">
                  <c:v>243.42699999686482</c:v>
                </c:pt>
                <c:pt idx="6">
                  <c:v>241.69199999409017</c:v>
                </c:pt>
                <c:pt idx="7">
                  <c:v>252.72000000213029</c:v>
                </c:pt>
                <c:pt idx="8">
                  <c:v>248.74100000189787</c:v>
                </c:pt>
                <c:pt idx="9">
                  <c:v>240.42400000202716</c:v>
                </c:pt>
                <c:pt idx="10">
                  <c:v>273.41399999809221</c:v>
                </c:pt>
                <c:pt idx="11">
                  <c:v>271.81899999695912</c:v>
                </c:pt>
                <c:pt idx="12">
                  <c:v>276.43999999348642</c:v>
                </c:pt>
                <c:pt idx="13">
                  <c:v>286.52599999318193</c:v>
                </c:pt>
                <c:pt idx="14">
                  <c:v>294.26199999268198</c:v>
                </c:pt>
                <c:pt idx="15">
                  <c:v>297.71799999340323</c:v>
                </c:pt>
                <c:pt idx="16">
                  <c:v>300.88299999371856</c:v>
                </c:pt>
                <c:pt idx="17">
                  <c:v>303.43899999469579</c:v>
                </c:pt>
                <c:pt idx="18">
                  <c:v>306.34199999350761</c:v>
                </c:pt>
                <c:pt idx="19">
                  <c:v>309.1199999933956</c:v>
                </c:pt>
                <c:pt idx="20">
                  <c:v>312.27299999258224</c:v>
                </c:pt>
                <c:pt idx="21">
                  <c:v>315.5009999956186</c:v>
                </c:pt>
                <c:pt idx="22">
                  <c:v>318.82899999577114</c:v>
                </c:pt>
                <c:pt idx="23">
                  <c:v>322.22799999441241</c:v>
                </c:pt>
                <c:pt idx="24" formatCode="#,##0.00">
                  <c:v>325.68599999369553</c:v>
                </c:pt>
                <c:pt idx="25">
                  <c:v>329.19799999638491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787.46599998377076</c:v>
                </c:pt>
                <c:pt idx="1">
                  <c:v>798.62100000389364</c:v>
                </c:pt>
                <c:pt idx="2">
                  <c:v>794.92199999886361</c:v>
                </c:pt>
                <c:pt idx="3">
                  <c:v>785.41400000163162</c:v>
                </c:pt>
                <c:pt idx="4">
                  <c:v>812.82700000475268</c:v>
                </c:pt>
                <c:pt idx="5">
                  <c:v>823.25800001243113</c:v>
                </c:pt>
                <c:pt idx="6">
                  <c:v>841.97000000603771</c:v>
                </c:pt>
                <c:pt idx="7">
                  <c:v>864.40400000751686</c:v>
                </c:pt>
                <c:pt idx="8">
                  <c:v>882.5130000129692</c:v>
                </c:pt>
                <c:pt idx="9">
                  <c:v>857.35200000995974</c:v>
                </c:pt>
                <c:pt idx="10">
                  <c:v>840.56900000112444</c:v>
                </c:pt>
                <c:pt idx="11">
                  <c:v>840.32899999241999</c:v>
                </c:pt>
                <c:pt idx="12">
                  <c:v>846.93400001827638</c:v>
                </c:pt>
                <c:pt idx="13">
                  <c:v>853.6940000207303</c:v>
                </c:pt>
                <c:pt idx="14">
                  <c:v>861.42400001061606</c:v>
                </c:pt>
                <c:pt idx="15">
                  <c:v>867.31800001808961</c:v>
                </c:pt>
                <c:pt idx="16">
                  <c:v>871.90800001437287</c:v>
                </c:pt>
                <c:pt idx="17">
                  <c:v>876.03400001430896</c:v>
                </c:pt>
                <c:pt idx="18">
                  <c:v>879.91600001311951</c:v>
                </c:pt>
                <c:pt idx="19">
                  <c:v>883.61800001600511</c:v>
                </c:pt>
                <c:pt idx="20">
                  <c:v>887.40600001506721</c:v>
                </c:pt>
                <c:pt idx="21">
                  <c:v>891.10500001510286</c:v>
                </c:pt>
                <c:pt idx="22">
                  <c:v>894.71300001571706</c:v>
                </c:pt>
                <c:pt idx="23">
                  <c:v>898.39400001137506</c:v>
                </c:pt>
                <c:pt idx="24">
                  <c:v>901.95700001946091</c:v>
                </c:pt>
                <c:pt idx="25">
                  <c:v>905.46000000168863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838.31800000422675</c:v>
                </c:pt>
                <c:pt idx="1">
                  <c:v>791.59599999508964</c:v>
                </c:pt>
                <c:pt idx="2">
                  <c:v>873.62499999619058</c:v>
                </c:pt>
                <c:pt idx="3">
                  <c:v>884.8059999950824</c:v>
                </c:pt>
                <c:pt idx="4">
                  <c:v>949.77400000210969</c:v>
                </c:pt>
                <c:pt idx="5">
                  <c:v>993.68699999888429</c:v>
                </c:pt>
                <c:pt idx="6">
                  <c:v>988.34000000313245</c:v>
                </c:pt>
                <c:pt idx="7">
                  <c:v>1011.6019999959028</c:v>
                </c:pt>
                <c:pt idx="8">
                  <c:v>1005.5469999975095</c:v>
                </c:pt>
                <c:pt idx="9">
                  <c:v>1054.9569999959917</c:v>
                </c:pt>
                <c:pt idx="10">
                  <c:v>1044.4069999964181</c:v>
                </c:pt>
                <c:pt idx="11">
                  <c:v>1053.4589999937739</c:v>
                </c:pt>
                <c:pt idx="12">
                  <c:v>1056.1590000013991</c:v>
                </c:pt>
                <c:pt idx="13">
                  <c:v>1061.5680000015461</c:v>
                </c:pt>
                <c:pt idx="14">
                  <c:v>1068.9760000039339</c:v>
                </c:pt>
                <c:pt idx="15">
                  <c:v>1074.6150000076559</c:v>
                </c:pt>
                <c:pt idx="16">
                  <c:v>1080.4850000067479</c:v>
                </c:pt>
                <c:pt idx="17">
                  <c:v>1086.282000009918</c:v>
                </c:pt>
                <c:pt idx="18">
                  <c:v>1092.0440000100159</c:v>
                </c:pt>
                <c:pt idx="19">
                  <c:v>1097.8870000125351</c:v>
                </c:pt>
                <c:pt idx="20">
                  <c:v>1103.8660000128807</c:v>
                </c:pt>
                <c:pt idx="21">
                  <c:v>1109.7660000104406</c:v>
                </c:pt>
                <c:pt idx="22">
                  <c:v>1115.713000010755</c:v>
                </c:pt>
                <c:pt idx="23">
                  <c:v>1121.6560000156271</c:v>
                </c:pt>
                <c:pt idx="24">
                  <c:v>1127.571000009714</c:v>
                </c:pt>
                <c:pt idx="25">
                  <c:v>1133.4689999983545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651.56700001432796</c:v>
                </c:pt>
                <c:pt idx="1">
                  <c:v>671.26400000008721</c:v>
                </c:pt>
                <c:pt idx="2">
                  <c:v>669.88500000439808</c:v>
                </c:pt>
                <c:pt idx="3">
                  <c:v>694.50300000373181</c:v>
                </c:pt>
                <c:pt idx="4">
                  <c:v>713.35699999881319</c:v>
                </c:pt>
                <c:pt idx="5">
                  <c:v>697.94799999140344</c:v>
                </c:pt>
                <c:pt idx="6">
                  <c:v>717.55899999755206</c:v>
                </c:pt>
                <c:pt idx="7">
                  <c:v>728.75499999398403</c:v>
                </c:pt>
                <c:pt idx="8">
                  <c:v>733.03299998623311</c:v>
                </c:pt>
                <c:pt idx="9">
                  <c:v>748.788999989888</c:v>
                </c:pt>
                <c:pt idx="10">
                  <c:v>739.61800000320522</c:v>
                </c:pt>
                <c:pt idx="11">
                  <c:v>744.97400001578649</c:v>
                </c:pt>
                <c:pt idx="12">
                  <c:v>750.35199998435826</c:v>
                </c:pt>
                <c:pt idx="13">
                  <c:v>756.64799998187095</c:v>
                </c:pt>
                <c:pt idx="14">
                  <c:v>764.61099999024441</c:v>
                </c:pt>
                <c:pt idx="15">
                  <c:v>771.25099997883706</c:v>
                </c:pt>
                <c:pt idx="16">
                  <c:v>776.56699998335057</c:v>
                </c:pt>
                <c:pt idx="17">
                  <c:v>781.65999997825315</c:v>
                </c:pt>
                <c:pt idx="18">
                  <c:v>786.70699997988334</c:v>
                </c:pt>
                <c:pt idx="19">
                  <c:v>791.75799997570039</c:v>
                </c:pt>
                <c:pt idx="20">
                  <c:v>796.97599997663167</c:v>
                </c:pt>
                <c:pt idx="21">
                  <c:v>802.19599997608191</c:v>
                </c:pt>
                <c:pt idx="22">
                  <c:v>807.40399997433383</c:v>
                </c:pt>
                <c:pt idx="23">
                  <c:v>812.63099997581935</c:v>
                </c:pt>
                <c:pt idx="24">
                  <c:v>817.91899997467954</c:v>
                </c:pt>
                <c:pt idx="25">
                  <c:v>823.28000000067448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22.840264298940301</c:v>
                </c:pt>
                <c:pt idx="1">
                  <c:v>23.300984943682622</c:v>
                </c:pt>
                <c:pt idx="2">
                  <c:v>23.902797766652061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32.518287480836904</c:v>
                </c:pt>
                <c:pt idx="1">
                  <c:v>32.903082107098278</c:v>
                </c:pt>
                <c:pt idx="2">
                  <c:v>32.908706979044574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26.941018968078605</c:v>
                </c:pt>
                <c:pt idx="1">
                  <c:v>26.481353364936606</c:v>
                </c:pt>
                <c:pt idx="2">
                  <c:v>26.288780567747803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7.9661192775035001</c:v>
                </c:pt>
                <c:pt idx="1">
                  <c:v>8.6136566407523585</c:v>
                </c:pt>
                <c:pt idx="2">
                  <c:v>9.5578092739936213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7.3680393771878734</c:v>
                </c:pt>
                <c:pt idx="1">
                  <c:v>6.9510603013232402</c:v>
                </c:pt>
                <c:pt idx="2">
                  <c:v>5.6684366528757444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2.3662705974528091</c:v>
                </c:pt>
                <c:pt idx="1">
                  <c:v>1.7498626422069126</c:v>
                </c:pt>
                <c:pt idx="2">
                  <c:v>1.6734687596861992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41.670000011801676</c:v>
                </c:pt>
                <c:pt idx="1">
                  <c:v>50.719999997533591</c:v>
                </c:pt>
                <c:pt idx="2">
                  <c:v>17.310999988693311</c:v>
                </c:pt>
                <c:pt idx="3">
                  <c:v>29.987000001227386</c:v>
                </c:pt>
                <c:pt idx="4">
                  <c:v>-4.511000000134942</c:v>
                </c:pt>
                <c:pt idx="5">
                  <c:v>-16.764000000233494</c:v>
                </c:pt>
                <c:pt idx="7">
                  <c:v>118.41299999888724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83.661999997469138</c:v>
                </c:pt>
                <c:pt idx="1">
                  <c:v>89.062000001935985</c:v>
                </c:pt>
                <c:pt idx="2">
                  <c:v>64.891000000564077</c:v>
                </c:pt>
                <c:pt idx="3">
                  <c:v>55.783999998292643</c:v>
                </c:pt>
                <c:pt idx="4">
                  <c:v>-25.402999999017794</c:v>
                </c:pt>
                <c:pt idx="5">
                  <c:v>2.0950000002550127</c:v>
                </c:pt>
                <c:pt idx="7">
                  <c:v>270.0909999994991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0.54590226783473028</c:v>
                </c:pt>
                <c:pt idx="2">
                  <c:v>-0.13158618460941129</c:v>
                </c:pt>
                <c:pt idx="3">
                  <c:v>-0.93811338318854354</c:v>
                </c:pt>
                <c:pt idx="4">
                  <c:v>-0.2275750326569681</c:v>
                </c:pt>
                <c:pt idx="6">
                  <c:v>0.92453395931741955</c:v>
                </c:pt>
                <c:pt idx="7">
                  <c:v>1.4493105254052674</c:v>
                </c:pt>
                <c:pt idx="8">
                  <c:v>1.1202101713344126</c:v>
                </c:pt>
                <c:pt idx="10">
                  <c:v>2.6340133659368936</c:v>
                </c:pt>
                <c:pt idx="11">
                  <c:v>-0.81633506146870927</c:v>
                </c:pt>
                <c:pt idx="12">
                  <c:v>3.4170420478374375E-2</c:v>
                </c:pt>
                <c:pt idx="14">
                  <c:v>-0.83734275386647683</c:v>
                </c:pt>
                <c:pt idx="15">
                  <c:v>0.30771623498284661</c:v>
                </c:pt>
                <c:pt idx="16">
                  <c:v>1.3782722431169292</c:v>
                </c:pt>
                <c:pt idx="17">
                  <c:v>1.1110181574021327</c:v>
                </c:pt>
                <c:pt idx="19">
                  <c:v>0.25415257248648793</c:v>
                </c:pt>
                <c:pt idx="20">
                  <c:v>-0.16960802858529966</c:v>
                </c:pt>
                <c:pt idx="21">
                  <c:v>-4.8812864721137217E-2</c:v>
                </c:pt>
                <c:pt idx="22">
                  <c:v>1.4394918463066508</c:v>
                </c:pt>
                <c:pt idx="23">
                  <c:v>0.15007890322629169</c:v>
                </c:pt>
                <c:pt idx="25">
                  <c:v>-1.7758477550489871</c:v>
                </c:pt>
                <c:pt idx="26">
                  <c:v>-0.92632400249459401</c:v>
                </c:pt>
                <c:pt idx="27">
                  <c:v>-1.0952074698839409</c:v>
                </c:pt>
                <c:pt idx="29">
                  <c:v>0.19440237999988064</c:v>
                </c:pt>
                <c:pt idx="30">
                  <c:v>0.30999705484293649</c:v>
                </c:pt>
                <c:pt idx="31">
                  <c:v>2.638287682793039</c:v>
                </c:pt>
                <c:pt idx="32">
                  <c:v>0.92842394661138972</c:v>
                </c:pt>
                <c:pt idx="33">
                  <c:v>-0.23224358115438992</c:v>
                </c:pt>
                <c:pt idx="34">
                  <c:v>0.45774018284301388</c:v>
                </c:pt>
                <c:pt idx="36">
                  <c:v>1.7000215177650269</c:v>
                </c:pt>
                <c:pt idx="37">
                  <c:v>0.78622586089196478</c:v>
                </c:pt>
                <c:pt idx="38">
                  <c:v>1.3224450025044021</c:v>
                </c:pt>
                <c:pt idx="39">
                  <c:v>1.1173695766667269</c:v>
                </c:pt>
                <c:pt idx="40">
                  <c:v>1.2669980623998933</c:v>
                </c:pt>
                <c:pt idx="42">
                  <c:v>2.5262673128389146</c:v>
                </c:pt>
                <c:pt idx="43">
                  <c:v>0.3041836297678735</c:v>
                </c:pt>
                <c:pt idx="44">
                  <c:v>1.0387408147528587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0.76326935937192086</c:v>
                </c:pt>
                <c:pt idx="2">
                  <c:v>-1.3887345692330855</c:v>
                </c:pt>
                <c:pt idx="3">
                  <c:v>-4.3364738225939892</c:v>
                </c:pt>
                <c:pt idx="4">
                  <c:v>-1.787946593133205</c:v>
                </c:pt>
                <c:pt idx="6">
                  <c:v>0.36976390783216573</c:v>
                </c:pt>
                <c:pt idx="7">
                  <c:v>-3.0966642453412629</c:v>
                </c:pt>
                <c:pt idx="8">
                  <c:v>-0.97947940465830108</c:v>
                </c:pt>
                <c:pt idx="10">
                  <c:v>2.0844775489070599</c:v>
                </c:pt>
                <c:pt idx="11">
                  <c:v>-2.5393378273740552</c:v>
                </c:pt>
                <c:pt idx="12">
                  <c:v>-1.6957742132599263</c:v>
                </c:pt>
                <c:pt idx="14">
                  <c:v>1.6805595056316625</c:v>
                </c:pt>
                <c:pt idx="15">
                  <c:v>1.9471462043492149</c:v>
                </c:pt>
                <c:pt idx="16">
                  <c:v>1.080611621310168</c:v>
                </c:pt>
                <c:pt idx="17">
                  <c:v>1.292963045234119</c:v>
                </c:pt>
                <c:pt idx="19">
                  <c:v>-3.2432521074577836</c:v>
                </c:pt>
                <c:pt idx="20">
                  <c:v>-2.9967919961930378</c:v>
                </c:pt>
                <c:pt idx="21">
                  <c:v>-3.1748157917366293</c:v>
                </c:pt>
                <c:pt idx="22">
                  <c:v>-6.6735748192099269</c:v>
                </c:pt>
                <c:pt idx="23">
                  <c:v>-3.5316230088898615</c:v>
                </c:pt>
                <c:pt idx="25">
                  <c:v>-1.8337079873401385</c:v>
                </c:pt>
                <c:pt idx="26">
                  <c:v>0.1647529298403283</c:v>
                </c:pt>
                <c:pt idx="27">
                  <c:v>-0.27230608260562228</c:v>
                </c:pt>
                <c:pt idx="29">
                  <c:v>2.0095681633256923</c:v>
                </c:pt>
                <c:pt idx="30">
                  <c:v>3.5136088124311238</c:v>
                </c:pt>
                <c:pt idx="31">
                  <c:v>1.2014625222531494</c:v>
                </c:pt>
                <c:pt idx="32">
                  <c:v>3.7068034208610712</c:v>
                </c:pt>
                <c:pt idx="33">
                  <c:v>5.1271833935540245</c:v>
                </c:pt>
                <c:pt idx="34">
                  <c:v>2.8611394165836579</c:v>
                </c:pt>
                <c:pt idx="36">
                  <c:v>4.8298739097845989</c:v>
                </c:pt>
                <c:pt idx="37">
                  <c:v>3.2668508354085413</c:v>
                </c:pt>
                <c:pt idx="38">
                  <c:v>3.3263002992039548</c:v>
                </c:pt>
                <c:pt idx="39">
                  <c:v>3.3008095717167008</c:v>
                </c:pt>
                <c:pt idx="40">
                  <c:v>3.7506154076215381</c:v>
                </c:pt>
                <c:pt idx="42">
                  <c:v>1.1897846321342831</c:v>
                </c:pt>
                <c:pt idx="43">
                  <c:v>3.5794963005086888</c:v>
                </c:pt>
                <c:pt idx="44">
                  <c:v>2.833630031543577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41.34851551639224</c:v>
                </c:pt>
                <c:pt idx="1">
                  <c:v>6.2278765585959377</c:v>
                </c:pt>
                <c:pt idx="2">
                  <c:v>32.865204835191861</c:v>
                </c:pt>
                <c:pt idx="3">
                  <c:v>18.004810896696696</c:v>
                </c:pt>
                <c:pt idx="4">
                  <c:v>22.417159697251009</c:v>
                </c:pt>
                <c:pt idx="5">
                  <c:v>45.225712401714702</c:v>
                </c:pt>
                <c:pt idx="6">
                  <c:v>14.74576208270912</c:v>
                </c:pt>
                <c:pt idx="7">
                  <c:v>8.7010556554152387</c:v>
                </c:pt>
                <c:pt idx="8">
                  <c:v>1.8470895608749309</c:v>
                </c:pt>
                <c:pt idx="9">
                  <c:v>11.53925116471099</c:v>
                </c:pt>
                <c:pt idx="10">
                  <c:v>19.06192131604513</c:v>
                </c:pt>
                <c:pt idx="11">
                  <c:v>2.1456346100832775</c:v>
                </c:pt>
                <c:pt idx="12">
                  <c:v>-6.6853769336353963</c:v>
                </c:pt>
                <c:pt idx="13">
                  <c:v>-11.425806004674389</c:v>
                </c:pt>
                <c:pt idx="14">
                  <c:v>-17.580007862255542</c:v>
                </c:pt>
                <c:pt idx="15">
                  <c:v>-13.560142754733477</c:v>
                </c:pt>
                <c:pt idx="16">
                  <c:v>-10.89873922527029</c:v>
                </c:pt>
                <c:pt idx="17">
                  <c:v>11.702184829725695</c:v>
                </c:pt>
                <c:pt idx="18">
                  <c:v>6.6587091696413125</c:v>
                </c:pt>
                <c:pt idx="19">
                  <c:v>0.27304183767534784</c:v>
                </c:pt>
                <c:pt idx="20">
                  <c:v>-26.720551387506958</c:v>
                </c:pt>
                <c:pt idx="21">
                  <c:v>4.8868712611710734</c:v>
                </c:pt>
                <c:pt idx="22">
                  <c:v>-11.272597689071134</c:v>
                </c:pt>
                <c:pt idx="23">
                  <c:v>2.1106804581175709</c:v>
                </c:pt>
                <c:pt idx="24">
                  <c:v>-10.914974181235365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11.952264123104271</c:v>
                </c:pt>
                <c:pt idx="1">
                  <c:v>49.225208085441466</c:v>
                </c:pt>
                <c:pt idx="2">
                  <c:v>39.771130633518709</c:v>
                </c:pt>
                <c:pt idx="3">
                  <c:v>25.985600013100608</c:v>
                </c:pt>
                <c:pt idx="4">
                  <c:v>18.819618870071309</c:v>
                </c:pt>
                <c:pt idx="5">
                  <c:v>61.931736239256594</c:v>
                </c:pt>
                <c:pt idx="6">
                  <c:v>-2.2848968922760093</c:v>
                </c:pt>
                <c:pt idx="7">
                  <c:v>7.7754781570024676</c:v>
                </c:pt>
                <c:pt idx="8">
                  <c:v>15.227568546365063</c:v>
                </c:pt>
                <c:pt idx="9">
                  <c:v>3.4580078413247719</c:v>
                </c:pt>
                <c:pt idx="10">
                  <c:v>5.9505496779578664</c:v>
                </c:pt>
                <c:pt idx="11">
                  <c:v>-34.104315212636351</c:v>
                </c:pt>
                <c:pt idx="12">
                  <c:v>-16.251361028731445</c:v>
                </c:pt>
                <c:pt idx="13">
                  <c:v>6.623388735060626</c:v>
                </c:pt>
                <c:pt idx="14">
                  <c:v>-0.73280054780798309</c:v>
                </c:pt>
                <c:pt idx="15">
                  <c:v>-2.074831155631415</c:v>
                </c:pt>
                <c:pt idx="16">
                  <c:v>2.3600751617724072</c:v>
                </c:pt>
                <c:pt idx="17">
                  <c:v>50.977724785936459</c:v>
                </c:pt>
                <c:pt idx="18">
                  <c:v>3.4166896791630705</c:v>
                </c:pt>
                <c:pt idx="19">
                  <c:v>-0.40468456566999356</c:v>
                </c:pt>
                <c:pt idx="20">
                  <c:v>-22.525207462070767</c:v>
                </c:pt>
                <c:pt idx="21">
                  <c:v>23.781697709495489</c:v>
                </c:pt>
                <c:pt idx="22">
                  <c:v>15.943429451522164</c:v>
                </c:pt>
                <c:pt idx="23">
                  <c:v>17.086983264389815</c:v>
                </c:pt>
                <c:pt idx="24">
                  <c:v>-5.7990214938288744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8315200485707968"/>
              <c:y val="0.94978212240515392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47.576392074988235</c:v>
                </c:pt>
                <c:pt idx="1">
                  <c:v>118.51288783085431</c:v>
                </c:pt>
                <c:pt idx="2">
                  <c:v>55.895079779755406</c:v>
                </c:pt>
                <c:pt idx="3">
                  <c:v>-4.5397423235521046</c:v>
                </c:pt>
                <c:pt idx="4">
                  <c:v>-53.464695846933694</c:v>
                </c:pt>
                <c:pt idx="5">
                  <c:v>18.633935837042372</c:v>
                </c:pt>
                <c:pt idx="6">
                  <c:v>-21.833680126335878</c:v>
                </c:pt>
                <c:pt idx="7">
                  <c:v>-9.1619172309535486</c:v>
                </c:pt>
                <c:pt idx="8">
                  <c:v>-33.205259995977372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6-49AD-83CA-ED2B408A2B3B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61.177472208545737</c:v>
                </c:pt>
                <c:pt idx="1">
                  <c:v>146.50808575594715</c:v>
                </c:pt>
                <c:pt idx="2">
                  <c:v>30.126707330374188</c:v>
                </c:pt>
                <c:pt idx="3">
                  <c:v>-50.355676241367803</c:v>
                </c:pt>
                <c:pt idx="4">
                  <c:v>6.1758321933936031</c:v>
                </c:pt>
                <c:pt idx="5">
                  <c:v>53.989729899429562</c:v>
                </c:pt>
                <c:pt idx="6">
                  <c:v>1.2564902474247219</c:v>
                </c:pt>
                <c:pt idx="7">
                  <c:v>33.030412715911979</c:v>
                </c:pt>
                <c:pt idx="8">
                  <c:v>-11.818054110158357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6-49AD-83CA-ED2B408A2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173.02330483594645</c:v>
                </c:pt>
                <c:pt idx="1">
                  <c:v>189.5526330335656</c:v>
                </c:pt>
                <c:pt idx="2">
                  <c:v>197.83808962161356</c:v>
                </c:pt>
                <c:pt idx="3">
                  <c:v>203.22629261383048</c:v>
                </c:pt>
                <c:pt idx="4">
                  <c:v>199.72401344796415</c:v>
                </c:pt>
                <c:pt idx="5">
                  <c:v>215.07175900141254</c:v>
                </c:pt>
                <c:pt idx="6">
                  <c:v>226.34980465913958</c:v>
                </c:pt>
                <c:pt idx="7">
                  <c:v>243.93479776014036</c:v>
                </c:pt>
                <c:pt idx="8">
                  <c:v>243.2112154477704</c:v>
                </c:pt>
                <c:pt idx="9">
                  <c:v>251.33188958578569</c:v>
                </c:pt>
                <c:pt idx="10">
                  <c:v>256.42027451780478</c:v>
                </c:pt>
                <c:pt idx="11">
                  <c:v>229.22278483378187</c:v>
                </c:pt>
                <c:pt idx="12">
                  <c:v>231.95534719581119</c:v>
                </c:pt>
                <c:pt idx="13">
                  <c:v>235.3943986152662</c:v>
                </c:pt>
                <c:pt idx="14">
                  <c:v>239.02243544585556</c:v>
                </c:pt>
                <c:pt idx="15">
                  <c:v>241.82674878761222</c:v>
                </c:pt>
                <c:pt idx="16">
                  <c:v>244.44864110609981</c:v>
                </c:pt>
                <c:pt idx="17">
                  <c:v>247.02130012565266</c:v>
                </c:pt>
                <c:pt idx="18">
                  <c:v>249.56021471541007</c:v>
                </c:pt>
                <c:pt idx="19">
                  <c:v>252.07990402664956</c:v>
                </c:pt>
                <c:pt idx="20">
                  <c:v>254.66698521831461</c:v>
                </c:pt>
                <c:pt idx="21">
                  <c:v>257.29284251130832</c:v>
                </c:pt>
                <c:pt idx="22">
                  <c:v>259.94466561127115</c:v>
                </c:pt>
                <c:pt idx="23">
                  <c:v>262.66798787364843</c:v>
                </c:pt>
                <c:pt idx="24">
                  <c:v>265.51380454324772</c:v>
                </c:pt>
                <c:pt idx="25">
                  <c:v>268.37253864090906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77.508276123101822</c:v>
                </c:pt>
                <c:pt idx="1">
                  <c:v>86.395095110891958</c:v>
                </c:pt>
                <c:pt idx="2">
                  <c:v>93.82722550132307</c:v>
                </c:pt>
                <c:pt idx="3">
                  <c:v>92.570482419780859</c:v>
                </c:pt>
                <c:pt idx="4">
                  <c:v>102.66109706187862</c:v>
                </c:pt>
                <c:pt idx="5">
                  <c:v>102.22745303138501</c:v>
                </c:pt>
                <c:pt idx="6">
                  <c:v>93.174700666448814</c:v>
                </c:pt>
                <c:pt idx="7">
                  <c:v>103.63766723149882</c:v>
                </c:pt>
                <c:pt idx="8">
                  <c:v>104.37572728882833</c:v>
                </c:pt>
                <c:pt idx="9">
                  <c:v>107.51427216223921</c:v>
                </c:pt>
                <c:pt idx="10">
                  <c:v>108.45532958998095</c:v>
                </c:pt>
                <c:pt idx="11">
                  <c:v>125.84179436379539</c:v>
                </c:pt>
                <c:pt idx="12">
                  <c:v>127.8443544698715</c:v>
                </c:pt>
                <c:pt idx="13">
                  <c:v>130.28833609990923</c:v>
                </c:pt>
                <c:pt idx="14">
                  <c:v>133.04189762250013</c:v>
                </c:pt>
                <c:pt idx="15">
                  <c:v>135.36492976960793</c:v>
                </c:pt>
                <c:pt idx="16">
                  <c:v>137.5894521295304</c:v>
                </c:pt>
                <c:pt idx="17">
                  <c:v>139.74186675237786</c:v>
                </c:pt>
                <c:pt idx="18">
                  <c:v>141.91859684041782</c:v>
                </c:pt>
                <c:pt idx="19">
                  <c:v>144.06303164352147</c:v>
                </c:pt>
                <c:pt idx="20">
                  <c:v>146.24146970244121</c:v>
                </c:pt>
                <c:pt idx="21">
                  <c:v>148.40928232038667</c:v>
                </c:pt>
                <c:pt idx="22">
                  <c:v>150.61885576828794</c:v>
                </c:pt>
                <c:pt idx="23">
                  <c:v>152.92555304971097</c:v>
                </c:pt>
                <c:pt idx="24">
                  <c:v>155.24838770223789</c:v>
                </c:pt>
                <c:pt idx="25">
                  <c:v>157.68053767542241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160.59505817477481</c:v>
                </c:pt>
                <c:pt idx="1">
                  <c:v>152.01345299056035</c:v>
                </c:pt>
                <c:pt idx="2">
                  <c:v>164.46647811107812</c:v>
                </c:pt>
                <c:pt idx="3">
                  <c:v>166.74471403651714</c:v>
                </c:pt>
                <c:pt idx="4">
                  <c:v>180.71259597485019</c:v>
                </c:pt>
                <c:pt idx="5">
                  <c:v>186.41484950766176</c:v>
                </c:pt>
                <c:pt idx="6">
                  <c:v>190.70452275742517</c:v>
                </c:pt>
                <c:pt idx="7">
                  <c:v>196.56285581275392</c:v>
                </c:pt>
                <c:pt idx="8">
                  <c:v>197.80239677026125</c:v>
                </c:pt>
                <c:pt idx="9">
                  <c:v>211.52119916310374</c:v>
                </c:pt>
                <c:pt idx="10">
                  <c:v>219.28005434285362</c:v>
                </c:pt>
                <c:pt idx="11">
                  <c:v>220.49758080176153</c:v>
                </c:pt>
                <c:pt idx="12">
                  <c:v>222.98706038643971</c:v>
                </c:pt>
                <c:pt idx="13">
                  <c:v>226.14164803709861</c:v>
                </c:pt>
                <c:pt idx="14">
                  <c:v>229.57233613967657</c:v>
                </c:pt>
                <c:pt idx="15">
                  <c:v>232.31387681230299</c:v>
                </c:pt>
                <c:pt idx="16">
                  <c:v>234.95594478425605</c:v>
                </c:pt>
                <c:pt idx="17">
                  <c:v>237.54974623088151</c:v>
                </c:pt>
                <c:pt idx="18">
                  <c:v>240.20064722044896</c:v>
                </c:pt>
                <c:pt idx="19">
                  <c:v>242.78347032026173</c:v>
                </c:pt>
                <c:pt idx="20">
                  <c:v>245.41218889055011</c:v>
                </c:pt>
                <c:pt idx="21">
                  <c:v>248.05990275290827</c:v>
                </c:pt>
                <c:pt idx="22">
                  <c:v>250.79355534128695</c:v>
                </c:pt>
                <c:pt idx="23">
                  <c:v>253.45983325514501</c:v>
                </c:pt>
                <c:pt idx="24">
                  <c:v>256.29829814130613</c:v>
                </c:pt>
                <c:pt idx="25">
                  <c:v>259.05118497637233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86.962381198567428</c:v>
                </c:pt>
                <c:pt idx="1">
                  <c:v>94.576508562927145</c:v>
                </c:pt>
                <c:pt idx="2">
                  <c:v>97.372396667379391</c:v>
                </c:pt>
                <c:pt idx="3">
                  <c:v>101.10635537082707</c:v>
                </c:pt>
                <c:pt idx="4">
                  <c:v>104.83754849754573</c:v>
                </c:pt>
                <c:pt idx="5">
                  <c:v>101.29090452362664</c:v>
                </c:pt>
                <c:pt idx="6">
                  <c:v>107.00808942421364</c:v>
                </c:pt>
                <c:pt idx="7">
                  <c:v>118.64489440273192</c:v>
                </c:pt>
                <c:pt idx="8">
                  <c:v>115.04122528638162</c:v>
                </c:pt>
                <c:pt idx="9">
                  <c:v>122.61083730173362</c:v>
                </c:pt>
                <c:pt idx="10">
                  <c:v>119.29571542032333</c:v>
                </c:pt>
                <c:pt idx="11">
                  <c:v>123.12825630965818</c:v>
                </c:pt>
                <c:pt idx="12">
                  <c:v>124.28746810686623</c:v>
                </c:pt>
                <c:pt idx="13">
                  <c:v>125.95202849156688</c:v>
                </c:pt>
                <c:pt idx="14">
                  <c:v>127.7664370000704</c:v>
                </c:pt>
                <c:pt idx="15">
                  <c:v>129.3840758209306</c:v>
                </c:pt>
                <c:pt idx="16">
                  <c:v>131.00484308693237</c:v>
                </c:pt>
                <c:pt idx="17">
                  <c:v>132.69448203270747</c:v>
                </c:pt>
                <c:pt idx="18">
                  <c:v>134.39297511247699</c:v>
                </c:pt>
                <c:pt idx="19">
                  <c:v>135.86460896495868</c:v>
                </c:pt>
                <c:pt idx="20">
                  <c:v>137.41673916379321</c:v>
                </c:pt>
                <c:pt idx="21">
                  <c:v>138.9392373652951</c:v>
                </c:pt>
                <c:pt idx="22">
                  <c:v>140.51253863138993</c:v>
                </c:pt>
                <c:pt idx="23">
                  <c:v>142.11641227035574</c:v>
                </c:pt>
                <c:pt idx="24">
                  <c:v>143.72458177923792</c:v>
                </c:pt>
                <c:pt idx="25">
                  <c:v>145.28131543342394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125.18642400438232</c:v>
                </c:pt>
                <c:pt idx="1">
                  <c:v>127.70734434554083</c:v>
                </c:pt>
                <c:pt idx="2">
                  <c:v>127.92194424250424</c:v>
                </c:pt>
                <c:pt idx="3">
                  <c:v>129.1557851993789</c:v>
                </c:pt>
                <c:pt idx="4">
                  <c:v>131.45125862089529</c:v>
                </c:pt>
                <c:pt idx="5">
                  <c:v>128.56143721289453</c:v>
                </c:pt>
                <c:pt idx="6">
                  <c:v>134.58947475697715</c:v>
                </c:pt>
                <c:pt idx="7">
                  <c:v>129.12814548260266</c:v>
                </c:pt>
                <c:pt idx="8">
                  <c:v>138.49662393697221</c:v>
                </c:pt>
                <c:pt idx="9">
                  <c:v>145.1957743366284</c:v>
                </c:pt>
                <c:pt idx="10">
                  <c:v>150.97859691014554</c:v>
                </c:pt>
                <c:pt idx="11">
                  <c:v>151.51259254006149</c:v>
                </c:pt>
                <c:pt idx="12">
                  <c:v>151.69596094322111</c:v>
                </c:pt>
                <c:pt idx="13">
                  <c:v>153.0553554266271</c:v>
                </c:pt>
                <c:pt idx="14">
                  <c:v>154.72057377780882</c:v>
                </c:pt>
                <c:pt idx="15">
                  <c:v>156.21158434273588</c:v>
                </c:pt>
                <c:pt idx="16">
                  <c:v>157.61843277164326</c:v>
                </c:pt>
                <c:pt idx="17">
                  <c:v>159.02835723722785</c:v>
                </c:pt>
                <c:pt idx="18">
                  <c:v>160.42108140078179</c:v>
                </c:pt>
                <c:pt idx="19">
                  <c:v>161.65729949618148</c:v>
                </c:pt>
                <c:pt idx="20">
                  <c:v>162.93535065746647</c:v>
                </c:pt>
                <c:pt idx="21">
                  <c:v>164.2718321987048</c:v>
                </c:pt>
                <c:pt idx="22">
                  <c:v>165.645361879712</c:v>
                </c:pt>
                <c:pt idx="23">
                  <c:v>167.02674803280416</c:v>
                </c:pt>
                <c:pt idx="24">
                  <c:v>168.41171598148318</c:v>
                </c:pt>
                <c:pt idx="25">
                  <c:v>169.79821578021685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168.54379942209161</c:v>
                </c:pt>
                <c:pt idx="1">
                  <c:v>158.15160079920966</c:v>
                </c:pt>
                <c:pt idx="2">
                  <c:v>162.71389338685825</c:v>
                </c:pt>
                <c:pt idx="3">
                  <c:v>167.72149577281417</c:v>
                </c:pt>
                <c:pt idx="4">
                  <c:v>170.51840496124788</c:v>
                </c:pt>
                <c:pt idx="5">
                  <c:v>170.0371064822983</c:v>
                </c:pt>
                <c:pt idx="6">
                  <c:v>178.0277793340419</c:v>
                </c:pt>
                <c:pt idx="7">
                  <c:v>185.072041034113</c:v>
                </c:pt>
                <c:pt idx="8">
                  <c:v>191.46877360977464</c:v>
                </c:pt>
                <c:pt idx="9">
                  <c:v>200.00446446507434</c:v>
                </c:pt>
                <c:pt idx="10">
                  <c:v>215.262818884013</c:v>
                </c:pt>
                <c:pt idx="11">
                  <c:v>228.2628832632891</c:v>
                </c:pt>
                <c:pt idx="12">
                  <c:v>231.20898883641129</c:v>
                </c:pt>
                <c:pt idx="13">
                  <c:v>235.02731761930636</c:v>
                </c:pt>
                <c:pt idx="14">
                  <c:v>239.18191773121296</c:v>
                </c:pt>
                <c:pt idx="15">
                  <c:v>242.65710850270656</c:v>
                </c:pt>
                <c:pt idx="16">
                  <c:v>246.08322665955711</c:v>
                </c:pt>
                <c:pt idx="17">
                  <c:v>249.45774111470905</c:v>
                </c:pt>
                <c:pt idx="18">
                  <c:v>252.80915035222691</c:v>
                </c:pt>
                <c:pt idx="19">
                  <c:v>256.11357591172305</c:v>
                </c:pt>
                <c:pt idx="20">
                  <c:v>259.39853042131841</c:v>
                </c:pt>
                <c:pt idx="21">
                  <c:v>262.80433823424335</c:v>
                </c:pt>
                <c:pt idx="22">
                  <c:v>266.56738615543151</c:v>
                </c:pt>
                <c:pt idx="23">
                  <c:v>270.04032078206336</c:v>
                </c:pt>
                <c:pt idx="24">
                  <c:v>273.59267959736985</c:v>
                </c:pt>
                <c:pt idx="25">
                  <c:v>277.19455512326959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"/>
          <c:y val="0.89684729480371306"/>
          <c:w val="0.97366171734883677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50.534391014696787</c:v>
                </c:pt>
                <c:pt idx="1">
                  <c:v>48.709099866672162</c:v>
                </c:pt>
                <c:pt idx="2">
                  <c:v>52.814786147666041</c:v>
                </c:pt>
                <c:pt idx="3">
                  <c:v>53.725814952020649</c:v>
                </c:pt>
                <c:pt idx="4">
                  <c:v>51.506807785052622</c:v>
                </c:pt>
                <c:pt idx="5">
                  <c:v>51.916227810861997</c:v>
                </c:pt>
                <c:pt idx="6">
                  <c:v>53.924395387402335</c:v>
                </c:pt>
                <c:pt idx="7">
                  <c:v>62.568964165197805</c:v>
                </c:pt>
                <c:pt idx="8">
                  <c:v>61.524027470938599</c:v>
                </c:pt>
                <c:pt idx="9">
                  <c:v>60.866837475210005</c:v>
                </c:pt>
                <c:pt idx="10">
                  <c:v>66.661989893571118</c:v>
                </c:pt>
                <c:pt idx="11">
                  <c:v>56.833398901733204</c:v>
                </c:pt>
                <c:pt idx="12">
                  <c:v>57.341979017524956</c:v>
                </c:pt>
                <c:pt idx="13">
                  <c:v>58.031275829374962</c:v>
                </c:pt>
                <c:pt idx="14">
                  <c:v>58.752649317833423</c:v>
                </c:pt>
                <c:pt idx="15">
                  <c:v>59.279962103038798</c:v>
                </c:pt>
                <c:pt idx="16">
                  <c:v>59.767481807285165</c:v>
                </c:pt>
                <c:pt idx="17">
                  <c:v>60.221449708665233</c:v>
                </c:pt>
                <c:pt idx="18">
                  <c:v>60.654138303372406</c:v>
                </c:pt>
                <c:pt idx="19">
                  <c:v>61.064391170303459</c:v>
                </c:pt>
                <c:pt idx="20">
                  <c:v>61.609658111167626</c:v>
                </c:pt>
                <c:pt idx="21">
                  <c:v>62.14448965088755</c:v>
                </c:pt>
                <c:pt idx="22">
                  <c:v>62.703662805021423</c:v>
                </c:pt>
                <c:pt idx="23">
                  <c:v>63.262119642625301</c:v>
                </c:pt>
                <c:pt idx="24">
                  <c:v>63.829251891889626</c:v>
                </c:pt>
                <c:pt idx="25">
                  <c:v>64.377093001295108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32.993586253713211</c:v>
                </c:pt>
                <c:pt idx="1">
                  <c:v>42.747966991962436</c:v>
                </c:pt>
                <c:pt idx="2">
                  <c:v>42.62485227837773</c:v>
                </c:pt>
                <c:pt idx="3">
                  <c:v>42.436383057339647</c:v>
                </c:pt>
                <c:pt idx="4">
                  <c:v>43.433956162132816</c:v>
                </c:pt>
                <c:pt idx="5">
                  <c:v>43.592593838917885</c:v>
                </c:pt>
                <c:pt idx="6">
                  <c:v>46.286991382098996</c:v>
                </c:pt>
                <c:pt idx="7">
                  <c:v>47.180307566223533</c:v>
                </c:pt>
                <c:pt idx="8">
                  <c:v>49.975382230393826</c:v>
                </c:pt>
                <c:pt idx="9">
                  <c:v>51.784387361927934</c:v>
                </c:pt>
                <c:pt idx="10">
                  <c:v>52.293649494333124</c:v>
                </c:pt>
                <c:pt idx="11">
                  <c:v>50.712966695459613</c:v>
                </c:pt>
                <c:pt idx="12">
                  <c:v>51.164293034183203</c:v>
                </c:pt>
                <c:pt idx="13">
                  <c:v>51.834672262749578</c:v>
                </c:pt>
                <c:pt idx="14">
                  <c:v>52.584370592296978</c:v>
                </c:pt>
                <c:pt idx="15">
                  <c:v>53.263865114478065</c:v>
                </c:pt>
                <c:pt idx="16">
                  <c:v>53.930300808996051</c:v>
                </c:pt>
                <c:pt idx="17">
                  <c:v>54.617517740973561</c:v>
                </c:pt>
                <c:pt idx="18">
                  <c:v>55.239292680818281</c:v>
                </c:pt>
                <c:pt idx="19">
                  <c:v>55.885156366827331</c:v>
                </c:pt>
                <c:pt idx="20">
                  <c:v>56.531584635646752</c:v>
                </c:pt>
                <c:pt idx="21">
                  <c:v>57.276618010484867</c:v>
                </c:pt>
                <c:pt idx="22">
                  <c:v>57.954388642017513</c:v>
                </c:pt>
                <c:pt idx="23">
                  <c:v>58.62719596361071</c:v>
                </c:pt>
                <c:pt idx="24">
                  <c:v>59.328538340947986</c:v>
                </c:pt>
                <c:pt idx="25">
                  <c:v>60.069127651335592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26.213097277063227</c:v>
                </c:pt>
                <c:pt idx="1">
                  <c:v>29.742136500500283</c:v>
                </c:pt>
                <c:pt idx="2">
                  <c:v>30.258444648770588</c:v>
                </c:pt>
                <c:pt idx="3">
                  <c:v>28.2817339868094</c:v>
                </c:pt>
                <c:pt idx="4">
                  <c:v>28.812425216917369</c:v>
                </c:pt>
                <c:pt idx="5">
                  <c:v>30.017339672230531</c:v>
                </c:pt>
                <c:pt idx="6">
                  <c:v>31.624362941110732</c:v>
                </c:pt>
                <c:pt idx="7">
                  <c:v>30.323371152021782</c:v>
                </c:pt>
                <c:pt idx="8">
                  <c:v>29.820559789852695</c:v>
                </c:pt>
                <c:pt idx="9">
                  <c:v>29.436057957041882</c:v>
                </c:pt>
                <c:pt idx="10">
                  <c:v>31.864429233105461</c:v>
                </c:pt>
                <c:pt idx="11">
                  <c:v>35.789590195002148</c:v>
                </c:pt>
                <c:pt idx="12">
                  <c:v>36.598116656080769</c:v>
                </c:pt>
                <c:pt idx="13">
                  <c:v>37.444606398539229</c:v>
                </c:pt>
                <c:pt idx="14">
                  <c:v>38.397513819953694</c:v>
                </c:pt>
                <c:pt idx="15">
                  <c:v>39.207054120304214</c:v>
                </c:pt>
                <c:pt idx="16">
                  <c:v>39.954755429326262</c:v>
                </c:pt>
                <c:pt idx="17">
                  <c:v>40.679008142148376</c:v>
                </c:pt>
                <c:pt idx="18">
                  <c:v>41.338040547887353</c:v>
                </c:pt>
                <c:pt idx="19">
                  <c:v>42.130736664992817</c:v>
                </c:pt>
                <c:pt idx="20">
                  <c:v>42.861819162613571</c:v>
                </c:pt>
                <c:pt idx="21">
                  <c:v>43.691136155286536</c:v>
                </c:pt>
                <c:pt idx="22">
                  <c:v>44.469526084541251</c:v>
                </c:pt>
                <c:pt idx="23">
                  <c:v>45.398212187764884</c:v>
                </c:pt>
                <c:pt idx="24">
                  <c:v>46.153505369766741</c:v>
                </c:pt>
                <c:pt idx="25">
                  <c:v>47.091997779470525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45.251186994937946</c:v>
                </c:pt>
                <c:pt idx="1">
                  <c:v>49.073454337858777</c:v>
                </c:pt>
                <c:pt idx="2">
                  <c:v>58.064078271214193</c:v>
                </c:pt>
                <c:pt idx="3">
                  <c:v>51.625342797283139</c:v>
                </c:pt>
                <c:pt idx="4">
                  <c:v>61.843981336318834</c:v>
                </c:pt>
                <c:pt idx="5">
                  <c:v>61.226797374406303</c:v>
                </c:pt>
                <c:pt idx="6">
                  <c:v>69.301754245864402</c:v>
                </c:pt>
                <c:pt idx="7">
                  <c:v>65.069822246527067</c:v>
                </c:pt>
                <c:pt idx="8">
                  <c:v>62.835335429945395</c:v>
                </c:pt>
                <c:pt idx="9">
                  <c:v>60.405627510625095</c:v>
                </c:pt>
                <c:pt idx="10">
                  <c:v>72.766048539117293</c:v>
                </c:pt>
                <c:pt idx="11">
                  <c:v>67.866212808950465</c:v>
                </c:pt>
                <c:pt idx="12">
                  <c:v>67.269116300111151</c:v>
                </c:pt>
                <c:pt idx="13">
                  <c:v>67.560890703231209</c:v>
                </c:pt>
                <c:pt idx="14">
                  <c:v>68.410813695671493</c:v>
                </c:pt>
                <c:pt idx="15">
                  <c:v>69.154948490125918</c:v>
                </c:pt>
                <c:pt idx="16">
                  <c:v>69.816562357055957</c:v>
                </c:pt>
                <c:pt idx="17">
                  <c:v>70.461257297435793</c:v>
                </c:pt>
                <c:pt idx="18">
                  <c:v>71.094044761115327</c:v>
                </c:pt>
                <c:pt idx="19">
                  <c:v>71.729369325176421</c:v>
                </c:pt>
                <c:pt idx="20">
                  <c:v>72.384358385515981</c:v>
                </c:pt>
                <c:pt idx="21">
                  <c:v>73.18758093961462</c:v>
                </c:pt>
                <c:pt idx="22">
                  <c:v>74.074078489284545</c:v>
                </c:pt>
                <c:pt idx="23">
                  <c:v>74.754086597530602</c:v>
                </c:pt>
                <c:pt idx="24">
                  <c:v>75.53788929036314</c:v>
                </c:pt>
                <c:pt idx="25">
                  <c:v>76.224056380442065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172.49927920756329</c:v>
                </c:pt>
                <c:pt idx="1">
                  <c:v>159.20030061785928</c:v>
                </c:pt>
                <c:pt idx="2">
                  <c:v>168.11668687683562</c:v>
                </c:pt>
                <c:pt idx="3">
                  <c:v>170.9458133710678</c:v>
                </c:pt>
                <c:pt idx="4">
                  <c:v>179.2297905663583</c:v>
                </c:pt>
                <c:pt idx="5">
                  <c:v>182.23852840786006</c:v>
                </c:pt>
                <c:pt idx="6">
                  <c:v>183.96812312367643</c:v>
                </c:pt>
                <c:pt idx="7">
                  <c:v>193.43501219866997</c:v>
                </c:pt>
                <c:pt idx="8">
                  <c:v>192.76440421446824</c:v>
                </c:pt>
                <c:pt idx="9">
                  <c:v>195.7045487837191</c:v>
                </c:pt>
                <c:pt idx="10">
                  <c:v>201.30044972390519</c:v>
                </c:pt>
                <c:pt idx="11">
                  <c:v>189.43646299092555</c:v>
                </c:pt>
                <c:pt idx="12">
                  <c:v>190.74406998655945</c:v>
                </c:pt>
                <c:pt idx="13">
                  <c:v>192.42626035775342</c:v>
                </c:pt>
                <c:pt idx="14">
                  <c:v>194.31261402020291</c:v>
                </c:pt>
                <c:pt idx="15">
                  <c:v>195.65119467189456</c:v>
                </c:pt>
                <c:pt idx="16">
                  <c:v>196.85195726356301</c:v>
                </c:pt>
                <c:pt idx="17">
                  <c:v>197.95118650759031</c:v>
                </c:pt>
                <c:pt idx="18">
                  <c:v>199.00489445292607</c:v>
                </c:pt>
                <c:pt idx="19">
                  <c:v>200.02387957257497</c:v>
                </c:pt>
                <c:pt idx="20">
                  <c:v>201.02984217041634</c:v>
                </c:pt>
                <c:pt idx="21">
                  <c:v>202.08617327793249</c:v>
                </c:pt>
                <c:pt idx="22">
                  <c:v>203.36215859358782</c:v>
                </c:pt>
                <c:pt idx="23">
                  <c:v>204.62350681158443</c:v>
                </c:pt>
                <c:pt idx="24">
                  <c:v>205.94652930370702</c:v>
                </c:pt>
                <c:pt idx="25">
                  <c:v>207.25099940186306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243.23788298159263</c:v>
                </c:pt>
                <c:pt idx="1">
                  <c:v>237.53806700245087</c:v>
                </c:pt>
                <c:pt idx="2">
                  <c:v>245.05218906985669</c:v>
                </c:pt>
                <c:pt idx="3">
                  <c:v>236.14014811580279</c:v>
                </c:pt>
                <c:pt idx="4">
                  <c:v>246.81191221113789</c:v>
                </c:pt>
                <c:pt idx="5">
                  <c:v>259.61010329935812</c:v>
                </c:pt>
                <c:pt idx="6">
                  <c:v>251.43295566270999</c:v>
                </c:pt>
                <c:pt idx="7">
                  <c:v>262.23934712602193</c:v>
                </c:pt>
                <c:pt idx="8">
                  <c:v>259.93632259162723</c:v>
                </c:pt>
                <c:pt idx="9">
                  <c:v>256.31375667122313</c:v>
                </c:pt>
                <c:pt idx="10">
                  <c:v>261.75573790944139</c:v>
                </c:pt>
                <c:pt idx="11">
                  <c:v>242.38730993122846</c:v>
                </c:pt>
                <c:pt idx="12">
                  <c:v>241.92906217931639</c:v>
                </c:pt>
                <c:pt idx="13">
                  <c:v>241.92209429010873</c:v>
                </c:pt>
                <c:pt idx="14">
                  <c:v>242.1356869028036</c:v>
                </c:pt>
                <c:pt idx="15">
                  <c:v>241.46847811395256</c:v>
                </c:pt>
                <c:pt idx="16">
                  <c:v>240.46776058128904</c:v>
                </c:pt>
                <c:pt idx="17">
                  <c:v>239.26671112246243</c:v>
                </c:pt>
                <c:pt idx="18">
                  <c:v>237.93957338212837</c:v>
                </c:pt>
                <c:pt idx="19">
                  <c:v>236.55487726647885</c:v>
                </c:pt>
                <c:pt idx="20">
                  <c:v>235.24521854709209</c:v>
                </c:pt>
                <c:pt idx="21">
                  <c:v>233.84740926544259</c:v>
                </c:pt>
                <c:pt idx="22">
                  <c:v>232.34761112450167</c:v>
                </c:pt>
                <c:pt idx="23">
                  <c:v>230.89084742006895</c:v>
                </c:pt>
                <c:pt idx="24">
                  <c:v>229.37489359893732</c:v>
                </c:pt>
                <c:pt idx="25">
                  <c:v>227.65142269680504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85.928387296869147</c:v>
                </c:pt>
                <c:pt idx="1">
                  <c:v>75.857070824333263</c:v>
                </c:pt>
                <c:pt idx="2">
                  <c:v>75.272843957592272</c:v>
                </c:pt>
                <c:pt idx="3">
                  <c:v>77.169583227634845</c:v>
                </c:pt>
                <c:pt idx="4">
                  <c:v>79.86759443581002</c:v>
                </c:pt>
                <c:pt idx="5">
                  <c:v>75.640118464250264</c:v>
                </c:pt>
                <c:pt idx="6">
                  <c:v>72.477904543285391</c:v>
                </c:pt>
                <c:pt idx="7">
                  <c:v>74.800161193744984</c:v>
                </c:pt>
                <c:pt idx="8">
                  <c:v>78.118151367957353</c:v>
                </c:pt>
                <c:pt idx="9">
                  <c:v>71.767387967638115</c:v>
                </c:pt>
                <c:pt idx="10">
                  <c:v>68.954741530614868</c:v>
                </c:pt>
                <c:pt idx="11">
                  <c:v>76.560186831736559</c:v>
                </c:pt>
                <c:pt idx="12">
                  <c:v>75.4437881041206</c:v>
                </c:pt>
                <c:pt idx="13">
                  <c:v>74.346167593870021</c:v>
                </c:pt>
                <c:pt idx="14">
                  <c:v>73.204739397137402</c:v>
                </c:pt>
                <c:pt idx="15">
                  <c:v>71.559982410627711</c:v>
                </c:pt>
                <c:pt idx="16">
                  <c:v>69.598350222569479</c:v>
                </c:pt>
                <c:pt idx="17">
                  <c:v>67.428329791406526</c:v>
                </c:pt>
                <c:pt idx="18">
                  <c:v>66.002011503590055</c:v>
                </c:pt>
                <c:pt idx="19">
                  <c:v>64.704289503906267</c:v>
                </c:pt>
                <c:pt idx="20">
                  <c:v>63.642525335846244</c:v>
                </c:pt>
                <c:pt idx="21">
                  <c:v>62.067707203796971</c:v>
                </c:pt>
                <c:pt idx="22">
                  <c:v>59.504827624070849</c:v>
                </c:pt>
                <c:pt idx="23">
                  <c:v>57.364969757648318</c:v>
                </c:pt>
                <c:pt idx="24">
                  <c:v>54.934971235877285</c:v>
                </c:pt>
                <c:pt idx="25">
                  <c:v>52.703380501883423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36.645555881451124</c:v>
                </c:pt>
                <c:pt idx="1">
                  <c:v>30.75956724192206</c:v>
                </c:pt>
                <c:pt idx="2">
                  <c:v>36.810796515846441</c:v>
                </c:pt>
                <c:pt idx="3">
                  <c:v>31.633191445406542</c:v>
                </c:pt>
                <c:pt idx="4">
                  <c:v>38.326341864197431</c:v>
                </c:pt>
                <c:pt idx="5">
                  <c:v>39.127265446710197</c:v>
                </c:pt>
                <c:pt idx="6">
                  <c:v>42.365264965394232</c:v>
                </c:pt>
                <c:pt idx="7">
                  <c:v>31.356307553097373</c:v>
                </c:pt>
                <c:pt idx="8">
                  <c:v>33.153373899633557</c:v>
                </c:pt>
                <c:pt idx="9">
                  <c:v>41.901491038955442</c:v>
                </c:pt>
                <c:pt idx="10">
                  <c:v>27.701459442035809</c:v>
                </c:pt>
                <c:pt idx="11">
                  <c:v>27.121324619640699</c:v>
                </c:pt>
                <c:pt idx="12">
                  <c:v>27.545772422431352</c:v>
                </c:pt>
                <c:pt idx="13">
                  <c:v>28.143831205602474</c:v>
                </c:pt>
                <c:pt idx="14">
                  <c:v>28.870938949189192</c:v>
                </c:pt>
                <c:pt idx="15">
                  <c:v>29.4176763322601</c:v>
                </c:pt>
                <c:pt idx="16">
                  <c:v>29.917623449198405</c:v>
                </c:pt>
                <c:pt idx="17">
                  <c:v>30.370899825545237</c:v>
                </c:pt>
                <c:pt idx="18">
                  <c:v>30.833020262108782</c:v>
                </c:pt>
                <c:pt idx="19">
                  <c:v>31.287431162058166</c:v>
                </c:pt>
                <c:pt idx="20">
                  <c:v>31.77700518876814</c:v>
                </c:pt>
                <c:pt idx="21">
                  <c:v>32.27922531380468</c:v>
                </c:pt>
                <c:pt idx="22">
                  <c:v>32.782567165965212</c:v>
                </c:pt>
                <c:pt idx="23">
                  <c:v>33.282336301416031</c:v>
                </c:pt>
                <c:pt idx="24">
                  <c:v>33.788333909933407</c:v>
                </c:pt>
                <c:pt idx="25">
                  <c:v>34.324848177096435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100.88866202401081</c:v>
                </c:pt>
                <c:pt idx="1">
                  <c:v>105.01137710506177</c:v>
                </c:pt>
                <c:pt idx="2">
                  <c:v>103.97517494819697</c:v>
                </c:pt>
                <c:pt idx="3">
                  <c:v>103.98661154529776</c:v>
                </c:pt>
                <c:pt idx="4">
                  <c:v>112.6118228063946</c:v>
                </c:pt>
                <c:pt idx="5">
                  <c:v>118.00540714420841</c:v>
                </c:pt>
                <c:pt idx="6">
                  <c:v>116.32177052772347</c:v>
                </c:pt>
                <c:pt idx="7">
                  <c:v>111.13273224019909</c:v>
                </c:pt>
                <c:pt idx="8">
                  <c:v>111.69760719339703</c:v>
                </c:pt>
                <c:pt idx="9">
                  <c:v>114.08729671392925</c:v>
                </c:pt>
                <c:pt idx="10">
                  <c:v>100.42539928195286</c:v>
                </c:pt>
                <c:pt idx="11">
                  <c:v>102.16156291100289</c:v>
                </c:pt>
                <c:pt idx="12">
                  <c:v>102.31248454966729</c:v>
                </c:pt>
                <c:pt idx="13">
                  <c:v>102.68443376161294</c:v>
                </c:pt>
                <c:pt idx="14">
                  <c:v>103.03726014408333</c:v>
                </c:pt>
                <c:pt idx="15">
                  <c:v>102.88814709808921</c:v>
                </c:pt>
                <c:pt idx="16">
                  <c:v>102.648406929581</c:v>
                </c:pt>
                <c:pt idx="17">
                  <c:v>102.37235436158821</c:v>
                </c:pt>
                <c:pt idx="18">
                  <c:v>102.07884492003006</c:v>
                </c:pt>
                <c:pt idx="19">
                  <c:v>101.73559564911461</c:v>
                </c:pt>
                <c:pt idx="20">
                  <c:v>101.40157400072282</c:v>
                </c:pt>
                <c:pt idx="21">
                  <c:v>101.06862617528439</c:v>
                </c:pt>
                <c:pt idx="22">
                  <c:v>100.77142626376437</c:v>
                </c:pt>
                <c:pt idx="23">
                  <c:v>100.42471418198889</c:v>
                </c:pt>
                <c:pt idx="24">
                  <c:v>100.06825040881445</c:v>
                </c:pt>
                <c:pt idx="25">
                  <c:v>99.69259873414488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103.3021608050036</c:v>
                </c:pt>
                <c:pt idx="1">
                  <c:v>97.40331912715736</c:v>
                </c:pt>
                <c:pt idx="2">
                  <c:v>87.164175790494042</c:v>
                </c:pt>
                <c:pt idx="3">
                  <c:v>90.744367301404651</c:v>
                </c:pt>
                <c:pt idx="4">
                  <c:v>91.390137647069608</c:v>
                </c:pt>
                <c:pt idx="5">
                  <c:v>96.086748078120166</c:v>
                </c:pt>
                <c:pt idx="6">
                  <c:v>85.549788232589904</c:v>
                </c:pt>
                <c:pt idx="7">
                  <c:v>94.927456374401501</c:v>
                </c:pt>
                <c:pt idx="8">
                  <c:v>89.214426113604844</c:v>
                </c:pt>
                <c:pt idx="9">
                  <c:v>83.776811334060341</c:v>
                </c:pt>
                <c:pt idx="10">
                  <c:v>82.52660532338669</c:v>
                </c:pt>
                <c:pt idx="11">
                  <c:v>88.927586208220347</c:v>
                </c:pt>
                <c:pt idx="12">
                  <c:v>88.336631948598921</c:v>
                </c:pt>
                <c:pt idx="13">
                  <c:v>88.575557076983671</c:v>
                </c:pt>
                <c:pt idx="14">
                  <c:v>88.53497809531612</c:v>
                </c:pt>
                <c:pt idx="15">
                  <c:v>87.836132747054634</c:v>
                </c:pt>
                <c:pt idx="16">
                  <c:v>87.059153512212887</c:v>
                </c:pt>
                <c:pt idx="17">
                  <c:v>86.295460611097695</c:v>
                </c:pt>
                <c:pt idx="18">
                  <c:v>85.544818138285095</c:v>
                </c:pt>
                <c:pt idx="19">
                  <c:v>84.835577064015538</c:v>
                </c:pt>
                <c:pt idx="20">
                  <c:v>84.143782568109543</c:v>
                </c:pt>
                <c:pt idx="21">
                  <c:v>83.444425544542199</c:v>
                </c:pt>
                <c:pt idx="22">
                  <c:v>82.729026230319377</c:v>
                </c:pt>
                <c:pt idx="23">
                  <c:v>81.99119650724279</c:v>
                </c:pt>
                <c:pt idx="24">
                  <c:v>81.221718779110105</c:v>
                </c:pt>
                <c:pt idx="25">
                  <c:v>80.451774167755275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59.850306216096186</c:v>
                </c:pt>
                <c:pt idx="1">
                  <c:v>59.759035879517143</c:v>
                </c:pt>
                <c:pt idx="2">
                  <c:v>66.528617019339023</c:v>
                </c:pt>
                <c:pt idx="3">
                  <c:v>65.647543220644948</c:v>
                </c:pt>
                <c:pt idx="4">
                  <c:v>70.494489681588874</c:v>
                </c:pt>
                <c:pt idx="5">
                  <c:v>71.711869284133982</c:v>
                </c:pt>
                <c:pt idx="6">
                  <c:v>71.854068262597337</c:v>
                </c:pt>
                <c:pt idx="7">
                  <c:v>74.016612295105105</c:v>
                </c:pt>
                <c:pt idx="8">
                  <c:v>66.874024612609361</c:v>
                </c:pt>
                <c:pt idx="9">
                  <c:v>62.537850065291892</c:v>
                </c:pt>
                <c:pt idx="10">
                  <c:v>60.813130058863692</c:v>
                </c:pt>
                <c:pt idx="11">
                  <c:v>60.303978699569434</c:v>
                </c:pt>
                <c:pt idx="12">
                  <c:v>60.47388659956988</c:v>
                </c:pt>
                <c:pt idx="13">
                  <c:v>60.811936828380205</c:v>
                </c:pt>
                <c:pt idx="14">
                  <c:v>61.225809182011524</c:v>
                </c:pt>
                <c:pt idx="15">
                  <c:v>61.48888168063467</c:v>
                </c:pt>
                <c:pt idx="16">
                  <c:v>61.549715940977698</c:v>
                </c:pt>
                <c:pt idx="17">
                  <c:v>61.549112320953725</c:v>
                </c:pt>
                <c:pt idx="18">
                  <c:v>61.601705001256789</c:v>
                </c:pt>
                <c:pt idx="19">
                  <c:v>61.804579265181943</c:v>
                </c:pt>
                <c:pt idx="20">
                  <c:v>62.025942630903771</c:v>
                </c:pt>
                <c:pt idx="21">
                  <c:v>62.213915821285418</c:v>
                </c:pt>
                <c:pt idx="22">
                  <c:v>62.42498996843684</c:v>
                </c:pt>
                <c:pt idx="23">
                  <c:v>62.712209285086203</c:v>
                </c:pt>
                <c:pt idx="24">
                  <c:v>62.984755254439513</c:v>
                </c:pt>
                <c:pt idx="25">
                  <c:v>63.173205220636099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80239952009598059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185.9491389919589</c:v>
                </c:pt>
                <c:pt idx="1">
                  <c:v>183.4760545864232</c:v>
                </c:pt>
                <c:pt idx="2">
                  <c:v>188.94711184478595</c:v>
                </c:pt>
                <c:pt idx="3">
                  <c:v>197.12081548261088</c:v>
                </c:pt>
                <c:pt idx="4">
                  <c:v>210.7470413889825</c:v>
                </c:pt>
                <c:pt idx="5">
                  <c:v>211.95390549156167</c:v>
                </c:pt>
                <c:pt idx="6">
                  <c:v>225.81743381001624</c:v>
                </c:pt>
                <c:pt idx="7">
                  <c:v>227.38172716331241</c:v>
                </c:pt>
                <c:pt idx="8">
                  <c:v>221.69106669226289</c:v>
                </c:pt>
                <c:pt idx="9">
                  <c:v>231.55935715723243</c:v>
                </c:pt>
                <c:pt idx="10">
                  <c:v>223.65609032128737</c:v>
                </c:pt>
                <c:pt idx="11">
                  <c:v>232.3495002222397</c:v>
                </c:pt>
                <c:pt idx="12">
                  <c:v>234.58087979203174</c:v>
                </c:pt>
                <c:pt idx="13">
                  <c:v>237.50931605379148</c:v>
                </c:pt>
                <c:pt idx="14">
                  <c:v>240.82544152570026</c:v>
                </c:pt>
                <c:pt idx="15">
                  <c:v>243.80561243809041</c:v>
                </c:pt>
                <c:pt idx="16">
                  <c:v>246.7987522016254</c:v>
                </c:pt>
                <c:pt idx="17">
                  <c:v>249.78059637076689</c:v>
                </c:pt>
                <c:pt idx="18">
                  <c:v>252.47828828358683</c:v>
                </c:pt>
                <c:pt idx="19">
                  <c:v>255.26882864574216</c:v>
                </c:pt>
                <c:pt idx="20">
                  <c:v>258.14152898158562</c:v>
                </c:pt>
                <c:pt idx="21">
                  <c:v>261.08782347754413</c:v>
                </c:pt>
                <c:pt idx="22">
                  <c:v>264.28977023532866</c:v>
                </c:pt>
                <c:pt idx="23">
                  <c:v>267.5916187194822</c:v>
                </c:pt>
                <c:pt idx="24">
                  <c:v>271.03358832977062</c:v>
                </c:pt>
                <c:pt idx="25">
                  <c:v>274.63381510722382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63.565799691288063</c:v>
                </c:pt>
                <c:pt idx="1">
                  <c:v>63.409476082439959</c:v>
                </c:pt>
                <c:pt idx="2">
                  <c:v>66.649270497505995</c:v>
                </c:pt>
                <c:pt idx="3">
                  <c:v>62.242941756175576</c:v>
                </c:pt>
                <c:pt idx="4">
                  <c:v>62.955017832991857</c:v>
                </c:pt>
                <c:pt idx="5">
                  <c:v>65.78241893690182</c:v>
                </c:pt>
                <c:pt idx="6">
                  <c:v>70.37680648792707</c:v>
                </c:pt>
                <c:pt idx="7">
                  <c:v>69.921379094451893</c:v>
                </c:pt>
                <c:pt idx="8">
                  <c:v>67.718761033716561</c:v>
                </c:pt>
                <c:pt idx="9">
                  <c:v>72.529447377612058</c:v>
                </c:pt>
                <c:pt idx="10">
                  <c:v>72.441128106543133</c:v>
                </c:pt>
                <c:pt idx="11">
                  <c:v>72.714840810547955</c:v>
                </c:pt>
                <c:pt idx="12">
                  <c:v>73.1222538458115</c:v>
                </c:pt>
                <c:pt idx="13">
                  <c:v>73.540779727316405</c:v>
                </c:pt>
                <c:pt idx="14">
                  <c:v>74.052081937856713</c:v>
                </c:pt>
                <c:pt idx="15">
                  <c:v>74.304059156522669</c:v>
                </c:pt>
                <c:pt idx="16">
                  <c:v>74.494103248745034</c:v>
                </c:pt>
                <c:pt idx="17">
                  <c:v>74.649901209570686</c:v>
                </c:pt>
                <c:pt idx="18">
                  <c:v>74.77444075765068</c:v>
                </c:pt>
                <c:pt idx="19">
                  <c:v>74.918448800434518</c:v>
                </c:pt>
                <c:pt idx="20">
                  <c:v>75.079107172500215</c:v>
                </c:pt>
                <c:pt idx="21">
                  <c:v>75.265913499079446</c:v>
                </c:pt>
                <c:pt idx="22">
                  <c:v>75.468571280294825</c:v>
                </c:pt>
                <c:pt idx="23">
                  <c:v>75.601305762983955</c:v>
                </c:pt>
                <c:pt idx="24">
                  <c:v>75.709675881509853</c:v>
                </c:pt>
                <c:pt idx="25">
                  <c:v>75.857817785706203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val>
            <c:numRef>
              <c:f>'Occ F2'!$M$35:$AL$35</c:f>
              <c:numCache>
                <c:formatCode>#,##0</c:formatCode>
                <c:ptCount val="26"/>
                <c:pt idx="0">
                  <c:v>4.4073451696519914</c:v>
                </c:pt>
                <c:pt idx="1">
                  <c:v>3.2356015252004138</c:v>
                </c:pt>
                <c:pt idx="2">
                  <c:v>3.0473530794486612</c:v>
                </c:pt>
                <c:pt idx="3">
                  <c:v>2.7806225121437014</c:v>
                </c:pt>
                <c:pt idx="4">
                  <c:v>3.2237053464984866</c:v>
                </c:pt>
                <c:pt idx="5">
                  <c:v>3.1420191309526011</c:v>
                </c:pt>
                <c:pt idx="6">
                  <c:v>2.6553630442372023</c:v>
                </c:pt>
                <c:pt idx="7">
                  <c:v>2.7450366669260542</c:v>
                </c:pt>
                <c:pt idx="8">
                  <c:v>2.9544877424164273</c:v>
                </c:pt>
                <c:pt idx="9">
                  <c:v>2.6277196166134713</c:v>
                </c:pt>
                <c:pt idx="10">
                  <c:v>3.4150609686279489</c:v>
                </c:pt>
                <c:pt idx="11">
                  <c:v>2.6144844750854239</c:v>
                </c:pt>
                <c:pt idx="12">
                  <c:v>2.6499318319189484</c:v>
                </c:pt>
                <c:pt idx="13">
                  <c:v>2.6866364414219093</c:v>
                </c:pt>
                <c:pt idx="14">
                  <c:v>2.7289653144619237</c:v>
                </c:pt>
                <c:pt idx="15">
                  <c:v>2.7629223970092531</c:v>
                </c:pt>
                <c:pt idx="16">
                  <c:v>2.7899595395793444</c:v>
                </c:pt>
                <c:pt idx="17">
                  <c:v>2.815567685220755</c:v>
                </c:pt>
                <c:pt idx="18">
                  <c:v>2.836265547064464</c:v>
                </c:pt>
                <c:pt idx="19">
                  <c:v>2.866218448760637</c:v>
                </c:pt>
                <c:pt idx="20">
                  <c:v>2.8889397968033972</c:v>
                </c:pt>
                <c:pt idx="21">
                  <c:v>2.9137473397244507</c:v>
                </c:pt>
                <c:pt idx="22">
                  <c:v>2.9334157701537946</c:v>
                </c:pt>
                <c:pt idx="23">
                  <c:v>2.9632256828056458</c:v>
                </c:pt>
                <c:pt idx="24">
                  <c:v>2.9816605587880667</c:v>
                </c:pt>
                <c:pt idx="25">
                  <c:v>3.0103764029579554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00-47D4-806C-3012680FB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3784359265713874E-2"/>
          <c:y val="0.93944952741735122"/>
          <c:w val="0.94041112825348783"/>
          <c:h val="6.055047258264882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208.3439842463408</c:v>
                </c:pt>
                <c:pt idx="1">
                  <c:v>224.72727150333941</c:v>
                </c:pt>
                <c:pt idx="2">
                  <c:v>224.82396727419535</c:v>
                </c:pt>
                <c:pt idx="3">
                  <c:v>218.80818104065028</c:v>
                </c:pt>
                <c:pt idx="4">
                  <c:v>219.41571724717684</c:v>
                </c:pt>
                <c:pt idx="5">
                  <c:v>221.41596432763646</c:v>
                </c:pt>
                <c:pt idx="6">
                  <c:v>216.91116167107452</c:v>
                </c:pt>
                <c:pt idx="7">
                  <c:v>209.5361331725087</c:v>
                </c:pt>
                <c:pt idx="8">
                  <c:v>212.88425973306781</c:v>
                </c:pt>
                <c:pt idx="9">
                  <c:v>197.09489473335719</c:v>
                </c:pt>
                <c:pt idx="10">
                  <c:v>194.6954129401295</c:v>
                </c:pt>
                <c:pt idx="11">
                  <c:v>182.72404645992648</c:v>
                </c:pt>
                <c:pt idx="12">
                  <c:v>182.37875663530184</c:v>
                </c:pt>
                <c:pt idx="13">
                  <c:v>182.14584186129048</c:v>
                </c:pt>
                <c:pt idx="14">
                  <c:v>182.09342742656685</c:v>
                </c:pt>
                <c:pt idx="15">
                  <c:v>181.54863951453635</c:v>
                </c:pt>
                <c:pt idx="16">
                  <c:v>180.80112831176118</c:v>
                </c:pt>
                <c:pt idx="17">
                  <c:v>179.82639854706338</c:v>
                </c:pt>
                <c:pt idx="18">
                  <c:v>178.80968844391057</c:v>
                </c:pt>
                <c:pt idx="19">
                  <c:v>177.78654329546038</c:v>
                </c:pt>
                <c:pt idx="20">
                  <c:v>176.96095222001267</c:v>
                </c:pt>
                <c:pt idx="21">
                  <c:v>175.92483287228663</c:v>
                </c:pt>
                <c:pt idx="22">
                  <c:v>175.1145213307677</c:v>
                </c:pt>
                <c:pt idx="23">
                  <c:v>174.17204347953356</c:v>
                </c:pt>
                <c:pt idx="24">
                  <c:v>173.14884693277915</c:v>
                </c:pt>
                <c:pt idx="25">
                  <c:v>172.17020547805873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42.213530378829169</c:v>
                </c:pt>
                <c:pt idx="1">
                  <c:v>40.334697837280217</c:v>
                </c:pt>
                <c:pt idx="2">
                  <c:v>42.106786934770135</c:v>
                </c:pt>
                <c:pt idx="3">
                  <c:v>41.506081808658244</c:v>
                </c:pt>
                <c:pt idx="4">
                  <c:v>40.1757409297552</c:v>
                </c:pt>
                <c:pt idx="5">
                  <c:v>44.973783490930849</c:v>
                </c:pt>
                <c:pt idx="6">
                  <c:v>44.283554369809529</c:v>
                </c:pt>
                <c:pt idx="7">
                  <c:v>48.747655403716323</c:v>
                </c:pt>
                <c:pt idx="8">
                  <c:v>50.746081467912099</c:v>
                </c:pt>
                <c:pt idx="9">
                  <c:v>49.133406789743383</c:v>
                </c:pt>
                <c:pt idx="10">
                  <c:v>49.860654752101922</c:v>
                </c:pt>
                <c:pt idx="11">
                  <c:v>59.732407131802567</c:v>
                </c:pt>
                <c:pt idx="12">
                  <c:v>60.67029032327266</c:v>
                </c:pt>
                <c:pt idx="13">
                  <c:v>61.76101756861371</c:v>
                </c:pt>
                <c:pt idx="14">
                  <c:v>62.913579161728215</c:v>
                </c:pt>
                <c:pt idx="15">
                  <c:v>63.89806431232028</c:v>
                </c:pt>
                <c:pt idx="16">
                  <c:v>64.841485832502045</c:v>
                </c:pt>
                <c:pt idx="17">
                  <c:v>65.759046092741841</c:v>
                </c:pt>
                <c:pt idx="18">
                  <c:v>66.690332500635591</c:v>
                </c:pt>
                <c:pt idx="19">
                  <c:v>67.648228100021441</c:v>
                </c:pt>
                <c:pt idx="20">
                  <c:v>68.609756752633189</c:v>
                </c:pt>
                <c:pt idx="21">
                  <c:v>69.589584176290316</c:v>
                </c:pt>
                <c:pt idx="22">
                  <c:v>70.57543517878149</c:v>
                </c:pt>
                <c:pt idx="23">
                  <c:v>71.57660870961422</c:v>
                </c:pt>
                <c:pt idx="24">
                  <c:v>72.612944066308557</c:v>
                </c:pt>
                <c:pt idx="25">
                  <c:v>73.642352461597412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295632066029317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72.116120971776411</c:v>
                </c:pt>
                <c:pt idx="1">
                  <c:v>70.624637665525114</c:v>
                </c:pt>
                <c:pt idx="2">
                  <c:v>71.701730534143493</c:v>
                </c:pt>
                <c:pt idx="3">
                  <c:v>71.863725383008273</c:v>
                </c:pt>
                <c:pt idx="4">
                  <c:v>76.764635847305712</c:v>
                </c:pt>
                <c:pt idx="5">
                  <c:v>77.455594000314903</c:v>
                </c:pt>
                <c:pt idx="6">
                  <c:v>74.407285790925386</c:v>
                </c:pt>
                <c:pt idx="7">
                  <c:v>81.153188959620024</c:v>
                </c:pt>
                <c:pt idx="8">
                  <c:v>80.507176831128334</c:v>
                </c:pt>
                <c:pt idx="9">
                  <c:v>74.82179228140339</c:v>
                </c:pt>
                <c:pt idx="10">
                  <c:v>66.18299631124377</c:v>
                </c:pt>
                <c:pt idx="11">
                  <c:v>80.130825975386827</c:v>
                </c:pt>
                <c:pt idx="12">
                  <c:v>80.651230851833631</c:v>
                </c:pt>
                <c:pt idx="13">
                  <c:v>81.41310752012096</c:v>
                </c:pt>
                <c:pt idx="14">
                  <c:v>82.092554490989173</c:v>
                </c:pt>
                <c:pt idx="15">
                  <c:v>82.419825636016697</c:v>
                </c:pt>
                <c:pt idx="16">
                  <c:v>82.526048150149293</c:v>
                </c:pt>
                <c:pt idx="17">
                  <c:v>82.588972652735663</c:v>
                </c:pt>
                <c:pt idx="18">
                  <c:v>82.642253028528501</c:v>
                </c:pt>
                <c:pt idx="19">
                  <c:v>82.663019742516028</c:v>
                </c:pt>
                <c:pt idx="20">
                  <c:v>82.654144029149734</c:v>
                </c:pt>
                <c:pt idx="21">
                  <c:v>82.633253245312304</c:v>
                </c:pt>
                <c:pt idx="22">
                  <c:v>82.560380030004808</c:v>
                </c:pt>
                <c:pt idx="23">
                  <c:v>82.504542190870538</c:v>
                </c:pt>
                <c:pt idx="24">
                  <c:v>82.318856543177205</c:v>
                </c:pt>
                <c:pt idx="25">
                  <c:v>82.126425762765933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110.63489682259701</c:v>
                </c:pt>
                <c:pt idx="1">
                  <c:v>112.59655431991072</c:v>
                </c:pt>
                <c:pt idx="2">
                  <c:v>107.75378713593089</c:v>
                </c:pt>
                <c:pt idx="3">
                  <c:v>110.08774683872814</c:v>
                </c:pt>
                <c:pt idx="4">
                  <c:v>110.83758213537909</c:v>
                </c:pt>
                <c:pt idx="5">
                  <c:v>113.32252578308525</c:v>
                </c:pt>
                <c:pt idx="6">
                  <c:v>126.52257815479651</c:v>
                </c:pt>
                <c:pt idx="7">
                  <c:v>119.64045369054817</c:v>
                </c:pt>
                <c:pt idx="8">
                  <c:v>130.50507416228658</c:v>
                </c:pt>
                <c:pt idx="9">
                  <c:v>130.3088609434655</c:v>
                </c:pt>
                <c:pt idx="10">
                  <c:v>115.43320624120283</c:v>
                </c:pt>
                <c:pt idx="11">
                  <c:v>125.1886247639967</c:v>
                </c:pt>
                <c:pt idx="12">
                  <c:v>126.12445774489917</c:v>
                </c:pt>
                <c:pt idx="13">
                  <c:v>127.13295194612127</c:v>
                </c:pt>
                <c:pt idx="14">
                  <c:v>128.12698044280958</c:v>
                </c:pt>
                <c:pt idx="15">
                  <c:v>128.63440898249067</c:v>
                </c:pt>
                <c:pt idx="16">
                  <c:v>129.00499522295351</c:v>
                </c:pt>
                <c:pt idx="17">
                  <c:v>129.34412830186423</c:v>
                </c:pt>
                <c:pt idx="18">
                  <c:v>129.75832078579475</c:v>
                </c:pt>
                <c:pt idx="19">
                  <c:v>130.1204441755921</c:v>
                </c:pt>
                <c:pt idx="20">
                  <c:v>130.4858048333806</c:v>
                </c:pt>
                <c:pt idx="21">
                  <c:v>130.89688812726146</c:v>
                </c:pt>
                <c:pt idx="22">
                  <c:v>131.28875020361372</c:v>
                </c:pt>
                <c:pt idx="23">
                  <c:v>131.70059096295165</c:v>
                </c:pt>
                <c:pt idx="24">
                  <c:v>132.12356156663066</c:v>
                </c:pt>
                <c:pt idx="25">
                  <c:v>132.52018950559264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21978293253883804"/>
          <c:y val="0.86822930790507791"/>
          <c:w val="0.63325760800170261"/>
          <c:h val="0.124256603178203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51.80979935097222</c:v>
                </c:pt>
                <c:pt idx="1">
                  <c:v>50.798890516264699</c:v>
                </c:pt>
                <c:pt idx="2">
                  <c:v>49.844374701502936</c:v>
                </c:pt>
                <c:pt idx="3">
                  <c:v>48.289342138981297</c:v>
                </c:pt>
                <c:pt idx="4">
                  <c:v>54.059465181063963</c:v>
                </c:pt>
                <c:pt idx="5">
                  <c:v>54.899703673527384</c:v>
                </c:pt>
                <c:pt idx="6">
                  <c:v>54.071575291494689</c:v>
                </c:pt>
                <c:pt idx="7">
                  <c:v>53.541889335697483</c:v>
                </c:pt>
                <c:pt idx="8">
                  <c:v>53.258521972787925</c:v>
                </c:pt>
                <c:pt idx="9">
                  <c:v>48.60471321310925</c:v>
                </c:pt>
                <c:pt idx="10">
                  <c:v>43.984729492292018</c:v>
                </c:pt>
                <c:pt idx="11">
                  <c:v>37.78898337363966</c:v>
                </c:pt>
                <c:pt idx="12">
                  <c:v>37.817045144828846</c:v>
                </c:pt>
                <c:pt idx="13">
                  <c:v>38.024451311102304</c:v>
                </c:pt>
                <c:pt idx="14">
                  <c:v>38.205570341587112</c:v>
                </c:pt>
                <c:pt idx="15">
                  <c:v>38.173991641678363</c:v>
                </c:pt>
                <c:pt idx="16">
                  <c:v>38.151784044234105</c:v>
                </c:pt>
                <c:pt idx="17">
                  <c:v>38.102181621533781</c:v>
                </c:pt>
                <c:pt idx="18">
                  <c:v>38.099340465154413</c:v>
                </c:pt>
                <c:pt idx="19">
                  <c:v>38.104011877926766</c:v>
                </c:pt>
                <c:pt idx="20">
                  <c:v>38.112164474687553</c:v>
                </c:pt>
                <c:pt idx="21">
                  <c:v>38.132169967090668</c:v>
                </c:pt>
                <c:pt idx="22">
                  <c:v>38.156823388062371</c:v>
                </c:pt>
                <c:pt idx="23">
                  <c:v>38.1676024380249</c:v>
                </c:pt>
                <c:pt idx="24">
                  <c:v>38.172859013216417</c:v>
                </c:pt>
                <c:pt idx="25">
                  <c:v>38.185707998463144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310.26364466411309</c:v>
                </c:pt>
                <c:pt idx="1">
                  <c:v>290.52378562434228</c:v>
                </c:pt>
                <c:pt idx="2">
                  <c:v>299.29894494150159</c:v>
                </c:pt>
                <c:pt idx="3">
                  <c:v>301.38288460399946</c:v>
                </c:pt>
                <c:pt idx="4">
                  <c:v>325.98191581344236</c:v>
                </c:pt>
                <c:pt idx="5">
                  <c:v>330.05657658426492</c:v>
                </c:pt>
                <c:pt idx="6">
                  <c:v>323.06449050583223</c:v>
                </c:pt>
                <c:pt idx="7">
                  <c:v>317.94504067884367</c:v>
                </c:pt>
                <c:pt idx="8">
                  <c:v>330.72799311001421</c:v>
                </c:pt>
                <c:pt idx="9">
                  <c:v>333.66231799159374</c:v>
                </c:pt>
                <c:pt idx="10">
                  <c:v>307.76629076952287</c:v>
                </c:pt>
                <c:pt idx="11">
                  <c:v>316.24381387983976</c:v>
                </c:pt>
                <c:pt idx="12">
                  <c:v>316.14677309181627</c:v>
                </c:pt>
                <c:pt idx="13">
                  <c:v>316.12208697050687</c:v>
                </c:pt>
                <c:pt idx="14">
                  <c:v>316.40242752275458</c:v>
                </c:pt>
                <c:pt idx="15">
                  <c:v>315.72982900298251</c:v>
                </c:pt>
                <c:pt idx="16">
                  <c:v>314.7931346083891</c:v>
                </c:pt>
                <c:pt idx="17">
                  <c:v>313.63442659444735</c:v>
                </c:pt>
                <c:pt idx="18">
                  <c:v>312.27302059101396</c:v>
                </c:pt>
                <c:pt idx="19">
                  <c:v>310.90748353894639</c:v>
                </c:pt>
                <c:pt idx="20">
                  <c:v>309.50302694787052</c:v>
                </c:pt>
                <c:pt idx="21">
                  <c:v>308.0410445534938</c:v>
                </c:pt>
                <c:pt idx="22">
                  <c:v>306.47170620325033</c:v>
                </c:pt>
                <c:pt idx="23">
                  <c:v>304.92421213277254</c:v>
                </c:pt>
                <c:pt idx="24">
                  <c:v>303.39090197880057</c:v>
                </c:pt>
                <c:pt idx="25">
                  <c:v>301.7472581531934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416243654822857"/>
          <c:y val="0.9080890503729"/>
          <c:w val="0.71065989847718092"/>
          <c:h val="8.6397136371510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250.53158095904826</c:v>
                </c:pt>
                <c:pt idx="1">
                  <c:v>275.94772814445753</c:v>
                </c:pt>
                <c:pt idx="2">
                  <c:v>291.66531512293665</c:v>
                </c:pt>
                <c:pt idx="3">
                  <c:v>295.79677503361131</c:v>
                </c:pt>
                <c:pt idx="4">
                  <c:v>302.38511050984278</c:v>
                </c:pt>
                <c:pt idx="5">
                  <c:v>317.29921203279753</c:v>
                </c:pt>
                <c:pt idx="6">
                  <c:v>319.52450532558839</c:v>
                </c:pt>
                <c:pt idx="7">
                  <c:v>347.57246499163921</c:v>
                </c:pt>
                <c:pt idx="8">
                  <c:v>347.58694273659876</c:v>
                </c:pt>
                <c:pt idx="9">
                  <c:v>358.84616174802488</c:v>
                </c:pt>
                <c:pt idx="10">
                  <c:v>364.87560410778576</c:v>
                </c:pt>
                <c:pt idx="11">
                  <c:v>355.06457919757725</c:v>
                </c:pt>
                <c:pt idx="12">
                  <c:v>359.79970166568268</c:v>
                </c:pt>
                <c:pt idx="13">
                  <c:v>365.68273471517546</c:v>
                </c:pt>
                <c:pt idx="14">
                  <c:v>372.06433306835572</c:v>
                </c:pt>
                <c:pt idx="15">
                  <c:v>377.19167855722014</c:v>
                </c:pt>
                <c:pt idx="16">
                  <c:v>382.03809323563019</c:v>
                </c:pt>
                <c:pt idx="17">
                  <c:v>386.76316687803052</c:v>
                </c:pt>
                <c:pt idx="18">
                  <c:v>391.47881155582786</c:v>
                </c:pt>
                <c:pt idx="19">
                  <c:v>396.14293567017103</c:v>
                </c:pt>
                <c:pt idx="20">
                  <c:v>400.90845492075584</c:v>
                </c:pt>
                <c:pt idx="21">
                  <c:v>405.70212483169496</c:v>
                </c:pt>
                <c:pt idx="22">
                  <c:v>410.56352137955912</c:v>
                </c:pt>
                <c:pt idx="23">
                  <c:v>415.5935409233594</c:v>
                </c:pt>
                <c:pt idx="24">
                  <c:v>420.76219224548561</c:v>
                </c:pt>
                <c:pt idx="25">
                  <c:v>426.0530763163315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541.28766279981619</c:v>
                </c:pt>
                <c:pt idx="1">
                  <c:v>532.44890669823803</c:v>
                </c:pt>
                <c:pt idx="2">
                  <c:v>552.47471240781999</c:v>
                </c:pt>
                <c:pt idx="3">
                  <c:v>564.72835037953723</c:v>
                </c:pt>
                <c:pt idx="4">
                  <c:v>587.519808054539</c:v>
                </c:pt>
                <c:pt idx="5">
                  <c:v>586.3042977264812</c:v>
                </c:pt>
                <c:pt idx="6">
                  <c:v>610.32986627265791</c:v>
                </c:pt>
                <c:pt idx="7">
                  <c:v>629.40793673220151</c:v>
                </c:pt>
                <c:pt idx="8">
                  <c:v>642.80901960338974</c:v>
                </c:pt>
                <c:pt idx="9">
                  <c:v>679.33227526654014</c:v>
                </c:pt>
                <c:pt idx="10">
                  <c:v>704.81718555733551</c:v>
                </c:pt>
                <c:pt idx="11">
                  <c:v>723.40131291477041</c:v>
                </c:pt>
                <c:pt idx="12">
                  <c:v>730.17947827293835</c:v>
                </c:pt>
                <c:pt idx="13">
                  <c:v>740.17634957459893</c:v>
                </c:pt>
                <c:pt idx="14">
                  <c:v>751.24126464876872</c:v>
                </c:pt>
                <c:pt idx="15">
                  <c:v>760.56664547867615</c:v>
                </c:pt>
                <c:pt idx="16">
                  <c:v>769.66244730238873</c:v>
                </c:pt>
                <c:pt idx="17">
                  <c:v>778.73032661552588</c:v>
                </c:pt>
                <c:pt idx="18">
                  <c:v>787.82385408593461</c:v>
                </c:pt>
                <c:pt idx="19">
                  <c:v>796.41895469312499</c:v>
                </c:pt>
                <c:pt idx="20">
                  <c:v>805.16280913312812</c:v>
                </c:pt>
                <c:pt idx="21">
                  <c:v>814.07531055115157</c:v>
                </c:pt>
                <c:pt idx="22">
                  <c:v>823.51884200782047</c:v>
                </c:pt>
                <c:pt idx="23">
                  <c:v>832.64331434036831</c:v>
                </c:pt>
                <c:pt idx="24">
                  <c:v>842.02727549939709</c:v>
                </c:pt>
                <c:pt idx="25">
                  <c:v>851.32527131328266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327.49154074797445</c:v>
                </c:pt>
                <c:pt idx="1">
                  <c:v>329.47295831485292</c:v>
                </c:pt>
                <c:pt idx="2">
                  <c:v>351.87884822286418</c:v>
                </c:pt>
                <c:pt idx="3">
                  <c:v>347.01508816452065</c:v>
                </c:pt>
                <c:pt idx="4">
                  <c:v>364.82696106677997</c:v>
                </c:pt>
                <c:pt idx="5">
                  <c:v>368.99148710427676</c:v>
                </c:pt>
                <c:pt idx="6">
                  <c:v>385.10562708015289</c:v>
                </c:pt>
                <c:pt idx="7">
                  <c:v>398.57747732864016</c:v>
                </c:pt>
                <c:pt idx="8">
                  <c:v>396.91970913559874</c:v>
                </c:pt>
                <c:pt idx="9">
                  <c:v>398.19745908852406</c:v>
                </c:pt>
                <c:pt idx="10">
                  <c:v>424.88656688403216</c:v>
                </c:pt>
                <c:pt idx="11">
                  <c:v>400.63863159207096</c:v>
                </c:pt>
                <c:pt idx="12">
                  <c:v>403.11757499445952</c:v>
                </c:pt>
                <c:pt idx="13">
                  <c:v>407.29770555164839</c:v>
                </c:pt>
                <c:pt idx="14">
                  <c:v>412.45796144595852</c:v>
                </c:pt>
                <c:pt idx="15">
                  <c:v>416.55702449984153</c:v>
                </c:pt>
                <c:pt idx="16">
                  <c:v>420.32105766622647</c:v>
                </c:pt>
                <c:pt idx="17">
                  <c:v>423.93041939681325</c:v>
                </c:pt>
                <c:pt idx="18">
                  <c:v>427.33041074611947</c:v>
                </c:pt>
                <c:pt idx="19">
                  <c:v>430.83353309987501</c:v>
                </c:pt>
                <c:pt idx="20">
                  <c:v>434.4172624653603</c:v>
                </c:pt>
                <c:pt idx="21">
                  <c:v>438.38599803420607</c:v>
                </c:pt>
                <c:pt idx="22">
                  <c:v>442.56381461445255</c:v>
                </c:pt>
                <c:pt idx="23">
                  <c:v>446.66512120311592</c:v>
                </c:pt>
                <c:pt idx="24">
                  <c:v>450.79571419667457</c:v>
                </c:pt>
                <c:pt idx="25">
                  <c:v>455.01327421440635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329.16627027846175</c:v>
                </c:pt>
                <c:pt idx="1">
                  <c:v>313.39513782678415</c:v>
                </c:pt>
                <c:pt idx="2">
                  <c:v>320.32503302744897</c:v>
                </c:pt>
                <c:pt idx="3">
                  <c:v>313.30973134343765</c:v>
                </c:pt>
                <c:pt idx="4">
                  <c:v>326.67950664694791</c:v>
                </c:pt>
                <c:pt idx="5">
                  <c:v>335.25022176360835</c:v>
                </c:pt>
                <c:pt idx="6">
                  <c:v>323.91086020599539</c:v>
                </c:pt>
                <c:pt idx="7">
                  <c:v>337.03950831976692</c:v>
                </c:pt>
                <c:pt idx="8">
                  <c:v>338.05447395958458</c:v>
                </c:pt>
                <c:pt idx="9">
                  <c:v>328.08114463886125</c:v>
                </c:pt>
                <c:pt idx="10">
                  <c:v>330.71047944005625</c:v>
                </c:pt>
                <c:pt idx="11">
                  <c:v>318.94749676296499</c:v>
                </c:pt>
                <c:pt idx="12">
                  <c:v>317.372850283437</c:v>
                </c:pt>
                <c:pt idx="13">
                  <c:v>316.26826188397877</c:v>
                </c:pt>
                <c:pt idx="14">
                  <c:v>315.34042629994099</c:v>
                </c:pt>
                <c:pt idx="15">
                  <c:v>313.02846052458028</c:v>
                </c:pt>
                <c:pt idx="16">
                  <c:v>310.06611080385852</c:v>
                </c:pt>
                <c:pt idx="17">
                  <c:v>306.69504091386898</c:v>
                </c:pt>
                <c:pt idx="18">
                  <c:v>303.94158488571844</c:v>
                </c:pt>
                <c:pt idx="19">
                  <c:v>301.25916677038515</c:v>
                </c:pt>
                <c:pt idx="20">
                  <c:v>298.88774388293837</c:v>
                </c:pt>
                <c:pt idx="21">
                  <c:v>295.91511646923959</c:v>
                </c:pt>
                <c:pt idx="22">
                  <c:v>291.85243874857252</c:v>
                </c:pt>
                <c:pt idx="23">
                  <c:v>288.25581717771729</c:v>
                </c:pt>
                <c:pt idx="24">
                  <c:v>284.30986483481462</c:v>
                </c:pt>
                <c:pt idx="25">
                  <c:v>280.35480319868844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300.68668492656172</c:v>
                </c:pt>
                <c:pt idx="1">
                  <c:v>292.9332993536583</c:v>
                </c:pt>
                <c:pt idx="2">
                  <c:v>294.47876427387649</c:v>
                </c:pt>
                <c:pt idx="3">
                  <c:v>292.01171351275389</c:v>
                </c:pt>
                <c:pt idx="4">
                  <c:v>312.82279199925051</c:v>
                </c:pt>
                <c:pt idx="5">
                  <c:v>324.93128995317278</c:v>
                </c:pt>
                <c:pt idx="6">
                  <c:v>316.09089198830497</c:v>
                </c:pt>
                <c:pt idx="7">
                  <c:v>311.43310846280309</c:v>
                </c:pt>
                <c:pt idx="8">
                  <c:v>300.93943181924476</c:v>
                </c:pt>
                <c:pt idx="9">
                  <c:v>302.30344915223691</c:v>
                </c:pt>
                <c:pt idx="10">
                  <c:v>271.46659410623909</c:v>
                </c:pt>
                <c:pt idx="11">
                  <c:v>278.51445243843335</c:v>
                </c:pt>
                <c:pt idx="12">
                  <c:v>278.66877552026745</c:v>
                </c:pt>
                <c:pt idx="13">
                  <c:v>280.21575887257927</c:v>
                </c:pt>
                <c:pt idx="14">
                  <c:v>281.66898637060018</c:v>
                </c:pt>
                <c:pt idx="15">
                  <c:v>281.6308378580386</c:v>
                </c:pt>
                <c:pt idx="16">
                  <c:v>281.17489983196998</c:v>
                </c:pt>
                <c:pt idx="17">
                  <c:v>280.58782711918491</c:v>
                </c:pt>
                <c:pt idx="18">
                  <c:v>280.05838832168075</c:v>
                </c:pt>
                <c:pt idx="19">
                  <c:v>279.66318314037022</c:v>
                </c:pt>
                <c:pt idx="20">
                  <c:v>279.34830438850429</c:v>
                </c:pt>
                <c:pt idx="21">
                  <c:v>279.00619285491666</c:v>
                </c:pt>
                <c:pt idx="22">
                  <c:v>278.7080096284858</c:v>
                </c:pt>
                <c:pt idx="23">
                  <c:v>278.41045627573391</c:v>
                </c:pt>
                <c:pt idx="24">
                  <c:v>278.06305835229745</c:v>
                </c:pt>
                <c:pt idx="25">
                  <c:v>277.64242629963269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253.92228385289894</c:v>
                </c:pt>
                <c:pt idx="1">
                  <c:v>250.12113219406359</c:v>
                </c:pt>
                <c:pt idx="2">
                  <c:v>258.64373542174059</c:v>
                </c:pt>
                <c:pt idx="3">
                  <c:v>262.14437975093011</c:v>
                </c:pt>
                <c:pt idx="4">
                  <c:v>276.92576456847286</c:v>
                </c:pt>
                <c:pt idx="5">
                  <c:v>280.87834355941607</c:v>
                </c:pt>
                <c:pt idx="6">
                  <c:v>298.84960334218056</c:v>
                </c:pt>
                <c:pt idx="7">
                  <c:v>300.04814292469035</c:v>
                </c:pt>
                <c:pt idx="8">
                  <c:v>292.36431546839583</c:v>
                </c:pt>
                <c:pt idx="9">
                  <c:v>306.71652415145797</c:v>
                </c:pt>
                <c:pt idx="10">
                  <c:v>299.51227939645844</c:v>
                </c:pt>
                <c:pt idx="11">
                  <c:v>307.67882550787306</c:v>
                </c:pt>
                <c:pt idx="12">
                  <c:v>310.35306546976216</c:v>
                </c:pt>
                <c:pt idx="13">
                  <c:v>313.73673222252978</c:v>
                </c:pt>
                <c:pt idx="14">
                  <c:v>317.60648877801884</c:v>
                </c:pt>
                <c:pt idx="15">
                  <c:v>320.87259399162235</c:v>
                </c:pt>
                <c:pt idx="16">
                  <c:v>324.08281498994978</c:v>
                </c:pt>
                <c:pt idx="17">
                  <c:v>327.24606526555834</c:v>
                </c:pt>
                <c:pt idx="18">
                  <c:v>330.08899458830194</c:v>
                </c:pt>
                <c:pt idx="19">
                  <c:v>333.05349589493733</c:v>
                </c:pt>
                <c:pt idx="20">
                  <c:v>336.10957595088922</c:v>
                </c:pt>
                <c:pt idx="21">
                  <c:v>339.26748431634803</c:v>
                </c:pt>
                <c:pt idx="22">
                  <c:v>342.69175728577727</c:v>
                </c:pt>
                <c:pt idx="23">
                  <c:v>346.15615016527181</c:v>
                </c:pt>
                <c:pt idx="24">
                  <c:v>349.72492477006853</c:v>
                </c:pt>
                <c:pt idx="25">
                  <c:v>353.502009295888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250.55751462516997</c:v>
                </c:pt>
                <c:pt idx="1">
                  <c:v>265.06196934061961</c:v>
                </c:pt>
                <c:pt idx="2">
                  <c:v>266.93075420896548</c:v>
                </c:pt>
                <c:pt idx="3">
                  <c:v>260.31426284930853</c:v>
                </c:pt>
                <c:pt idx="4">
                  <c:v>259.59145817693206</c:v>
                </c:pt>
                <c:pt idx="5">
                  <c:v>266.38974781856729</c:v>
                </c:pt>
                <c:pt idx="6">
                  <c:v>261.19471604088403</c:v>
                </c:pt>
                <c:pt idx="7">
                  <c:v>258.28378857622499</c:v>
                </c:pt>
                <c:pt idx="8">
                  <c:v>263.6303412009799</c:v>
                </c:pt>
                <c:pt idx="9">
                  <c:v>246.22830152310058</c:v>
                </c:pt>
                <c:pt idx="10">
                  <c:v>244.55606769223141</c:v>
                </c:pt>
                <c:pt idx="11">
                  <c:v>242.45645359172906</c:v>
                </c:pt>
                <c:pt idx="12">
                  <c:v>243.04904695857451</c:v>
                </c:pt>
                <c:pt idx="13">
                  <c:v>243.90685942990419</c:v>
                </c:pt>
                <c:pt idx="14">
                  <c:v>245.00700658829507</c:v>
                </c:pt>
                <c:pt idx="15">
                  <c:v>245.44670382685663</c:v>
                </c:pt>
                <c:pt idx="16">
                  <c:v>245.64261414426323</c:v>
                </c:pt>
                <c:pt idx="17">
                  <c:v>245.58544463980522</c:v>
                </c:pt>
                <c:pt idx="18">
                  <c:v>245.50002094454618</c:v>
                </c:pt>
                <c:pt idx="19">
                  <c:v>245.43477139548182</c:v>
                </c:pt>
                <c:pt idx="20">
                  <c:v>245.57070897264586</c:v>
                </c:pt>
                <c:pt idx="21">
                  <c:v>245.51441704857695</c:v>
                </c:pt>
                <c:pt idx="22">
                  <c:v>245.68995650954918</c:v>
                </c:pt>
                <c:pt idx="23">
                  <c:v>245.74865218914778</c:v>
                </c:pt>
                <c:pt idx="24">
                  <c:v>245.76179099908771</c:v>
                </c:pt>
                <c:pt idx="25">
                  <c:v>245.81255793965613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182.75101779437341</c:v>
                </c:pt>
                <c:pt idx="1">
                  <c:v>183.22119198543584</c:v>
                </c:pt>
                <c:pt idx="2">
                  <c:v>179.45551767007439</c:v>
                </c:pt>
                <c:pt idx="3">
                  <c:v>181.95147222173642</c:v>
                </c:pt>
                <c:pt idx="4">
                  <c:v>187.60221798268481</c:v>
                </c:pt>
                <c:pt idx="5">
                  <c:v>190.77811978340014</c:v>
                </c:pt>
                <c:pt idx="6">
                  <c:v>200.92986394572188</c:v>
                </c:pt>
                <c:pt idx="7">
                  <c:v>200.79364265016818</c:v>
                </c:pt>
                <c:pt idx="8">
                  <c:v>211.01225099341491</c:v>
                </c:pt>
                <c:pt idx="9">
                  <c:v>205.13065322486889</c:v>
                </c:pt>
                <c:pt idx="10">
                  <c:v>181.61620255244659</c:v>
                </c:pt>
                <c:pt idx="11">
                  <c:v>205.31945073938351</c:v>
                </c:pt>
                <c:pt idx="12">
                  <c:v>206.77568859673281</c:v>
                </c:pt>
                <c:pt idx="13">
                  <c:v>208.54605946624224</c:v>
                </c:pt>
                <c:pt idx="14">
                  <c:v>210.21953493379874</c:v>
                </c:pt>
                <c:pt idx="15">
                  <c:v>211.05423461850737</c:v>
                </c:pt>
                <c:pt idx="16">
                  <c:v>211.53104337310282</c:v>
                </c:pt>
                <c:pt idx="17">
                  <c:v>211.93310095459989</c:v>
                </c:pt>
                <c:pt idx="18">
                  <c:v>212.40057381432325</c:v>
                </c:pt>
                <c:pt idx="19">
                  <c:v>212.78346391810811</c:v>
                </c:pt>
                <c:pt idx="20">
                  <c:v>213.13994886253033</c:v>
                </c:pt>
                <c:pt idx="21">
                  <c:v>213.53014137257378</c:v>
                </c:pt>
                <c:pt idx="22">
                  <c:v>213.84913023361852</c:v>
                </c:pt>
                <c:pt idx="23">
                  <c:v>214.2051331538222</c:v>
                </c:pt>
                <c:pt idx="24">
                  <c:v>214.44241810980787</c:v>
                </c:pt>
                <c:pt idx="25">
                  <c:v>214.64661526835857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362.07344401508533</c:v>
                </c:pt>
                <c:pt idx="1">
                  <c:v>341.32267614060697</c:v>
                </c:pt>
                <c:pt idx="2">
                  <c:v>349.14331964300453</c:v>
                </c:pt>
                <c:pt idx="3">
                  <c:v>349.67222674298074</c:v>
                </c:pt>
                <c:pt idx="4">
                  <c:v>380.04138099450631</c:v>
                </c:pt>
                <c:pt idx="5">
                  <c:v>384.95628025779229</c:v>
                </c:pt>
                <c:pt idx="6">
                  <c:v>377.13606579732692</c:v>
                </c:pt>
                <c:pt idx="7">
                  <c:v>371.48693001454114</c:v>
                </c:pt>
                <c:pt idx="8">
                  <c:v>383.98651508280216</c:v>
                </c:pt>
                <c:pt idx="9">
                  <c:v>382.26703120470302</c:v>
                </c:pt>
                <c:pt idx="10">
                  <c:v>351.75102026181492</c:v>
                </c:pt>
                <c:pt idx="11">
                  <c:v>354.03279725347943</c:v>
                </c:pt>
                <c:pt idx="12">
                  <c:v>353.96381823664512</c:v>
                </c:pt>
                <c:pt idx="13">
                  <c:v>354.1465382816092</c:v>
                </c:pt>
                <c:pt idx="14">
                  <c:v>354.60799786434171</c:v>
                </c:pt>
                <c:pt idx="15">
                  <c:v>353.90382064466087</c:v>
                </c:pt>
                <c:pt idx="16">
                  <c:v>352.94491865262319</c:v>
                </c:pt>
                <c:pt idx="17">
                  <c:v>351.73660821598111</c:v>
                </c:pt>
                <c:pt idx="18">
                  <c:v>350.37236105616836</c:v>
                </c:pt>
                <c:pt idx="19">
                  <c:v>349.01149541687317</c:v>
                </c:pt>
                <c:pt idx="20">
                  <c:v>347.6151914225581</c:v>
                </c:pt>
                <c:pt idx="21">
                  <c:v>346.17321452058445</c:v>
                </c:pt>
                <c:pt idx="22">
                  <c:v>344.62852959131271</c:v>
                </c:pt>
                <c:pt idx="23">
                  <c:v>343.09181457079745</c:v>
                </c:pt>
                <c:pt idx="24">
                  <c:v>341.56376099201697</c:v>
                </c:pt>
                <c:pt idx="25">
                  <c:v>339.93296615165656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250.53158095904826</c:v>
                </c:pt>
                <c:pt idx="1">
                  <c:v>275.94772814445753</c:v>
                </c:pt>
                <c:pt idx="2">
                  <c:v>291.66531512293665</c:v>
                </c:pt>
                <c:pt idx="3">
                  <c:v>295.79677503361131</c:v>
                </c:pt>
                <c:pt idx="4">
                  <c:v>302.38511050984278</c:v>
                </c:pt>
                <c:pt idx="5">
                  <c:v>317.29921203279753</c:v>
                </c:pt>
                <c:pt idx="6">
                  <c:v>319.52450532558839</c:v>
                </c:pt>
                <c:pt idx="7">
                  <c:v>347.57246499163921</c:v>
                </c:pt>
                <c:pt idx="8">
                  <c:v>347.58694273659876</c:v>
                </c:pt>
                <c:pt idx="9">
                  <c:v>358.84616174802488</c:v>
                </c:pt>
                <c:pt idx="10">
                  <c:v>364.87560410778576</c:v>
                </c:pt>
                <c:pt idx="11">
                  <c:v>355.06457919757725</c:v>
                </c:pt>
                <c:pt idx="12">
                  <c:v>359.79970166568268</c:v>
                </c:pt>
                <c:pt idx="13">
                  <c:v>365.68273471517546</c:v>
                </c:pt>
                <c:pt idx="14">
                  <c:v>372.06433306835572</c:v>
                </c:pt>
                <c:pt idx="15">
                  <c:v>377.19167855722014</c:v>
                </c:pt>
                <c:pt idx="16">
                  <c:v>382.03809323563019</c:v>
                </c:pt>
                <c:pt idx="17">
                  <c:v>386.76316687803052</c:v>
                </c:pt>
                <c:pt idx="18">
                  <c:v>391.47881155582786</c:v>
                </c:pt>
                <c:pt idx="19">
                  <c:v>396.14293567017103</c:v>
                </c:pt>
                <c:pt idx="20">
                  <c:v>400.90845492075584</c:v>
                </c:pt>
                <c:pt idx="21">
                  <c:v>405.70212483169496</c:v>
                </c:pt>
                <c:pt idx="22">
                  <c:v>410.56352137955912</c:v>
                </c:pt>
                <c:pt idx="23">
                  <c:v>415.5935409233594</c:v>
                </c:pt>
                <c:pt idx="24">
                  <c:v>420.76219224548561</c:v>
                </c:pt>
                <c:pt idx="25">
                  <c:v>426.0530763163315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541.28766279981619</c:v>
                </c:pt>
                <c:pt idx="1">
                  <c:v>532.44890669823803</c:v>
                </c:pt>
                <c:pt idx="2">
                  <c:v>552.47471240781999</c:v>
                </c:pt>
                <c:pt idx="3">
                  <c:v>564.72835037953723</c:v>
                </c:pt>
                <c:pt idx="4">
                  <c:v>587.519808054539</c:v>
                </c:pt>
                <c:pt idx="5">
                  <c:v>586.3042977264812</c:v>
                </c:pt>
                <c:pt idx="6">
                  <c:v>610.32986627265791</c:v>
                </c:pt>
                <c:pt idx="7">
                  <c:v>629.40793673220151</c:v>
                </c:pt>
                <c:pt idx="8">
                  <c:v>642.80901960338974</c:v>
                </c:pt>
                <c:pt idx="9">
                  <c:v>679.33227526654014</c:v>
                </c:pt>
                <c:pt idx="10">
                  <c:v>704.81718555733551</c:v>
                </c:pt>
                <c:pt idx="11">
                  <c:v>723.40131291477041</c:v>
                </c:pt>
                <c:pt idx="12">
                  <c:v>730.17947827293835</c:v>
                </c:pt>
                <c:pt idx="13">
                  <c:v>740.17634957459893</c:v>
                </c:pt>
                <c:pt idx="14">
                  <c:v>751.24126464876872</c:v>
                </c:pt>
                <c:pt idx="15">
                  <c:v>760.56664547867615</c:v>
                </c:pt>
                <c:pt idx="16">
                  <c:v>769.66244730238873</c:v>
                </c:pt>
                <c:pt idx="17">
                  <c:v>778.73032661552588</c:v>
                </c:pt>
                <c:pt idx="18">
                  <c:v>787.82385408593461</c:v>
                </c:pt>
                <c:pt idx="19">
                  <c:v>796.41895469312499</c:v>
                </c:pt>
                <c:pt idx="20">
                  <c:v>805.16280913312812</c:v>
                </c:pt>
                <c:pt idx="21">
                  <c:v>814.07531055115157</c:v>
                </c:pt>
                <c:pt idx="22">
                  <c:v>823.51884200782047</c:v>
                </c:pt>
                <c:pt idx="23">
                  <c:v>832.64331434036831</c:v>
                </c:pt>
                <c:pt idx="24">
                  <c:v>842.02727549939709</c:v>
                </c:pt>
                <c:pt idx="25">
                  <c:v>851.32527131328266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327.49154074797445</c:v>
                </c:pt>
                <c:pt idx="1">
                  <c:v>329.47295831485292</c:v>
                </c:pt>
                <c:pt idx="2">
                  <c:v>351.87884822286418</c:v>
                </c:pt>
                <c:pt idx="3">
                  <c:v>347.01508816452065</c:v>
                </c:pt>
                <c:pt idx="4">
                  <c:v>364.82696106677997</c:v>
                </c:pt>
                <c:pt idx="5">
                  <c:v>368.99148710427676</c:v>
                </c:pt>
                <c:pt idx="6">
                  <c:v>385.10562708015289</c:v>
                </c:pt>
                <c:pt idx="7">
                  <c:v>398.57747732864016</c:v>
                </c:pt>
                <c:pt idx="8">
                  <c:v>396.91970913559874</c:v>
                </c:pt>
                <c:pt idx="9">
                  <c:v>398.19745908852406</c:v>
                </c:pt>
                <c:pt idx="10">
                  <c:v>424.88656688403216</c:v>
                </c:pt>
                <c:pt idx="11">
                  <c:v>400.63863159207096</c:v>
                </c:pt>
                <c:pt idx="12">
                  <c:v>403.11757499445952</c:v>
                </c:pt>
                <c:pt idx="13">
                  <c:v>407.29770555164839</c:v>
                </c:pt>
                <c:pt idx="14">
                  <c:v>412.45796144595852</c:v>
                </c:pt>
                <c:pt idx="15">
                  <c:v>416.55702449984153</c:v>
                </c:pt>
                <c:pt idx="16">
                  <c:v>420.32105766622647</c:v>
                </c:pt>
                <c:pt idx="17">
                  <c:v>423.93041939681325</c:v>
                </c:pt>
                <c:pt idx="18">
                  <c:v>427.33041074611947</c:v>
                </c:pt>
                <c:pt idx="19">
                  <c:v>430.83353309987501</c:v>
                </c:pt>
                <c:pt idx="20">
                  <c:v>434.4172624653603</c:v>
                </c:pt>
                <c:pt idx="21">
                  <c:v>438.38599803420607</c:v>
                </c:pt>
                <c:pt idx="22">
                  <c:v>442.56381461445255</c:v>
                </c:pt>
                <c:pt idx="23">
                  <c:v>446.66512120311592</c:v>
                </c:pt>
                <c:pt idx="24">
                  <c:v>450.79571419667457</c:v>
                </c:pt>
                <c:pt idx="25">
                  <c:v>455.01327421440635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329.16627027846175</c:v>
                </c:pt>
                <c:pt idx="1">
                  <c:v>313.39513782678415</c:v>
                </c:pt>
                <c:pt idx="2">
                  <c:v>320.32503302744897</c:v>
                </c:pt>
                <c:pt idx="3">
                  <c:v>313.30973134343765</c:v>
                </c:pt>
                <c:pt idx="4">
                  <c:v>326.67950664694791</c:v>
                </c:pt>
                <c:pt idx="5">
                  <c:v>335.25022176360835</c:v>
                </c:pt>
                <c:pt idx="6">
                  <c:v>323.91086020599539</c:v>
                </c:pt>
                <c:pt idx="7">
                  <c:v>337.03950831976692</c:v>
                </c:pt>
                <c:pt idx="8">
                  <c:v>338.05447395958458</c:v>
                </c:pt>
                <c:pt idx="9">
                  <c:v>328.08114463886125</c:v>
                </c:pt>
                <c:pt idx="10">
                  <c:v>330.71047944005625</c:v>
                </c:pt>
                <c:pt idx="11">
                  <c:v>318.94749676296499</c:v>
                </c:pt>
                <c:pt idx="12">
                  <c:v>317.372850283437</c:v>
                </c:pt>
                <c:pt idx="13">
                  <c:v>316.26826188397877</c:v>
                </c:pt>
                <c:pt idx="14">
                  <c:v>315.34042629994099</c:v>
                </c:pt>
                <c:pt idx="15">
                  <c:v>313.02846052458028</c:v>
                </c:pt>
                <c:pt idx="16">
                  <c:v>310.06611080385852</c:v>
                </c:pt>
                <c:pt idx="17">
                  <c:v>306.69504091386898</c:v>
                </c:pt>
                <c:pt idx="18">
                  <c:v>303.94158488571844</c:v>
                </c:pt>
                <c:pt idx="19">
                  <c:v>301.25916677038515</c:v>
                </c:pt>
                <c:pt idx="20">
                  <c:v>298.88774388293837</c:v>
                </c:pt>
                <c:pt idx="21">
                  <c:v>295.91511646923959</c:v>
                </c:pt>
                <c:pt idx="22">
                  <c:v>291.85243874857252</c:v>
                </c:pt>
                <c:pt idx="23">
                  <c:v>288.25581717771729</c:v>
                </c:pt>
                <c:pt idx="24">
                  <c:v>284.30986483481462</c:v>
                </c:pt>
                <c:pt idx="25">
                  <c:v>280.35480319868844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300.68668492656172</c:v>
                </c:pt>
                <c:pt idx="1">
                  <c:v>292.9332993536583</c:v>
                </c:pt>
                <c:pt idx="2">
                  <c:v>294.47876427387649</c:v>
                </c:pt>
                <c:pt idx="3">
                  <c:v>292.01171351275389</c:v>
                </c:pt>
                <c:pt idx="4">
                  <c:v>312.82279199925051</c:v>
                </c:pt>
                <c:pt idx="5">
                  <c:v>324.93128995317278</c:v>
                </c:pt>
                <c:pt idx="6">
                  <c:v>316.09089198830497</c:v>
                </c:pt>
                <c:pt idx="7">
                  <c:v>311.43310846280309</c:v>
                </c:pt>
                <c:pt idx="8">
                  <c:v>300.93943181924476</c:v>
                </c:pt>
                <c:pt idx="9">
                  <c:v>302.30344915223691</c:v>
                </c:pt>
                <c:pt idx="10">
                  <c:v>271.46659410623909</c:v>
                </c:pt>
                <c:pt idx="11">
                  <c:v>278.51445243843335</c:v>
                </c:pt>
                <c:pt idx="12">
                  <c:v>278.66877552026745</c:v>
                </c:pt>
                <c:pt idx="13">
                  <c:v>280.21575887257927</c:v>
                </c:pt>
                <c:pt idx="14">
                  <c:v>281.66898637060018</c:v>
                </c:pt>
                <c:pt idx="15">
                  <c:v>281.6308378580386</c:v>
                </c:pt>
                <c:pt idx="16">
                  <c:v>281.17489983196998</c:v>
                </c:pt>
                <c:pt idx="17">
                  <c:v>280.58782711918491</c:v>
                </c:pt>
                <c:pt idx="18">
                  <c:v>280.05838832168075</c:v>
                </c:pt>
                <c:pt idx="19">
                  <c:v>279.66318314037022</c:v>
                </c:pt>
                <c:pt idx="20">
                  <c:v>279.34830438850429</c:v>
                </c:pt>
                <c:pt idx="21">
                  <c:v>279.00619285491666</c:v>
                </c:pt>
                <c:pt idx="22">
                  <c:v>278.7080096284858</c:v>
                </c:pt>
                <c:pt idx="23">
                  <c:v>278.41045627573391</c:v>
                </c:pt>
                <c:pt idx="24">
                  <c:v>278.06305835229745</c:v>
                </c:pt>
                <c:pt idx="25">
                  <c:v>277.64242629963269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253.92228385289894</c:v>
                </c:pt>
                <c:pt idx="1">
                  <c:v>250.12113219406359</c:v>
                </c:pt>
                <c:pt idx="2">
                  <c:v>258.64373542174059</c:v>
                </c:pt>
                <c:pt idx="3">
                  <c:v>262.14437975093011</c:v>
                </c:pt>
                <c:pt idx="4">
                  <c:v>276.92576456847286</c:v>
                </c:pt>
                <c:pt idx="5">
                  <c:v>280.87834355941607</c:v>
                </c:pt>
                <c:pt idx="6">
                  <c:v>298.84960334218056</c:v>
                </c:pt>
                <c:pt idx="7">
                  <c:v>300.04814292469035</c:v>
                </c:pt>
                <c:pt idx="8">
                  <c:v>292.36431546839583</c:v>
                </c:pt>
                <c:pt idx="9">
                  <c:v>306.71652415145797</c:v>
                </c:pt>
                <c:pt idx="10">
                  <c:v>299.51227939645844</c:v>
                </c:pt>
                <c:pt idx="11">
                  <c:v>307.67882550787306</c:v>
                </c:pt>
                <c:pt idx="12">
                  <c:v>310.35306546976216</c:v>
                </c:pt>
                <c:pt idx="13">
                  <c:v>313.73673222252978</c:v>
                </c:pt>
                <c:pt idx="14">
                  <c:v>317.60648877801884</c:v>
                </c:pt>
                <c:pt idx="15">
                  <c:v>320.87259399162235</c:v>
                </c:pt>
                <c:pt idx="16">
                  <c:v>324.08281498994978</c:v>
                </c:pt>
                <c:pt idx="17">
                  <c:v>327.24606526555834</c:v>
                </c:pt>
                <c:pt idx="18">
                  <c:v>330.08899458830194</c:v>
                </c:pt>
                <c:pt idx="19">
                  <c:v>333.05349589493733</c:v>
                </c:pt>
                <c:pt idx="20">
                  <c:v>336.10957595088922</c:v>
                </c:pt>
                <c:pt idx="21">
                  <c:v>339.26748431634803</c:v>
                </c:pt>
                <c:pt idx="22">
                  <c:v>342.69175728577727</c:v>
                </c:pt>
                <c:pt idx="23">
                  <c:v>346.15615016527181</c:v>
                </c:pt>
                <c:pt idx="24">
                  <c:v>349.72492477006853</c:v>
                </c:pt>
                <c:pt idx="25">
                  <c:v>353.502009295888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250.55751462516997</c:v>
                </c:pt>
                <c:pt idx="1">
                  <c:v>265.06196934061961</c:v>
                </c:pt>
                <c:pt idx="2">
                  <c:v>266.93075420896548</c:v>
                </c:pt>
                <c:pt idx="3">
                  <c:v>260.31426284930853</c:v>
                </c:pt>
                <c:pt idx="4">
                  <c:v>259.59145817693206</c:v>
                </c:pt>
                <c:pt idx="5">
                  <c:v>266.38974781856729</c:v>
                </c:pt>
                <c:pt idx="6">
                  <c:v>261.19471604088403</c:v>
                </c:pt>
                <c:pt idx="7">
                  <c:v>258.28378857622499</c:v>
                </c:pt>
                <c:pt idx="8">
                  <c:v>263.6303412009799</c:v>
                </c:pt>
                <c:pt idx="9">
                  <c:v>246.22830152310058</c:v>
                </c:pt>
                <c:pt idx="10">
                  <c:v>244.55606769223141</c:v>
                </c:pt>
                <c:pt idx="11">
                  <c:v>242.45645359172906</c:v>
                </c:pt>
                <c:pt idx="12">
                  <c:v>243.04904695857451</c:v>
                </c:pt>
                <c:pt idx="13">
                  <c:v>243.90685942990419</c:v>
                </c:pt>
                <c:pt idx="14">
                  <c:v>245.00700658829507</c:v>
                </c:pt>
                <c:pt idx="15">
                  <c:v>245.44670382685663</c:v>
                </c:pt>
                <c:pt idx="16">
                  <c:v>245.64261414426323</c:v>
                </c:pt>
                <c:pt idx="17">
                  <c:v>245.58544463980522</c:v>
                </c:pt>
                <c:pt idx="18">
                  <c:v>245.50002094454618</c:v>
                </c:pt>
                <c:pt idx="19">
                  <c:v>245.43477139548182</c:v>
                </c:pt>
                <c:pt idx="20">
                  <c:v>245.57070897264586</c:v>
                </c:pt>
                <c:pt idx="21">
                  <c:v>245.51441704857695</c:v>
                </c:pt>
                <c:pt idx="22">
                  <c:v>245.68995650954918</c:v>
                </c:pt>
                <c:pt idx="23">
                  <c:v>245.74865218914778</c:v>
                </c:pt>
                <c:pt idx="24">
                  <c:v>245.76179099908771</c:v>
                </c:pt>
                <c:pt idx="25">
                  <c:v>245.81255793965613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182.75101779437341</c:v>
                </c:pt>
                <c:pt idx="1">
                  <c:v>183.22119198543584</c:v>
                </c:pt>
                <c:pt idx="2">
                  <c:v>179.45551767007439</c:v>
                </c:pt>
                <c:pt idx="3">
                  <c:v>181.95147222173642</c:v>
                </c:pt>
                <c:pt idx="4">
                  <c:v>187.60221798268481</c:v>
                </c:pt>
                <c:pt idx="5">
                  <c:v>190.77811978340014</c:v>
                </c:pt>
                <c:pt idx="6">
                  <c:v>200.92986394572188</c:v>
                </c:pt>
                <c:pt idx="7">
                  <c:v>200.79364265016818</c:v>
                </c:pt>
                <c:pt idx="8">
                  <c:v>211.01225099341491</c:v>
                </c:pt>
                <c:pt idx="9">
                  <c:v>205.13065322486889</c:v>
                </c:pt>
                <c:pt idx="10">
                  <c:v>181.61620255244659</c:v>
                </c:pt>
                <c:pt idx="11">
                  <c:v>205.31945073938351</c:v>
                </c:pt>
                <c:pt idx="12">
                  <c:v>206.77568859673281</c:v>
                </c:pt>
                <c:pt idx="13">
                  <c:v>208.54605946624224</c:v>
                </c:pt>
                <c:pt idx="14">
                  <c:v>210.21953493379874</c:v>
                </c:pt>
                <c:pt idx="15">
                  <c:v>211.05423461850737</c:v>
                </c:pt>
                <c:pt idx="16">
                  <c:v>211.53104337310282</c:v>
                </c:pt>
                <c:pt idx="17">
                  <c:v>211.93310095459989</c:v>
                </c:pt>
                <c:pt idx="18">
                  <c:v>212.40057381432325</c:v>
                </c:pt>
                <c:pt idx="19">
                  <c:v>212.78346391810811</c:v>
                </c:pt>
                <c:pt idx="20">
                  <c:v>213.13994886253033</c:v>
                </c:pt>
                <c:pt idx="21">
                  <c:v>213.53014137257378</c:v>
                </c:pt>
                <c:pt idx="22">
                  <c:v>213.84913023361852</c:v>
                </c:pt>
                <c:pt idx="23">
                  <c:v>214.2051331538222</c:v>
                </c:pt>
                <c:pt idx="24">
                  <c:v>214.44241810980787</c:v>
                </c:pt>
                <c:pt idx="25">
                  <c:v>214.64661526835857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362.07344401508533</c:v>
                </c:pt>
                <c:pt idx="1">
                  <c:v>341.32267614060697</c:v>
                </c:pt>
                <c:pt idx="2">
                  <c:v>349.14331964300453</c:v>
                </c:pt>
                <c:pt idx="3">
                  <c:v>349.67222674298074</c:v>
                </c:pt>
                <c:pt idx="4">
                  <c:v>380.04138099450631</c:v>
                </c:pt>
                <c:pt idx="5">
                  <c:v>384.95628025779229</c:v>
                </c:pt>
                <c:pt idx="6">
                  <c:v>377.13606579732692</c:v>
                </c:pt>
                <c:pt idx="7">
                  <c:v>371.48693001454114</c:v>
                </c:pt>
                <c:pt idx="8">
                  <c:v>383.98651508280216</c:v>
                </c:pt>
                <c:pt idx="9">
                  <c:v>382.26703120470302</c:v>
                </c:pt>
                <c:pt idx="10">
                  <c:v>351.75102026181492</c:v>
                </c:pt>
                <c:pt idx="11">
                  <c:v>354.03279725347943</c:v>
                </c:pt>
                <c:pt idx="12">
                  <c:v>353.96381823664512</c:v>
                </c:pt>
                <c:pt idx="13">
                  <c:v>354.1465382816092</c:v>
                </c:pt>
                <c:pt idx="14">
                  <c:v>354.60799786434171</c:v>
                </c:pt>
                <c:pt idx="15">
                  <c:v>353.90382064466087</c:v>
                </c:pt>
                <c:pt idx="16">
                  <c:v>352.94491865262319</c:v>
                </c:pt>
                <c:pt idx="17">
                  <c:v>351.73660821598111</c:v>
                </c:pt>
                <c:pt idx="18">
                  <c:v>350.37236105616836</c:v>
                </c:pt>
                <c:pt idx="19">
                  <c:v>349.01149541687317</c:v>
                </c:pt>
                <c:pt idx="20">
                  <c:v>347.6151914225581</c:v>
                </c:pt>
                <c:pt idx="21">
                  <c:v>346.17321452058445</c:v>
                </c:pt>
                <c:pt idx="22">
                  <c:v>344.62852959131271</c:v>
                </c:pt>
                <c:pt idx="23">
                  <c:v>343.09181457079745</c:v>
                </c:pt>
                <c:pt idx="24">
                  <c:v>341.56376099201697</c:v>
                </c:pt>
                <c:pt idx="25">
                  <c:v>339.93296615165656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426.0530763163315</c:v>
                </c:pt>
                <c:pt idx="1">
                  <c:v>851.32527131328266</c:v>
                </c:pt>
                <c:pt idx="2">
                  <c:v>455.01327421440635</c:v>
                </c:pt>
                <c:pt idx="3">
                  <c:v>280.35480319868844</c:v>
                </c:pt>
                <c:pt idx="4">
                  <c:v>277.64242629963269</c:v>
                </c:pt>
                <c:pt idx="5">
                  <c:v>353.502009295888</c:v>
                </c:pt>
                <c:pt idx="6">
                  <c:v>245.81255793965613</c:v>
                </c:pt>
                <c:pt idx="7">
                  <c:v>214.64661526835857</c:v>
                </c:pt>
                <c:pt idx="8">
                  <c:v>339.93296615165656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364.87560410778576</c:v>
                </c:pt>
                <c:pt idx="1">
                  <c:v>704.81718555733551</c:v>
                </c:pt>
                <c:pt idx="2">
                  <c:v>424.88656688403216</c:v>
                </c:pt>
                <c:pt idx="3">
                  <c:v>330.71047944005625</c:v>
                </c:pt>
                <c:pt idx="4">
                  <c:v>271.46659410623909</c:v>
                </c:pt>
                <c:pt idx="5">
                  <c:v>299.51227939645844</c:v>
                </c:pt>
                <c:pt idx="6">
                  <c:v>244.55606769223141</c:v>
                </c:pt>
                <c:pt idx="7">
                  <c:v>181.61620255244659</c:v>
                </c:pt>
                <c:pt idx="8">
                  <c:v>351.75102026181492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12.369862648237415</c:v>
                </c:pt>
                <c:pt idx="1">
                  <c:v>24.717053485843103</c:v>
                </c:pt>
                <c:pt idx="2">
                  <c:v>13.210681997230878</c:v>
                </c:pt>
                <c:pt idx="3">
                  <c:v>8.1397145123922527</c:v>
                </c:pt>
                <c:pt idx="4">
                  <c:v>8.0609643951963843</c:v>
                </c:pt>
                <c:pt idx="5">
                  <c:v>10.26344261769731</c:v>
                </c:pt>
                <c:pt idx="6">
                  <c:v>7.1368281276482186</c:v>
                </c:pt>
                <c:pt idx="7">
                  <c:v>6.2319680255219838</c:v>
                </c:pt>
                <c:pt idx="8">
                  <c:v>9.8694841902324431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11.495070370915485</c:v>
                </c:pt>
                <c:pt idx="1">
                  <c:v>22.204617287098284</c:v>
                </c:pt>
                <c:pt idx="2">
                  <c:v>13.385660567610474</c:v>
                </c:pt>
                <c:pt idx="3">
                  <c:v>10.418729536216553</c:v>
                </c:pt>
                <c:pt idx="4">
                  <c:v>8.552305408947408</c:v>
                </c:pt>
                <c:pt idx="5">
                  <c:v>9.4358589334422547</c:v>
                </c:pt>
                <c:pt idx="6">
                  <c:v>7.704514020965167</c:v>
                </c:pt>
                <c:pt idx="7">
                  <c:v>5.7216514487005865</c:v>
                </c:pt>
                <c:pt idx="8">
                  <c:v>11.081592426103782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10.383578525569034</c:v>
                </c:pt>
                <c:pt idx="1">
                  <c:v>19.186737579078027</c:v>
                </c:pt>
                <c:pt idx="2">
                  <c:v>12.075202005915207</c:v>
                </c:pt>
                <c:pt idx="3">
                  <c:v>10.971023158535415</c:v>
                </c:pt>
                <c:pt idx="4">
                  <c:v>10.633337356962812</c:v>
                </c:pt>
                <c:pt idx="5">
                  <c:v>9.1917099881719491</c:v>
                </c:pt>
                <c:pt idx="6">
                  <c:v>8.7175724363119791</c:v>
                </c:pt>
                <c:pt idx="7">
                  <c:v>6.2431910090170328</c:v>
                </c:pt>
                <c:pt idx="8">
                  <c:v>12.59764794043855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8.9524547344869698E-2</c:v>
                </c:pt>
                <c:pt idx="1">
                  <c:v>9.912182553214785E-2</c:v>
                </c:pt>
                <c:pt idx="2">
                  <c:v>0.10180304444511121</c:v>
                </c:pt>
                <c:pt idx="3">
                  <c:v>0.10317493994780973</c:v>
                </c:pt>
                <c:pt idx="4">
                  <c:v>0.10084899104682578</c:v>
                </c:pt>
                <c:pt idx="5">
                  <c:v>0.10383578525569034</c:v>
                </c:pt>
                <c:pt idx="6">
                  <c:v>0.10330328725801112</c:v>
                </c:pt>
                <c:pt idx="7">
                  <c:v>0.11017806610496489</c:v>
                </c:pt>
                <c:pt idx="8">
                  <c:v>0.10939685095711606</c:v>
                </c:pt>
                <c:pt idx="9">
                  <c:v>0.11189106235384803</c:v>
                </c:pt>
                <c:pt idx="10">
                  <c:v>0.11495070370915485</c:v>
                </c:pt>
                <c:pt idx="11">
                  <c:v>0.11144336511489407</c:v>
                </c:pt>
                <c:pt idx="12">
                  <c:v>0.11232227643723036</c:v>
                </c:pt>
                <c:pt idx="13">
                  <c:v>0.1132152751290092</c:v>
                </c:pt>
                <c:pt idx="14">
                  <c:v>0.11412267202968118</c:v>
                </c:pt>
                <c:pt idx="15">
                  <c:v>0.11498862848257382</c:v>
                </c:pt>
                <c:pt idx="16">
                  <c:v>0.11585815439854041</c:v>
                </c:pt>
                <c:pt idx="17">
                  <c:v>0.11673374170233329</c:v>
                </c:pt>
                <c:pt idx="18">
                  <c:v>0.11759669556607627</c:v>
                </c:pt>
                <c:pt idx="19">
                  <c:v>0.11844250948625884</c:v>
                </c:pt>
                <c:pt idx="20">
                  <c:v>0.11927681363601797</c:v>
                </c:pt>
                <c:pt idx="21">
                  <c:v>0.12011657044318252</c:v>
                </c:pt>
                <c:pt idx="22">
                  <c:v>0.12096509654781676</c:v>
                </c:pt>
                <c:pt idx="23">
                  <c:v>0.12184742475260441</c:v>
                </c:pt>
                <c:pt idx="24">
                  <c:v>0.12276242380869298</c:v>
                </c:pt>
                <c:pt idx="25">
                  <c:v>0.12369862648237416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0.1934228523606252</c:v>
                </c:pt>
                <c:pt idx="1">
                  <c:v>0.191258351679188</c:v>
                </c:pt>
                <c:pt idx="2">
                  <c:v>0.19283611998343619</c:v>
                </c:pt>
                <c:pt idx="3">
                  <c:v>0.19697920516751297</c:v>
                </c:pt>
                <c:pt idx="4">
                  <c:v>0.19594476646824302</c:v>
                </c:pt>
                <c:pt idx="5">
                  <c:v>0.19186737579078028</c:v>
                </c:pt>
                <c:pt idx="6">
                  <c:v>0.19732158393755209</c:v>
                </c:pt>
                <c:pt idx="7">
                  <c:v>0.19951796026747454</c:v>
                </c:pt>
                <c:pt idx="8">
                  <c:v>0.20231278527839108</c:v>
                </c:pt>
                <c:pt idx="9">
                  <c:v>0.21182115924150127</c:v>
                </c:pt>
                <c:pt idx="10">
                  <c:v>0.22204617287098283</c:v>
                </c:pt>
                <c:pt idx="11">
                  <c:v>0.22705243317130233</c:v>
                </c:pt>
                <c:pt idx="12">
                  <c:v>0.22794744083354576</c:v>
                </c:pt>
                <c:pt idx="13">
                  <c:v>0.22915839635235674</c:v>
                </c:pt>
                <c:pt idx="14">
                  <c:v>0.23042697953239002</c:v>
                </c:pt>
                <c:pt idx="15">
                  <c:v>0.23186226103319968</c:v>
                </c:pt>
                <c:pt idx="16">
                  <c:v>0.23341041700603424</c:v>
                </c:pt>
                <c:pt idx="17">
                  <c:v>0.23503816440612071</c:v>
                </c:pt>
                <c:pt idx="18">
                  <c:v>0.23665516292041924</c:v>
                </c:pt>
                <c:pt idx="19">
                  <c:v>0.23812076678003904</c:v>
                </c:pt>
                <c:pt idx="20">
                  <c:v>0.23954908696202901</c:v>
                </c:pt>
                <c:pt idx="21">
                  <c:v>0.24102396413733015</c:v>
                </c:pt>
                <c:pt idx="22">
                  <c:v>0.24263489337214636</c:v>
                </c:pt>
                <c:pt idx="23">
                  <c:v>0.24412180074896014</c:v>
                </c:pt>
                <c:pt idx="24">
                  <c:v>0.24567157210985163</c:v>
                </c:pt>
                <c:pt idx="25">
                  <c:v>0.24717053485843102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0.11702529410664898</c:v>
                </c:pt>
                <c:pt idx="1">
                  <c:v>0.11834836007256114</c:v>
                </c:pt>
                <c:pt idx="2">
                  <c:v>0.12282001378815888</c:v>
                </c:pt>
                <c:pt idx="3">
                  <c:v>0.12104006501859257</c:v>
                </c:pt>
                <c:pt idx="4">
                  <c:v>0.12167408265648298</c:v>
                </c:pt>
                <c:pt idx="5">
                  <c:v>0.12075202005915207</c:v>
                </c:pt>
                <c:pt idx="6">
                  <c:v>0.12450587218154012</c:v>
                </c:pt>
                <c:pt idx="7">
                  <c:v>0.12634630204703187</c:v>
                </c:pt>
                <c:pt idx="8">
                  <c:v>0.12492346783910681</c:v>
                </c:pt>
                <c:pt idx="9">
                  <c:v>0.1241611071077957</c:v>
                </c:pt>
                <c:pt idx="10">
                  <c:v>0.13385660567610475</c:v>
                </c:pt>
                <c:pt idx="11">
                  <c:v>0.12574759611490796</c:v>
                </c:pt>
                <c:pt idx="12">
                  <c:v>0.12584525080375378</c:v>
                </c:pt>
                <c:pt idx="13">
                  <c:v>0.1260992587723897</c:v>
                </c:pt>
                <c:pt idx="14">
                  <c:v>0.12651254225833078</c:v>
                </c:pt>
                <c:pt idx="15">
                  <c:v>0.12698933633752563</c:v>
                </c:pt>
                <c:pt idx="16">
                  <c:v>0.12746797468182361</c:v>
                </c:pt>
                <c:pt idx="17">
                  <c:v>0.12795164668106987</c:v>
                </c:pt>
                <c:pt idx="18">
                  <c:v>0.12836619182254599</c:v>
                </c:pt>
                <c:pt idx="19">
                  <c:v>0.12881462784348918</c:v>
                </c:pt>
                <c:pt idx="20">
                  <c:v>0.12924623120156417</c:v>
                </c:pt>
                <c:pt idx="21">
                  <c:v>0.12979331236193414</c:v>
                </c:pt>
                <c:pt idx="22">
                  <c:v>0.13039340266646662</c:v>
                </c:pt>
                <c:pt idx="23">
                  <c:v>0.1309572680665079</c:v>
                </c:pt>
                <c:pt idx="24">
                  <c:v>0.13152506460244673</c:v>
                </c:pt>
                <c:pt idx="25">
                  <c:v>0.13210681997230878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0.1176237392310841</c:v>
                </c:pt>
                <c:pt idx="1">
                  <c:v>0.11257312529142437</c:v>
                </c:pt>
                <c:pt idx="2">
                  <c:v>0.11180645035022417</c:v>
                </c:pt>
                <c:pt idx="3">
                  <c:v>0.10928351978398147</c:v>
                </c:pt>
                <c:pt idx="4">
                  <c:v>0.10895145791230064</c:v>
                </c:pt>
                <c:pt idx="5">
                  <c:v>0.10971023158535415</c:v>
                </c:pt>
                <c:pt idx="6">
                  <c:v>0.10472140972021332</c:v>
                </c:pt>
                <c:pt idx="7">
                  <c:v>0.10683919173094855</c:v>
                </c:pt>
                <c:pt idx="8">
                  <c:v>0.10639667477718794</c:v>
                </c:pt>
                <c:pt idx="9">
                  <c:v>0.10229828746972995</c:v>
                </c:pt>
                <c:pt idx="10">
                  <c:v>0.10418729536216553</c:v>
                </c:pt>
                <c:pt idx="11">
                  <c:v>0.10010737318423886</c:v>
                </c:pt>
                <c:pt idx="12">
                  <c:v>9.9077461315771873E-2</c:v>
                </c:pt>
                <c:pt idx="13">
                  <c:v>9.7916567791085984E-2</c:v>
                </c:pt>
                <c:pt idx="14">
                  <c:v>9.6723842760054038E-2</c:v>
                </c:pt>
                <c:pt idx="15">
                  <c:v>9.5428174580666339E-2</c:v>
                </c:pt>
                <c:pt idx="16">
                  <c:v>9.4031689444936256E-2</c:v>
                </c:pt>
                <c:pt idx="17">
                  <c:v>9.2567397191461412E-2</c:v>
                </c:pt>
                <c:pt idx="18">
                  <c:v>9.1301304113056453E-2</c:v>
                </c:pt>
                <c:pt idx="19">
                  <c:v>9.0073275338506981E-2</c:v>
                </c:pt>
                <c:pt idx="20">
                  <c:v>8.8923985732009103E-2</c:v>
                </c:pt>
                <c:pt idx="21">
                  <c:v>8.7611838235566286E-2</c:v>
                </c:pt>
                <c:pt idx="22">
                  <c:v>8.5989028719136815E-2</c:v>
                </c:pt>
                <c:pt idx="23">
                  <c:v>8.4513414031955711E-2</c:v>
                </c:pt>
                <c:pt idx="24">
                  <c:v>8.2950818212964586E-2</c:v>
                </c:pt>
                <c:pt idx="25">
                  <c:v>8.1397145123922529E-2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0.10744689055820085</c:v>
                </c:pt>
                <c:pt idx="1">
                  <c:v>0.10522312898292638</c:v>
                </c:pt>
                <c:pt idx="2">
                  <c:v>0.10278505250059929</c:v>
                </c:pt>
                <c:pt idx="3">
                  <c:v>0.10185469737562869</c:v>
                </c:pt>
                <c:pt idx="4">
                  <c:v>0.10433008059286887</c:v>
                </c:pt>
                <c:pt idx="5">
                  <c:v>0.10633337356962813</c:v>
                </c:pt>
                <c:pt idx="6">
                  <c:v>0.10219318916223943</c:v>
                </c:pt>
                <c:pt idx="7">
                  <c:v>9.8722140179645174E-2</c:v>
                </c:pt>
                <c:pt idx="8">
                  <c:v>9.4715370809533697E-2</c:v>
                </c:pt>
                <c:pt idx="9">
                  <c:v>9.4260598787253E-2</c:v>
                </c:pt>
                <c:pt idx="10">
                  <c:v>8.5523054089474082E-2</c:v>
                </c:pt>
                <c:pt idx="11">
                  <c:v>8.7416739464737117E-2</c:v>
                </c:pt>
                <c:pt idx="12">
                  <c:v>8.6994822656901061E-2</c:v>
                </c:pt>
                <c:pt idx="13">
                  <c:v>8.6754722672244933E-2</c:v>
                </c:pt>
                <c:pt idx="14">
                  <c:v>8.6395858177029536E-2</c:v>
                </c:pt>
                <c:pt idx="15">
                  <c:v>8.5856464033262775E-2</c:v>
                </c:pt>
                <c:pt idx="16">
                  <c:v>8.5270043837315235E-2</c:v>
                </c:pt>
                <c:pt idx="17">
                  <c:v>8.4687658341775829E-2</c:v>
                </c:pt>
                <c:pt idx="18">
                  <c:v>8.4127007797187084E-2</c:v>
                </c:pt>
                <c:pt idx="19">
                  <c:v>8.36163067404532E-2</c:v>
                </c:pt>
                <c:pt idx="20">
                  <c:v>8.3110683332112023E-2</c:v>
                </c:pt>
                <c:pt idx="21">
                  <c:v>8.2605598952790057E-2</c:v>
                </c:pt>
                <c:pt idx="22">
                  <c:v>8.2116261035747623E-2</c:v>
                </c:pt>
                <c:pt idx="23">
                  <c:v>8.1626863223198357E-2</c:v>
                </c:pt>
                <c:pt idx="24">
                  <c:v>8.1128237384670371E-2</c:v>
                </c:pt>
                <c:pt idx="25">
                  <c:v>8.0609643951963836E-2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9.0736175597846483E-2</c:v>
                </c:pt>
                <c:pt idx="1">
                  <c:v>8.9844781089353648E-2</c:v>
                </c:pt>
                <c:pt idx="2">
                  <c:v>9.02771715638888E-2</c:v>
                </c:pt>
                <c:pt idx="3">
                  <c:v>9.1436867881283454E-2</c:v>
                </c:pt>
                <c:pt idx="4">
                  <c:v>9.2357999719342151E-2</c:v>
                </c:pt>
                <c:pt idx="5">
                  <c:v>9.1917099881719491E-2</c:v>
                </c:pt>
                <c:pt idx="6">
                  <c:v>9.6619025791282981E-2</c:v>
                </c:pt>
                <c:pt idx="7">
                  <c:v>9.5113184891167102E-2</c:v>
                </c:pt>
                <c:pt idx="8">
                  <c:v>9.2016504396462959E-2</c:v>
                </c:pt>
                <c:pt idx="9">
                  <c:v>9.563663036441887E-2</c:v>
                </c:pt>
                <c:pt idx="10">
                  <c:v>9.4358589334422552E-2</c:v>
                </c:pt>
                <c:pt idx="11">
                  <c:v>9.6570499278429978E-2</c:v>
                </c:pt>
                <c:pt idx="12">
                  <c:v>9.6886024783942579E-2</c:v>
                </c:pt>
                <c:pt idx="13">
                  <c:v>9.7132806896983531E-2</c:v>
                </c:pt>
                <c:pt idx="14">
                  <c:v>9.74189083226457E-2</c:v>
                </c:pt>
                <c:pt idx="15">
                  <c:v>9.7819494963076611E-2</c:v>
                </c:pt>
                <c:pt idx="16">
                  <c:v>9.8282442201021294E-2</c:v>
                </c:pt>
                <c:pt idx="17">
                  <c:v>9.8770154263064916E-2</c:v>
                </c:pt>
                <c:pt idx="18">
                  <c:v>9.9155749584615996E-2</c:v>
                </c:pt>
                <c:pt idx="19">
                  <c:v>9.9579440386163967E-2</c:v>
                </c:pt>
                <c:pt idx="20">
                  <c:v>9.9998088740481925E-2</c:v>
                </c:pt>
                <c:pt idx="21">
                  <c:v>0.10044721036615648</c:v>
                </c:pt>
                <c:pt idx="22">
                  <c:v>0.10096791202229519</c:v>
                </c:pt>
                <c:pt idx="23">
                  <c:v>0.10148915059219454</c:v>
                </c:pt>
                <c:pt idx="24">
                  <c:v>0.10203644771875783</c:v>
                </c:pt>
                <c:pt idx="25">
                  <c:v>0.10263442617697309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8.9533814438908912E-2</c:v>
                </c:pt>
                <c:pt idx="1">
                  <c:v>9.5211605679298747E-2</c:v>
                </c:pt>
                <c:pt idx="2">
                  <c:v>9.3169677796787059E-2</c:v>
                </c:pt>
                <c:pt idx="3">
                  <c:v>9.0798516765383613E-2</c:v>
                </c:pt>
                <c:pt idx="4">
                  <c:v>8.6576804649466085E-2</c:v>
                </c:pt>
                <c:pt idx="5">
                  <c:v>8.7175724363119794E-2</c:v>
                </c:pt>
                <c:pt idx="6">
                  <c:v>8.4445081149415291E-2</c:v>
                </c:pt>
                <c:pt idx="7">
                  <c:v>8.1874173583562276E-2</c:v>
                </c:pt>
                <c:pt idx="8">
                  <c:v>8.29729935108421E-2</c:v>
                </c:pt>
                <c:pt idx="9">
                  <c:v>7.6775925663513059E-2</c:v>
                </c:pt>
                <c:pt idx="10">
                  <c:v>7.7045140209651669E-2</c:v>
                </c:pt>
                <c:pt idx="11">
                  <c:v>7.6099291974291647E-2</c:v>
                </c:pt>
                <c:pt idx="12">
                  <c:v>7.5875055242966088E-2</c:v>
                </c:pt>
                <c:pt idx="13">
                  <c:v>7.5513497288072051E-2</c:v>
                </c:pt>
                <c:pt idx="14">
                  <c:v>7.5150590295127703E-2</c:v>
                </c:pt>
                <c:pt idx="15">
                  <c:v>7.4825563349052562E-2</c:v>
                </c:pt>
                <c:pt idx="16">
                  <c:v>7.4494403621771843E-2</c:v>
                </c:pt>
                <c:pt idx="17">
                  <c:v>7.4123159379022405E-2</c:v>
                </c:pt>
                <c:pt idx="18">
                  <c:v>7.3745986685064976E-2</c:v>
                </c:pt>
                <c:pt idx="19">
                  <c:v>7.3382376969788388E-2</c:v>
                </c:pt>
                <c:pt idx="20">
                  <c:v>7.3061296984581595E-2</c:v>
                </c:pt>
                <c:pt idx="21">
                  <c:v>7.2689660628389163E-2</c:v>
                </c:pt>
                <c:pt idx="22">
                  <c:v>7.2388090422994392E-2</c:v>
                </c:pt>
                <c:pt idx="23">
                  <c:v>7.2050783896069143E-2</c:v>
                </c:pt>
                <c:pt idx="24">
                  <c:v>7.1703954629581235E-2</c:v>
                </c:pt>
                <c:pt idx="25">
                  <c:v>7.136828127648219E-2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6.5303951231321281E-2</c:v>
                </c:pt>
                <c:pt idx="1">
                  <c:v>6.5813982770915269E-2</c:v>
                </c:pt>
                <c:pt idx="2">
                  <c:v>6.263726639414291E-2</c:v>
                </c:pt>
                <c:pt idx="3">
                  <c:v>6.3465303899138431E-2</c:v>
                </c:pt>
                <c:pt idx="4">
                  <c:v>6.2567546298165369E-2</c:v>
                </c:pt>
                <c:pt idx="5">
                  <c:v>6.243191009017033E-2</c:v>
                </c:pt>
                <c:pt idx="6">
                  <c:v>6.4961263089187371E-2</c:v>
                </c:pt>
                <c:pt idx="7">
                  <c:v>6.3650195172678864E-2</c:v>
                </c:pt>
                <c:pt idx="8">
                  <c:v>6.641237898727767E-2</c:v>
                </c:pt>
                <c:pt idx="9">
                  <c:v>6.3961354912822094E-2</c:v>
                </c:pt>
                <c:pt idx="10">
                  <c:v>5.7216514487005869E-2</c:v>
                </c:pt>
                <c:pt idx="11">
                  <c:v>6.444317978900993E-2</c:v>
                </c:pt>
                <c:pt idx="12">
                  <c:v>6.4551237667899677E-2</c:v>
                </c:pt>
                <c:pt idx="13">
                  <c:v>6.4565803244529041E-2</c:v>
                </c:pt>
                <c:pt idx="14">
                  <c:v>6.448028716333426E-2</c:v>
                </c:pt>
                <c:pt idx="15">
                  <c:v>6.4340859976156448E-2</c:v>
                </c:pt>
                <c:pt idx="16">
                  <c:v>6.4149614180200903E-2</c:v>
                </c:pt>
                <c:pt idx="17">
                  <c:v>6.3966132206200246E-2</c:v>
                </c:pt>
                <c:pt idx="18">
                  <c:v>6.3803212024773626E-2</c:v>
                </c:pt>
                <c:pt idx="19">
                  <c:v>6.3619984541698982E-2</c:v>
                </c:pt>
                <c:pt idx="20">
                  <c:v>6.3412616139241831E-2</c:v>
                </c:pt>
                <c:pt idx="21">
                  <c:v>6.322004913965322E-2</c:v>
                </c:pt>
                <c:pt idx="22">
                  <c:v>6.3006768352080439E-2</c:v>
                </c:pt>
                <c:pt idx="23">
                  <c:v>6.2802573364332398E-2</c:v>
                </c:pt>
                <c:pt idx="24">
                  <c:v>6.2566151378919715E-2</c:v>
                </c:pt>
                <c:pt idx="25">
                  <c:v>6.2319680255219841E-2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F2'!$M$4:$AG$4</c:f>
              <c:numCache>
                <c:formatCode>0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0.12938273513049434</c:v>
                </c:pt>
                <c:pt idx="1">
                  <c:v>0.12260483890218461</c:v>
                </c:pt>
                <c:pt idx="2">
                  <c:v>0.12186520317765162</c:v>
                </c:pt>
                <c:pt idx="3">
                  <c:v>0.12196688416066902</c:v>
                </c:pt>
                <c:pt idx="4">
                  <c:v>0.12674827065630506</c:v>
                </c:pt>
                <c:pt idx="5">
                  <c:v>0.1259764794043855</c:v>
                </c:pt>
                <c:pt idx="6">
                  <c:v>0.12192928771055818</c:v>
                </c:pt>
                <c:pt idx="7">
                  <c:v>0.11775878602252665</c:v>
                </c:pt>
                <c:pt idx="8">
                  <c:v>0.12085297344408166</c:v>
                </c:pt>
                <c:pt idx="9">
                  <c:v>0.11919387409911796</c:v>
                </c:pt>
                <c:pt idx="10">
                  <c:v>0.11081592426103783</c:v>
                </c:pt>
                <c:pt idx="11">
                  <c:v>0.11111952190818809</c:v>
                </c:pt>
                <c:pt idx="12">
                  <c:v>0.11050043025798899</c:v>
                </c:pt>
                <c:pt idx="13">
                  <c:v>0.10964367185332877</c:v>
                </c:pt>
                <c:pt idx="14">
                  <c:v>0.10876831946140673</c:v>
                </c:pt>
                <c:pt idx="15">
                  <c:v>0.10788921724448625</c:v>
                </c:pt>
                <c:pt idx="16">
                  <c:v>0.10703526062835615</c:v>
                </c:pt>
                <c:pt idx="17">
                  <c:v>0.10616194582895133</c:v>
                </c:pt>
                <c:pt idx="18">
                  <c:v>0.10524868948626043</c:v>
                </c:pt>
                <c:pt idx="19">
                  <c:v>0.10435071191360148</c:v>
                </c:pt>
                <c:pt idx="20">
                  <c:v>0.1034211972719625</c:v>
                </c:pt>
                <c:pt idx="21">
                  <c:v>0.10249179573499795</c:v>
                </c:pt>
                <c:pt idx="22">
                  <c:v>0.10153854686131597</c:v>
                </c:pt>
                <c:pt idx="23">
                  <c:v>0.10059072132417736</c:v>
                </c:pt>
                <c:pt idx="24">
                  <c:v>9.9655330154115068E-2</c:v>
                </c:pt>
                <c:pt idx="25">
                  <c:v>9.8694841902324429E-2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41.546949715227356</c:v>
                </c:pt>
                <c:pt idx="1">
                  <c:v>93.027977540058941</c:v>
                </c:pt>
                <c:pt idx="2">
                  <c:v>29.205971984247299</c:v>
                </c:pt>
                <c:pt idx="3">
                  <c:v>-7.1690771247471048</c:v>
                </c:pt>
                <c:pt idx="4">
                  <c:v>-22.627840800935871</c:v>
                </c:pt>
                <c:pt idx="5">
                  <c:v>25.838180592041908</c:v>
                </c:pt>
                <c:pt idx="6">
                  <c:v>-20.161446295466703</c:v>
                </c:pt>
                <c:pt idx="7">
                  <c:v>14.352533441468751</c:v>
                </c:pt>
                <c:pt idx="8">
                  <c:v>-2.6892490530892701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6.0294423597608784</c:v>
                </c:pt>
                <c:pt idx="1">
                  <c:v>25.484910290795369</c:v>
                </c:pt>
                <c:pt idx="2">
                  <c:v>26.689107795508107</c:v>
                </c:pt>
                <c:pt idx="3">
                  <c:v>2.6293348011950002</c:v>
                </c:pt>
                <c:pt idx="4">
                  <c:v>-30.836855045997822</c:v>
                </c:pt>
                <c:pt idx="5">
                  <c:v>-7.2042447549995359</c:v>
                </c:pt>
                <c:pt idx="6">
                  <c:v>-1.6722338308691747</c:v>
                </c:pt>
                <c:pt idx="7">
                  <c:v>-23.514450672422299</c:v>
                </c:pt>
                <c:pt idx="8">
                  <c:v>-30.516010942888101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12.316074449434382</c:v>
                </c:pt>
                <c:pt idx="1">
                  <c:v>55.749459921340645</c:v>
                </c:pt>
                <c:pt idx="2">
                  <c:v>-8.3295423841906313</c:v>
                </c:pt>
                <c:pt idx="3">
                  <c:v>-17.682018915475965</c:v>
                </c:pt>
                <c:pt idx="4">
                  <c:v>10.164243751799518</c:v>
                </c:pt>
                <c:pt idx="5">
                  <c:v>21.360314595163914</c:v>
                </c:pt>
                <c:pt idx="6">
                  <c:v>0.8906361346252254</c:v>
                </c:pt>
                <c:pt idx="7">
                  <c:v>29.438032066060771</c:v>
                </c:pt>
                <c:pt idx="8">
                  <c:v>2.1528003828459532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48.861397759111355</c:v>
                </c:pt>
                <c:pt idx="1">
                  <c:v>90.758625834606505</c:v>
                </c:pt>
                <c:pt idx="2">
                  <c:v>38.456249714564819</c:v>
                </c:pt>
                <c:pt idx="3">
                  <c:v>-32.673657325891838</c:v>
                </c:pt>
                <c:pt idx="4">
                  <c:v>-3.9884115584059145</c:v>
                </c:pt>
                <c:pt idx="5">
                  <c:v>32.629415304265649</c:v>
                </c:pt>
                <c:pt idx="6">
                  <c:v>0.36585411279949653</c:v>
                </c:pt>
                <c:pt idx="7">
                  <c:v>3.5923806498512079</c:v>
                </c:pt>
                <c:pt idx="8">
                  <c:v>-13.97085449300431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61.177472208545737</c:v>
                </c:pt>
                <c:pt idx="1">
                  <c:v>146.50808575594715</c:v>
                </c:pt>
                <c:pt idx="2">
                  <c:v>30.126707330374188</c:v>
                </c:pt>
                <c:pt idx="3">
                  <c:v>-50.355676241367803</c:v>
                </c:pt>
                <c:pt idx="4">
                  <c:v>6.1758321933936031</c:v>
                </c:pt>
                <c:pt idx="5">
                  <c:v>53.989729899429562</c:v>
                </c:pt>
                <c:pt idx="6">
                  <c:v>1.2564902474247219</c:v>
                </c:pt>
                <c:pt idx="7">
                  <c:v>33.030412715911979</c:v>
                </c:pt>
                <c:pt idx="8">
                  <c:v>-11.818054110158357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36.566906335677459</c:v>
                </c:pt>
                <c:pt idx="1">
                  <c:v>80.678184111185942</c:v>
                </c:pt>
                <c:pt idx="2">
                  <c:v>32.845110824784257</c:v>
                </c:pt>
                <c:pt idx="3">
                  <c:v>-54.840522978224328</c:v>
                </c:pt>
                <c:pt idx="4">
                  <c:v>10.575510968002675</c:v>
                </c:pt>
                <c:pt idx="5">
                  <c:v>36.439586421865698</c:v>
                </c:pt>
                <c:pt idx="6">
                  <c:v>-4.3078926856240685</c:v>
                </c:pt>
                <c:pt idx="7">
                  <c:v>10.179819707026759</c:v>
                </c:pt>
                <c:pt idx="8">
                  <c:v>-11.812702704376733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24.610565872866516</c:v>
                </c:pt>
                <c:pt idx="1">
                  <c:v>65.829901644761719</c:v>
                </c:pt>
                <c:pt idx="2">
                  <c:v>-2.7184034944097846</c:v>
                </c:pt>
                <c:pt idx="3">
                  <c:v>4.4848467368562126</c:v>
                </c:pt>
                <c:pt idx="4">
                  <c:v>-4.3996787746092991</c:v>
                </c:pt>
                <c:pt idx="5">
                  <c:v>17.550143477563971</c:v>
                </c:pt>
                <c:pt idx="6">
                  <c:v>5.5643829330488614</c:v>
                </c:pt>
                <c:pt idx="7">
                  <c:v>22.850593008885397</c:v>
                </c:pt>
                <c:pt idx="8">
                  <c:v>-5.3514057804022741E-3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9.747485621538857</c:v>
                </c:pt>
                <c:pt idx="1">
                  <c:v>2.1097219923046993</c:v>
                </c:pt>
                <c:pt idx="2">
                  <c:v>2.2215050749051954</c:v>
                </c:pt>
                <c:pt idx="3">
                  <c:v>-0.70895505510743817</c:v>
                </c:pt>
                <c:pt idx="4">
                  <c:v>16.915047328430575</c:v>
                </c:pt>
                <c:pt idx="5">
                  <c:v>9.0480355001852217</c:v>
                </c:pt>
                <c:pt idx="6">
                  <c:v>-1.6898056562565102</c:v>
                </c:pt>
                <c:pt idx="7">
                  <c:v>12.513612700573155</c:v>
                </c:pt>
                <c:pt idx="8">
                  <c:v>7.3343524927151513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16.053166202439591</c:v>
                </c:pt>
                <c:pt idx="1">
                  <c:v>37.598799438157982</c:v>
                </c:pt>
                <c:pt idx="2">
                  <c:v>7.0577174618206442</c:v>
                </c:pt>
                <c:pt idx="3">
                  <c:v>-22.167625773172631</c:v>
                </c:pt>
                <c:pt idx="4">
                  <c:v>5.9816992018155979</c:v>
                </c:pt>
                <c:pt idx="5">
                  <c:v>13.239989323475982</c:v>
                </c:pt>
                <c:pt idx="6">
                  <c:v>1.9843105345663332</c:v>
                </c:pt>
                <c:pt idx="7">
                  <c:v>9.9353171459347074</c:v>
                </c:pt>
                <c:pt idx="8">
                  <c:v>-16.400373534078682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35.376820384565917</c:v>
                </c:pt>
                <c:pt idx="1">
                  <c:v>106.7995643254859</c:v>
                </c:pt>
                <c:pt idx="2">
                  <c:v>20.847484793648334</c:v>
                </c:pt>
                <c:pt idx="3">
                  <c:v>-27.479095413087634</c:v>
                </c:pt>
                <c:pt idx="4">
                  <c:v>-16.720914336852729</c:v>
                </c:pt>
                <c:pt idx="5">
                  <c:v>31.701705075768743</c:v>
                </c:pt>
                <c:pt idx="6">
                  <c:v>0.96198536911481369</c:v>
                </c:pt>
                <c:pt idx="7">
                  <c:v>10.581482869404184</c:v>
                </c:pt>
                <c:pt idx="8">
                  <c:v>-2.7520330687943897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1.9322522056629587</c:v>
                </c:pt>
                <c:pt idx="1">
                  <c:v>3.8991369157246183</c:v>
                </c:pt>
                <c:pt idx="2">
                  <c:v>2.5435536870368907</c:v>
                </c:pt>
                <c:pt idx="3">
                  <c:v>-2.6315747915638941</c:v>
                </c:pt>
                <c:pt idx="4">
                  <c:v>4.4686046244627811</c:v>
                </c:pt>
                <c:pt idx="5">
                  <c:v>7.0143872085055392</c:v>
                </c:pt>
                <c:pt idx="6">
                  <c:v>-0.99218307261007954</c:v>
                </c:pt>
                <c:pt idx="7">
                  <c:v>2.2931469931289046</c:v>
                </c:pt>
                <c:pt idx="8">
                  <c:v>0.25767622888183261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10.568383898593098</c:v>
                </c:pt>
                <c:pt idx="1">
                  <c:v>23.564087168924829</c:v>
                </c:pt>
                <c:pt idx="2">
                  <c:v>9.0617986918371898</c:v>
                </c:pt>
                <c:pt idx="3">
                  <c:v>-20.875032333364928</c:v>
                </c:pt>
                <c:pt idx="4">
                  <c:v>2.7144641401994924</c:v>
                </c:pt>
                <c:pt idx="5">
                  <c:v>9.2198923576770966</c:v>
                </c:pt>
                <c:pt idx="6">
                  <c:v>-0.49849730166518214</c:v>
                </c:pt>
                <c:pt idx="7">
                  <c:v>5.5469198700608944</c:v>
                </c:pt>
                <c:pt idx="8">
                  <c:v>-15.925016490840292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24.066270231421129</c:v>
                </c:pt>
                <c:pt idx="1">
                  <c:v>53.214960026536914</c:v>
                </c:pt>
                <c:pt idx="2">
                  <c:v>21.239758445909942</c:v>
                </c:pt>
                <c:pt idx="3">
                  <c:v>-31.333915853295366</c:v>
                </c:pt>
                <c:pt idx="4">
                  <c:v>3.39244220334038</c:v>
                </c:pt>
                <c:pt idx="5">
                  <c:v>20.205306855683219</c:v>
                </c:pt>
                <c:pt idx="6">
                  <c:v>-2.817212311348726</c:v>
                </c:pt>
                <c:pt idx="7">
                  <c:v>2.3397528438369317</c:v>
                </c:pt>
                <c:pt idx="8">
                  <c:v>3.8546375575809435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7.8152334158759231</c:v>
                </c:pt>
                <c:pt idx="1">
                  <c:v>-1.7894149234199475</c:v>
                </c:pt>
                <c:pt idx="2">
                  <c:v>-0.32204861213171299</c:v>
                </c:pt>
                <c:pt idx="3">
                  <c:v>1.9226197364564594</c:v>
                </c:pt>
                <c:pt idx="4">
                  <c:v>12.446442703967861</c:v>
                </c:pt>
                <c:pt idx="5">
                  <c:v>2.0336482916797003</c:v>
                </c:pt>
                <c:pt idx="6">
                  <c:v>-0.69762258364642182</c:v>
                </c:pt>
                <c:pt idx="7">
                  <c:v>10.220465707444056</c:v>
                </c:pt>
                <c:pt idx="8">
                  <c:v>7.0766762638333329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5.4847823038464334</c:v>
                </c:pt>
                <c:pt idx="1">
                  <c:v>14.034712269233104</c:v>
                </c:pt>
                <c:pt idx="2">
                  <c:v>-2.0040812300165491</c:v>
                </c:pt>
                <c:pt idx="3">
                  <c:v>-1.292593439807737</c:v>
                </c:pt>
                <c:pt idx="4">
                  <c:v>3.2672350616161321</c:v>
                </c:pt>
                <c:pt idx="5">
                  <c:v>4.0200969657989418</c:v>
                </c:pt>
                <c:pt idx="6">
                  <c:v>2.4828078362314514</c:v>
                </c:pt>
                <c:pt idx="7">
                  <c:v>4.388397275873853</c:v>
                </c:pt>
                <c:pt idx="8">
                  <c:v>-0.47535704323850325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11.310550153144362</c:v>
                </c:pt>
                <c:pt idx="1">
                  <c:v>53.584604298948818</c:v>
                </c:pt>
                <c:pt idx="2">
                  <c:v>-0.3922736522615935</c:v>
                </c:pt>
                <c:pt idx="3">
                  <c:v>3.854820440207348</c:v>
                </c:pt>
                <c:pt idx="4">
                  <c:v>-20.113356540193109</c:v>
                </c:pt>
                <c:pt idx="5">
                  <c:v>11.49639822008556</c:v>
                </c:pt>
                <c:pt idx="6">
                  <c:v>3.7791976804635539</c:v>
                </c:pt>
                <c:pt idx="7">
                  <c:v>8.2417300255672359</c:v>
                </c:pt>
                <c:pt idx="8">
                  <c:v>-6.6066706263751911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169.2603880982775</c:v>
                </c:pt>
                <c:pt idx="1">
                  <c:v>182.83122324763721</c:v>
                </c:pt>
                <c:pt idx="2">
                  <c:v>168.33999670805511</c:v>
                </c:pt>
                <c:pt idx="3">
                  <c:v>151.08857796820263</c:v>
                </c:pt>
                <c:pt idx="4">
                  <c:v>166.01737633626971</c:v>
                </c:pt>
                <c:pt idx="5">
                  <c:v>163.87156244502003</c:v>
                </c:pt>
                <c:pt idx="6">
                  <c:v>155.82103398575086</c:v>
                </c:pt>
                <c:pt idx="7">
                  <c:v>135.58168047051805</c:v>
                </c:pt>
                <c:pt idx="8">
                  <c:v>152.91781216886164</c:v>
                </c:pt>
                <c:pt idx="9">
                  <c:v>158.05588447682442</c:v>
                </c:pt>
                <c:pt idx="10">
                  <c:v>113.58689415162651</c:v>
                </c:pt>
                <c:pt idx="11">
                  <c:v>103.62151189946687</c:v>
                </c:pt>
                <c:pt idx="12">
                  <c:v>110.30495259837211</c:v>
                </c:pt>
                <c:pt idx="13">
                  <c:v>103.94904466983623</c:v>
                </c:pt>
                <c:pt idx="14">
                  <c:v>97.712164674947289</c:v>
                </c:pt>
                <c:pt idx="15">
                  <c:v>94.166556704874651</c:v>
                </c:pt>
                <c:pt idx="16">
                  <c:v>90.967951636853869</c:v>
                </c:pt>
                <c:pt idx="17">
                  <c:v>87.778011171399925</c:v>
                </c:pt>
                <c:pt idx="18">
                  <c:v>84.641650154090883</c:v>
                </c:pt>
                <c:pt idx="19">
                  <c:v>81.550597659831141</c:v>
                </c:pt>
                <c:pt idx="20">
                  <c:v>78.531264671004948</c:v>
                </c:pt>
                <c:pt idx="21">
                  <c:v>75.554322406171011</c:v>
                </c:pt>
                <c:pt idx="22">
                  <c:v>72.624378722951434</c:v>
                </c:pt>
                <c:pt idx="23">
                  <c:v>69.742646619586267</c:v>
                </c:pt>
                <c:pt idx="24">
                  <c:v>67.056425349519088</c:v>
                </c:pt>
                <c:pt idx="25">
                  <c:v>66.640658026300159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507.58941464976067</c:v>
                </c:pt>
                <c:pt idx="1">
                  <c:v>482.1267329705866</c:v>
                </c:pt>
                <c:pt idx="2">
                  <c:v>468.43798188644598</c:v>
                </c:pt>
                <c:pt idx="3">
                  <c:v>439.58179938523313</c:v>
                </c:pt>
                <c:pt idx="4">
                  <c:v>455.07870010795199</c:v>
                </c:pt>
                <c:pt idx="5">
                  <c:v>488.21252802958577</c:v>
                </c:pt>
                <c:pt idx="6">
                  <c:v>472.34950308711956</c:v>
                </c:pt>
                <c:pt idx="7">
                  <c:v>471.59868354515561</c:v>
                </c:pt>
                <c:pt idx="8">
                  <c:v>469.1243730793783</c:v>
                </c:pt>
                <c:pt idx="9">
                  <c:v>478.51693207360199</c:v>
                </c:pt>
                <c:pt idx="10">
                  <c:v>420.97505357800122</c:v>
                </c:pt>
                <c:pt idx="11">
                  <c:v>392.15591950506814</c:v>
                </c:pt>
                <c:pt idx="12">
                  <c:v>413.88601106790725</c:v>
                </c:pt>
                <c:pt idx="13">
                  <c:v>406.08379234653216</c:v>
                </c:pt>
                <c:pt idx="14">
                  <c:v>398.42078185132016</c:v>
                </c:pt>
                <c:pt idx="15">
                  <c:v>388.91262234212439</c:v>
                </c:pt>
                <c:pt idx="16">
                  <c:v>378.86144382528823</c:v>
                </c:pt>
                <c:pt idx="17">
                  <c:v>368.46247493910192</c:v>
                </c:pt>
                <c:pt idx="18">
                  <c:v>357.90442609539508</c:v>
                </c:pt>
                <c:pt idx="19">
                  <c:v>347.14776319848028</c:v>
                </c:pt>
                <c:pt idx="20">
                  <c:v>336.30861664352585</c:v>
                </c:pt>
                <c:pt idx="21">
                  <c:v>325.2540090658847</c:v>
                </c:pt>
                <c:pt idx="22">
                  <c:v>314.00363204380852</c:v>
                </c:pt>
                <c:pt idx="23">
                  <c:v>302.55456073050624</c:v>
                </c:pt>
                <c:pt idx="24">
                  <c:v>290.86004955504319</c:v>
                </c:pt>
                <c:pt idx="25">
                  <c:v>278.67975499645797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626.13695996274976</c:v>
                </c:pt>
                <c:pt idx="1">
                  <c:v>686.09054613866806</c:v>
                </c:pt>
                <c:pt idx="2">
                  <c:v>641.88774850025186</c:v>
                </c:pt>
                <c:pt idx="3">
                  <c:v>676.02899428100693</c:v>
                </c:pt>
                <c:pt idx="4">
                  <c:v>667.42356581442834</c:v>
                </c:pt>
                <c:pt idx="5">
                  <c:v>675.58397934000402</c:v>
                </c:pt>
                <c:pt idx="6">
                  <c:v>654.22176492065125</c:v>
                </c:pt>
                <c:pt idx="7">
                  <c:v>693.78678609203428</c:v>
                </c:pt>
                <c:pt idx="8">
                  <c:v>697.93621176128397</c:v>
                </c:pt>
                <c:pt idx="9">
                  <c:v>672.38661328891988</c:v>
                </c:pt>
                <c:pt idx="10">
                  <c:v>653.11181179721393</c:v>
                </c:pt>
                <c:pt idx="11">
                  <c:v>650.62366226832137</c:v>
                </c:pt>
                <c:pt idx="12">
                  <c:v>648.83501963556137</c:v>
                </c:pt>
                <c:pt idx="13">
                  <c:v>645.24187331316273</c:v>
                </c:pt>
                <c:pt idx="14">
                  <c:v>642.13958140143961</c:v>
                </c:pt>
                <c:pt idx="15">
                  <c:v>636.23390047529108</c:v>
                </c:pt>
                <c:pt idx="16">
                  <c:v>629.5591914462467</c:v>
                </c:pt>
                <c:pt idx="17">
                  <c:v>622.46464506095447</c:v>
                </c:pt>
                <c:pt idx="18">
                  <c:v>615.23983865290688</c:v>
                </c:pt>
                <c:pt idx="19">
                  <c:v>607.83650063924836</c:v>
                </c:pt>
                <c:pt idx="20">
                  <c:v>600.4548962867143</c:v>
                </c:pt>
                <c:pt idx="21">
                  <c:v>592.8844364658429</c:v>
                </c:pt>
                <c:pt idx="22">
                  <c:v>585.16169395210375</c:v>
                </c:pt>
                <c:pt idx="23">
                  <c:v>577.29826369341492</c:v>
                </c:pt>
                <c:pt idx="24">
                  <c:v>569.21949197088406</c:v>
                </c:pt>
                <c:pt idx="25">
                  <c:v>560.57279698976367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554.17866610304156</c:v>
                </c:pt>
                <c:pt idx="1">
                  <c:v>562.30981711565732</c:v>
                </c:pt>
                <c:pt idx="2">
                  <c:v>563.55568700843958</c:v>
                </c:pt>
                <c:pt idx="3">
                  <c:v>570.86269579867985</c:v>
                </c:pt>
                <c:pt idx="4">
                  <c:v>608.81374639320518</c:v>
                </c:pt>
                <c:pt idx="5">
                  <c:v>623.32973353306818</c:v>
                </c:pt>
                <c:pt idx="6">
                  <c:v>622.86271893380058</c:v>
                </c:pt>
                <c:pt idx="7">
                  <c:v>628.00938355367566</c:v>
                </c:pt>
                <c:pt idx="8">
                  <c:v>629.1911090495197</c:v>
                </c:pt>
                <c:pt idx="9">
                  <c:v>631.31405399173821</c:v>
                </c:pt>
                <c:pt idx="10">
                  <c:v>606.60283706100836</c:v>
                </c:pt>
                <c:pt idx="11">
                  <c:v>656.02428719395061</c:v>
                </c:pt>
                <c:pt idx="12">
                  <c:v>638.92465622635541</c:v>
                </c:pt>
                <c:pt idx="13">
                  <c:v>644.57140359168829</c:v>
                </c:pt>
                <c:pt idx="14">
                  <c:v>650.97099238404212</c:v>
                </c:pt>
                <c:pt idx="15">
                  <c:v>654.80300574649254</c:v>
                </c:pt>
                <c:pt idx="16">
                  <c:v>658.07975722508945</c:v>
                </c:pt>
                <c:pt idx="17">
                  <c:v>661.13820103721002</c:v>
                </c:pt>
                <c:pt idx="18">
                  <c:v>664.28974888244807</c:v>
                </c:pt>
                <c:pt idx="19">
                  <c:v>667.48767129615703</c:v>
                </c:pt>
                <c:pt idx="20">
                  <c:v>670.96378385888534</c:v>
                </c:pt>
                <c:pt idx="21">
                  <c:v>674.49691897418325</c:v>
                </c:pt>
                <c:pt idx="22">
                  <c:v>678.138185663841</c:v>
                </c:pt>
                <c:pt idx="23">
                  <c:v>681.91292573454768</c:v>
                </c:pt>
                <c:pt idx="24">
                  <c:v>685.74563327973124</c:v>
                </c:pt>
                <c:pt idx="25">
                  <c:v>689.22564214720899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134.88514734130905</c:v>
                </c:pt>
                <c:pt idx="1">
                  <c:v>125.23549722022197</c:v>
                </c:pt>
                <c:pt idx="2">
                  <c:v>150.86117507501859</c:v>
                </c:pt>
                <c:pt idx="3">
                  <c:v>149.4832685110309</c:v>
                </c:pt>
                <c:pt idx="4">
                  <c:v>151.35217466452784</c:v>
                </c:pt>
                <c:pt idx="5">
                  <c:v>150.68527696860417</c:v>
                </c:pt>
                <c:pt idx="6">
                  <c:v>156.30448088976965</c:v>
                </c:pt>
                <c:pt idx="7">
                  <c:v>158.85293995743535</c:v>
                </c:pt>
                <c:pt idx="8">
                  <c:v>157.20335183990349</c:v>
                </c:pt>
                <c:pt idx="9">
                  <c:v>162.30511144496458</c:v>
                </c:pt>
                <c:pt idx="10">
                  <c:v>183.52610792279194</c:v>
                </c:pt>
                <c:pt idx="11">
                  <c:v>181.51552174931058</c:v>
                </c:pt>
                <c:pt idx="12">
                  <c:v>176.42235972636234</c:v>
                </c:pt>
                <c:pt idx="13">
                  <c:v>180.27574574485644</c:v>
                </c:pt>
                <c:pt idx="14">
                  <c:v>184.29634951922631</c:v>
                </c:pt>
                <c:pt idx="15">
                  <c:v>187.4504707065062</c:v>
                </c:pt>
                <c:pt idx="16">
                  <c:v>190.59190163174372</c:v>
                </c:pt>
                <c:pt idx="17">
                  <c:v>193.83452348083421</c:v>
                </c:pt>
                <c:pt idx="18">
                  <c:v>197.10709774278988</c:v>
                </c:pt>
                <c:pt idx="19">
                  <c:v>200.47739898755651</c:v>
                </c:pt>
                <c:pt idx="20">
                  <c:v>204.05868798933398</c:v>
                </c:pt>
                <c:pt idx="21" formatCode="General">
                  <c:v>207.71007084741109</c:v>
                </c:pt>
                <c:pt idx="22" formatCode="General">
                  <c:v>211.49584462770858</c:v>
                </c:pt>
                <c:pt idx="23" formatCode="General">
                  <c:v>215.37931065282402</c:v>
                </c:pt>
                <c:pt idx="24" formatCode="General">
                  <c:v>219.45249062163339</c:v>
                </c:pt>
                <c:pt idx="25">
                  <c:v>223.47715854059405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154.52734134458484</c:v>
                </c:pt>
                <c:pt idx="1">
                  <c:v>141.00760090337121</c:v>
                </c:pt>
                <c:pt idx="2">
                  <c:v>158.60869776716237</c:v>
                </c:pt>
                <c:pt idx="3">
                  <c:v>159.94837259422678</c:v>
                </c:pt>
                <c:pt idx="4">
                  <c:v>161.28313637356248</c:v>
                </c:pt>
                <c:pt idx="5">
                  <c:v>153.54135211510925</c:v>
                </c:pt>
                <c:pt idx="6">
                  <c:v>158.66878255814567</c:v>
                </c:pt>
                <c:pt idx="7">
                  <c:v>158.64664143540165</c:v>
                </c:pt>
                <c:pt idx="8">
                  <c:v>156.95425288459458</c:v>
                </c:pt>
                <c:pt idx="9">
                  <c:v>159.26176969701874</c:v>
                </c:pt>
                <c:pt idx="10">
                  <c:v>180.33887006585007</c:v>
                </c:pt>
                <c:pt idx="11">
                  <c:v>172.32589710643643</c:v>
                </c:pt>
                <c:pt idx="12">
                  <c:v>168.18687589836262</c:v>
                </c:pt>
                <c:pt idx="13">
                  <c:v>170.87348229081655</c:v>
                </c:pt>
                <c:pt idx="14">
                  <c:v>173.92693573064014</c:v>
                </c:pt>
                <c:pt idx="15">
                  <c:v>176.30587381290988</c:v>
                </c:pt>
                <c:pt idx="16">
                  <c:v>178.61982039071279</c:v>
                </c:pt>
                <c:pt idx="17">
                  <c:v>181.08006016183219</c:v>
                </c:pt>
                <c:pt idx="18">
                  <c:v>183.75894005319432</c:v>
                </c:pt>
                <c:pt idx="19">
                  <c:v>186.51141065400657</c:v>
                </c:pt>
                <c:pt idx="20">
                  <c:v>189.44763024682314</c:v>
                </c:pt>
                <c:pt idx="21" formatCode="General">
                  <c:v>192.60773104671611</c:v>
                </c:pt>
                <c:pt idx="22" formatCode="General">
                  <c:v>195.84834730549545</c:v>
                </c:pt>
                <c:pt idx="23" formatCode="General">
                  <c:v>199.20211584382542</c:v>
                </c:pt>
                <c:pt idx="24" formatCode="General">
                  <c:v>202.64472747666139</c:v>
                </c:pt>
                <c:pt idx="25">
                  <c:v>205.99694559964465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416.80403996613484</c:v>
                </c:pt>
                <c:pt idx="1">
                  <c:v>407.32030212321484</c:v>
                </c:pt>
                <c:pt idx="2">
                  <c:v>486.93523597091797</c:v>
                </c:pt>
                <c:pt idx="3">
                  <c:v>505.85105749909638</c:v>
                </c:pt>
                <c:pt idx="4">
                  <c:v>526.40873538329799</c:v>
                </c:pt>
                <c:pt idx="5">
                  <c:v>525.43592636585629</c:v>
                </c:pt>
                <c:pt idx="6">
                  <c:v>542.08008107858848</c:v>
                </c:pt>
                <c:pt idx="7">
                  <c:v>564.32239706246628</c:v>
                </c:pt>
                <c:pt idx="8">
                  <c:v>558.41174465652819</c:v>
                </c:pt>
                <c:pt idx="9">
                  <c:v>588.43324674716268</c:v>
                </c:pt>
                <c:pt idx="10">
                  <c:v>660.6690159101272</c:v>
                </c:pt>
                <c:pt idx="11">
                  <c:v>654.27194929966822</c:v>
                </c:pt>
                <c:pt idx="12">
                  <c:v>643.49521956754597</c:v>
                </c:pt>
                <c:pt idx="13">
                  <c:v>658.55544687477197</c:v>
                </c:pt>
                <c:pt idx="14">
                  <c:v>674.7006755460493</c:v>
                </c:pt>
                <c:pt idx="15">
                  <c:v>688.6122259732731</c:v>
                </c:pt>
                <c:pt idx="16">
                  <c:v>701.93408192071377</c:v>
                </c:pt>
                <c:pt idx="17">
                  <c:v>714.92157126400809</c:v>
                </c:pt>
                <c:pt idx="18">
                  <c:v>728.05322637592758</c:v>
                </c:pt>
                <c:pt idx="19">
                  <c:v>741.35467953301793</c:v>
                </c:pt>
                <c:pt idx="20">
                  <c:v>754.99371932683482</c:v>
                </c:pt>
                <c:pt idx="21" formatCode="General">
                  <c:v>768.72605044854947</c:v>
                </c:pt>
                <c:pt idx="22" formatCode="General">
                  <c:v>782.72262456400426</c:v>
                </c:pt>
                <c:pt idx="23" formatCode="General">
                  <c:v>797.05286823292886</c:v>
                </c:pt>
                <c:pt idx="24" formatCode="General">
                  <c:v>811.53244513055677</c:v>
                </c:pt>
                <c:pt idx="25" formatCode="General">
                  <c:v>825.96029950573779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204.91109532377334</c:v>
                </c:pt>
                <c:pt idx="1">
                  <c:v>171.15611409152336</c:v>
                </c:pt>
                <c:pt idx="2">
                  <c:v>197.10836937492994</c:v>
                </c:pt>
                <c:pt idx="3">
                  <c:v>186.09043123105255</c:v>
                </c:pt>
                <c:pt idx="4">
                  <c:v>227.07600465140663</c:v>
                </c:pt>
                <c:pt idx="5">
                  <c:v>238.1442138311877</c:v>
                </c:pt>
                <c:pt idx="6">
                  <c:v>287.57731377220568</c:v>
                </c:pt>
                <c:pt idx="7">
                  <c:v>299.14048501839102</c:v>
                </c:pt>
                <c:pt idx="8">
                  <c:v>309.2821329316547</c:v>
                </c:pt>
                <c:pt idx="9">
                  <c:v>310.29479593541743</c:v>
                </c:pt>
                <c:pt idx="10">
                  <c:v>309.62997967254921</c:v>
                </c:pt>
                <c:pt idx="11">
                  <c:v>327.59728452690507</c:v>
                </c:pt>
                <c:pt idx="12">
                  <c:v>351.40266504608081</c:v>
                </c:pt>
                <c:pt idx="13">
                  <c:v>366.46152303417898</c:v>
                </c:pt>
                <c:pt idx="14">
                  <c:v>381.90140758028747</c:v>
                </c:pt>
                <c:pt idx="15">
                  <c:v>395.65703014048506</c:v>
                </c:pt>
                <c:pt idx="16">
                  <c:v>408.84897023614491</c:v>
                </c:pt>
                <c:pt idx="17">
                  <c:v>421.69715667025241</c:v>
                </c:pt>
                <c:pt idx="18">
                  <c:v>434.36329173017066</c:v>
                </c:pt>
                <c:pt idx="19">
                  <c:v>446.84169680242957</c:v>
                </c:pt>
                <c:pt idx="20">
                  <c:v>459.26395797559502</c:v>
                </c:pt>
                <c:pt idx="21" formatCode="General">
                  <c:v>471.48878984840559</c:v>
                </c:pt>
                <c:pt idx="22" formatCode="General">
                  <c:v>483.53618899402966</c:v>
                </c:pt>
                <c:pt idx="23" formatCode="General">
                  <c:v>495.44826578144568</c:v>
                </c:pt>
                <c:pt idx="24" formatCode="General">
                  <c:v>507.12539933841236</c:v>
                </c:pt>
                <c:pt idx="25" formatCode="General">
                  <c:v>518.35251208381055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30.174947209760251</c:v>
                </c:pt>
                <c:pt idx="1">
                  <c:v>25.847166187836585</c:v>
                </c:pt>
                <c:pt idx="2">
                  <c:v>29.261107707508931</c:v>
                </c:pt>
                <c:pt idx="3">
                  <c:v>28.008802730281751</c:v>
                </c:pt>
                <c:pt idx="4">
                  <c:v>34.941560275305967</c:v>
                </c:pt>
                <c:pt idx="5">
                  <c:v>36.974427371078121</c:v>
                </c:pt>
                <c:pt idx="6">
                  <c:v>43.186320772782814</c:v>
                </c:pt>
                <c:pt idx="7">
                  <c:v>44.704002865593282</c:v>
                </c:pt>
                <c:pt idx="8">
                  <c:v>46.282011628283712</c:v>
                </c:pt>
                <c:pt idx="9">
                  <c:v>46.534592342672106</c:v>
                </c:pt>
                <c:pt idx="10">
                  <c:v>45.751429839235122</c:v>
                </c:pt>
                <c:pt idx="11">
                  <c:v>47.917966449155315</c:v>
                </c:pt>
                <c:pt idx="12">
                  <c:v>51.822240231957117</c:v>
                </c:pt>
                <c:pt idx="13">
                  <c:v>53.964688132422793</c:v>
                </c:pt>
                <c:pt idx="14">
                  <c:v>56.145111310128051</c:v>
                </c:pt>
                <c:pt idx="15">
                  <c:v>58.110314098046679</c:v>
                </c:pt>
                <c:pt idx="16">
                  <c:v>60.000881687221309</c:v>
                </c:pt>
                <c:pt idx="17">
                  <c:v>61.831356213770952</c:v>
                </c:pt>
                <c:pt idx="18">
                  <c:v>63.636780311703355</c:v>
                </c:pt>
                <c:pt idx="19">
                  <c:v>65.393281228594716</c:v>
                </c:pt>
                <c:pt idx="20">
                  <c:v>67.137443000598395</c:v>
                </c:pt>
                <c:pt idx="21" formatCode="General">
                  <c:v>68.847670896125081</c:v>
                </c:pt>
                <c:pt idx="22" formatCode="General">
                  <c:v>70.535104125213095</c:v>
                </c:pt>
                <c:pt idx="23" formatCode="General">
                  <c:v>72.179042710258926</c:v>
                </c:pt>
                <c:pt idx="24" formatCode="General">
                  <c:v>73.814337277215813</c:v>
                </c:pt>
                <c:pt idx="25" formatCode="General">
                  <c:v>75.377232108376305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169.2603880982775</c:v>
                </c:pt>
                <c:pt idx="1">
                  <c:v>182.83122324763721</c:v>
                </c:pt>
                <c:pt idx="2">
                  <c:v>168.33999670805511</c:v>
                </c:pt>
                <c:pt idx="3">
                  <c:v>151.08857796820263</c:v>
                </c:pt>
                <c:pt idx="4">
                  <c:v>166.01737633626971</c:v>
                </c:pt>
                <c:pt idx="5">
                  <c:v>163.87156244502003</c:v>
                </c:pt>
                <c:pt idx="6">
                  <c:v>155.82103398575086</c:v>
                </c:pt>
                <c:pt idx="7">
                  <c:v>135.58168047051805</c:v>
                </c:pt>
                <c:pt idx="8">
                  <c:v>152.91781216886164</c:v>
                </c:pt>
                <c:pt idx="9">
                  <c:v>158.05588447682442</c:v>
                </c:pt>
                <c:pt idx="10">
                  <c:v>113.58689415162651</c:v>
                </c:pt>
                <c:pt idx="11">
                  <c:v>103.62151189946687</c:v>
                </c:pt>
                <c:pt idx="12">
                  <c:v>110.30495259837211</c:v>
                </c:pt>
                <c:pt idx="13">
                  <c:v>103.94904466983623</c:v>
                </c:pt>
                <c:pt idx="14">
                  <c:v>97.712164674947289</c:v>
                </c:pt>
                <c:pt idx="15">
                  <c:v>94.166556704874651</c:v>
                </c:pt>
                <c:pt idx="16">
                  <c:v>90.967951636853869</c:v>
                </c:pt>
                <c:pt idx="17">
                  <c:v>87.778011171399925</c:v>
                </c:pt>
                <c:pt idx="18">
                  <c:v>84.641650154090883</c:v>
                </c:pt>
                <c:pt idx="19">
                  <c:v>81.550597659831141</c:v>
                </c:pt>
                <c:pt idx="20">
                  <c:v>78.531264671004948</c:v>
                </c:pt>
                <c:pt idx="21">
                  <c:v>75.554322406171011</c:v>
                </c:pt>
                <c:pt idx="22">
                  <c:v>72.624378722951434</c:v>
                </c:pt>
                <c:pt idx="23">
                  <c:v>69.742646619586267</c:v>
                </c:pt>
                <c:pt idx="24">
                  <c:v>67.056425349519088</c:v>
                </c:pt>
                <c:pt idx="25">
                  <c:v>66.640658026300159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507.58941464976067</c:v>
                </c:pt>
                <c:pt idx="1">
                  <c:v>482.1267329705866</c:v>
                </c:pt>
                <c:pt idx="2">
                  <c:v>468.43798188644598</c:v>
                </c:pt>
                <c:pt idx="3">
                  <c:v>439.58179938523313</c:v>
                </c:pt>
                <c:pt idx="4">
                  <c:v>455.07870010795199</c:v>
                </c:pt>
                <c:pt idx="5">
                  <c:v>488.21252802958577</c:v>
                </c:pt>
                <c:pt idx="6">
                  <c:v>472.34950308711956</c:v>
                </c:pt>
                <c:pt idx="7">
                  <c:v>471.59868354515561</c:v>
                </c:pt>
                <c:pt idx="8">
                  <c:v>469.1243730793783</c:v>
                </c:pt>
                <c:pt idx="9">
                  <c:v>478.51693207360199</c:v>
                </c:pt>
                <c:pt idx="10">
                  <c:v>420.97505357800122</c:v>
                </c:pt>
                <c:pt idx="11">
                  <c:v>392.15591950506814</c:v>
                </c:pt>
                <c:pt idx="12">
                  <c:v>413.88601106790725</c:v>
                </c:pt>
                <c:pt idx="13">
                  <c:v>406.08379234653216</c:v>
                </c:pt>
                <c:pt idx="14">
                  <c:v>398.42078185132016</c:v>
                </c:pt>
                <c:pt idx="15">
                  <c:v>388.91262234212439</c:v>
                </c:pt>
                <c:pt idx="16">
                  <c:v>378.86144382528823</c:v>
                </c:pt>
                <c:pt idx="17">
                  <c:v>368.46247493910192</c:v>
                </c:pt>
                <c:pt idx="18">
                  <c:v>357.90442609539508</c:v>
                </c:pt>
                <c:pt idx="19">
                  <c:v>347.14776319848028</c:v>
                </c:pt>
                <c:pt idx="20">
                  <c:v>336.30861664352585</c:v>
                </c:pt>
                <c:pt idx="21">
                  <c:v>325.2540090658847</c:v>
                </c:pt>
                <c:pt idx="22">
                  <c:v>314.00363204380852</c:v>
                </c:pt>
                <c:pt idx="23">
                  <c:v>302.55456073050624</c:v>
                </c:pt>
                <c:pt idx="24">
                  <c:v>290.86004955504319</c:v>
                </c:pt>
                <c:pt idx="25">
                  <c:v>278.67975499645797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626.13695996274976</c:v>
                </c:pt>
                <c:pt idx="1">
                  <c:v>686.09054613866806</c:v>
                </c:pt>
                <c:pt idx="2">
                  <c:v>641.88774850025186</c:v>
                </c:pt>
                <c:pt idx="3">
                  <c:v>676.02899428100693</c:v>
                </c:pt>
                <c:pt idx="4">
                  <c:v>667.42356581442834</c:v>
                </c:pt>
                <c:pt idx="5">
                  <c:v>675.58397934000402</c:v>
                </c:pt>
                <c:pt idx="6">
                  <c:v>654.22176492065125</c:v>
                </c:pt>
                <c:pt idx="7">
                  <c:v>693.78678609203428</c:v>
                </c:pt>
                <c:pt idx="8">
                  <c:v>697.93621176128397</c:v>
                </c:pt>
                <c:pt idx="9">
                  <c:v>672.38661328891988</c:v>
                </c:pt>
                <c:pt idx="10">
                  <c:v>653.11181179721393</c:v>
                </c:pt>
                <c:pt idx="11">
                  <c:v>650.62366226832137</c:v>
                </c:pt>
                <c:pt idx="12">
                  <c:v>648.83501963556137</c:v>
                </c:pt>
                <c:pt idx="13">
                  <c:v>645.24187331316273</c:v>
                </c:pt>
                <c:pt idx="14">
                  <c:v>642.13958140143961</c:v>
                </c:pt>
                <c:pt idx="15">
                  <c:v>636.23390047529108</c:v>
                </c:pt>
                <c:pt idx="16">
                  <c:v>629.5591914462467</c:v>
                </c:pt>
                <c:pt idx="17">
                  <c:v>622.46464506095447</c:v>
                </c:pt>
                <c:pt idx="18">
                  <c:v>615.23983865290688</c:v>
                </c:pt>
                <c:pt idx="19">
                  <c:v>607.83650063924836</c:v>
                </c:pt>
                <c:pt idx="20">
                  <c:v>600.4548962867143</c:v>
                </c:pt>
                <c:pt idx="21">
                  <c:v>592.8844364658429</c:v>
                </c:pt>
                <c:pt idx="22">
                  <c:v>585.16169395210375</c:v>
                </c:pt>
                <c:pt idx="23">
                  <c:v>577.29826369341492</c:v>
                </c:pt>
                <c:pt idx="24">
                  <c:v>569.21949197088406</c:v>
                </c:pt>
                <c:pt idx="25">
                  <c:v>560.57279698976367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554.17866610304156</c:v>
                </c:pt>
                <c:pt idx="1">
                  <c:v>562.30981711565732</c:v>
                </c:pt>
                <c:pt idx="2">
                  <c:v>563.55568700843958</c:v>
                </c:pt>
                <c:pt idx="3">
                  <c:v>570.86269579867985</c:v>
                </c:pt>
                <c:pt idx="4">
                  <c:v>608.81374639320518</c:v>
                </c:pt>
                <c:pt idx="5">
                  <c:v>623.32973353306818</c:v>
                </c:pt>
                <c:pt idx="6">
                  <c:v>622.86271893380058</c:v>
                </c:pt>
                <c:pt idx="7">
                  <c:v>628.00938355367566</c:v>
                </c:pt>
                <c:pt idx="8">
                  <c:v>629.1911090495197</c:v>
                </c:pt>
                <c:pt idx="9">
                  <c:v>631.31405399173821</c:v>
                </c:pt>
                <c:pt idx="10">
                  <c:v>606.60283706100836</c:v>
                </c:pt>
                <c:pt idx="11">
                  <c:v>656.02428719395061</c:v>
                </c:pt>
                <c:pt idx="12">
                  <c:v>638.92465622635541</c:v>
                </c:pt>
                <c:pt idx="13">
                  <c:v>644.57140359168829</c:v>
                </c:pt>
                <c:pt idx="14">
                  <c:v>650.97099238404212</c:v>
                </c:pt>
                <c:pt idx="15">
                  <c:v>654.80300574649254</c:v>
                </c:pt>
                <c:pt idx="16">
                  <c:v>658.07975722508945</c:v>
                </c:pt>
                <c:pt idx="17">
                  <c:v>661.13820103721002</c:v>
                </c:pt>
                <c:pt idx="18">
                  <c:v>664.28974888244807</c:v>
                </c:pt>
                <c:pt idx="19">
                  <c:v>667.48767129615703</c:v>
                </c:pt>
                <c:pt idx="20">
                  <c:v>670.96378385888534</c:v>
                </c:pt>
                <c:pt idx="21">
                  <c:v>674.49691897418325</c:v>
                </c:pt>
                <c:pt idx="22">
                  <c:v>678.138185663841</c:v>
                </c:pt>
                <c:pt idx="23">
                  <c:v>681.91292573454768</c:v>
                </c:pt>
                <c:pt idx="24">
                  <c:v>685.74563327973124</c:v>
                </c:pt>
                <c:pt idx="25">
                  <c:v>689.22564214720899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134.88514734130905</c:v>
                </c:pt>
                <c:pt idx="1">
                  <c:v>125.23549722022197</c:v>
                </c:pt>
                <c:pt idx="2">
                  <c:v>150.86117507501859</c:v>
                </c:pt>
                <c:pt idx="3">
                  <c:v>149.4832685110309</c:v>
                </c:pt>
                <c:pt idx="4">
                  <c:v>151.35217466452784</c:v>
                </c:pt>
                <c:pt idx="5">
                  <c:v>150.68527696860417</c:v>
                </c:pt>
                <c:pt idx="6">
                  <c:v>156.30448088976965</c:v>
                </c:pt>
                <c:pt idx="7">
                  <c:v>158.85293995743535</c:v>
                </c:pt>
                <c:pt idx="8">
                  <c:v>157.20335183990349</c:v>
                </c:pt>
                <c:pt idx="9">
                  <c:v>162.30511144496458</c:v>
                </c:pt>
                <c:pt idx="10">
                  <c:v>183.52610792279194</c:v>
                </c:pt>
                <c:pt idx="11">
                  <c:v>181.51552174931058</c:v>
                </c:pt>
                <c:pt idx="12">
                  <c:v>176.42235972636234</c:v>
                </c:pt>
                <c:pt idx="13">
                  <c:v>180.27574574485644</c:v>
                </c:pt>
                <c:pt idx="14">
                  <c:v>184.29634951922631</c:v>
                </c:pt>
                <c:pt idx="15">
                  <c:v>187.4504707065062</c:v>
                </c:pt>
                <c:pt idx="16">
                  <c:v>190.59190163174372</c:v>
                </c:pt>
                <c:pt idx="17">
                  <c:v>193.83452348083421</c:v>
                </c:pt>
                <c:pt idx="18">
                  <c:v>197.10709774278988</c:v>
                </c:pt>
                <c:pt idx="19">
                  <c:v>200.47739898755651</c:v>
                </c:pt>
                <c:pt idx="20">
                  <c:v>204.05868798933398</c:v>
                </c:pt>
                <c:pt idx="21" formatCode="General">
                  <c:v>207.71007084741109</c:v>
                </c:pt>
                <c:pt idx="22" formatCode="General">
                  <c:v>211.49584462770858</c:v>
                </c:pt>
                <c:pt idx="23" formatCode="General">
                  <c:v>215.37931065282402</c:v>
                </c:pt>
                <c:pt idx="24" formatCode="General">
                  <c:v>219.45249062163339</c:v>
                </c:pt>
                <c:pt idx="25">
                  <c:v>223.47715854059405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154.52734134458484</c:v>
                </c:pt>
                <c:pt idx="1">
                  <c:v>141.00760090337121</c:v>
                </c:pt>
                <c:pt idx="2">
                  <c:v>158.60869776716237</c:v>
                </c:pt>
                <c:pt idx="3">
                  <c:v>159.94837259422678</c:v>
                </c:pt>
                <c:pt idx="4">
                  <c:v>161.28313637356248</c:v>
                </c:pt>
                <c:pt idx="5">
                  <c:v>153.54135211510925</c:v>
                </c:pt>
                <c:pt idx="6">
                  <c:v>158.66878255814567</c:v>
                </c:pt>
                <c:pt idx="7">
                  <c:v>158.64664143540165</c:v>
                </c:pt>
                <c:pt idx="8">
                  <c:v>156.95425288459458</c:v>
                </c:pt>
                <c:pt idx="9">
                  <c:v>159.26176969701874</c:v>
                </c:pt>
                <c:pt idx="10">
                  <c:v>180.33887006585007</c:v>
                </c:pt>
                <c:pt idx="11">
                  <c:v>172.32589710643643</c:v>
                </c:pt>
                <c:pt idx="12">
                  <c:v>168.18687589836262</c:v>
                </c:pt>
                <c:pt idx="13">
                  <c:v>170.87348229081655</c:v>
                </c:pt>
                <c:pt idx="14">
                  <c:v>173.92693573064014</c:v>
                </c:pt>
                <c:pt idx="15">
                  <c:v>176.30587381290988</c:v>
                </c:pt>
                <c:pt idx="16">
                  <c:v>178.61982039071279</c:v>
                </c:pt>
                <c:pt idx="17">
                  <c:v>181.08006016183219</c:v>
                </c:pt>
                <c:pt idx="18">
                  <c:v>183.75894005319432</c:v>
                </c:pt>
                <c:pt idx="19">
                  <c:v>186.51141065400657</c:v>
                </c:pt>
                <c:pt idx="20">
                  <c:v>189.44763024682314</c:v>
                </c:pt>
                <c:pt idx="21" formatCode="General">
                  <c:v>192.60773104671611</c:v>
                </c:pt>
                <c:pt idx="22" formatCode="General">
                  <c:v>195.84834730549545</c:v>
                </c:pt>
                <c:pt idx="23" formatCode="General">
                  <c:v>199.20211584382542</c:v>
                </c:pt>
                <c:pt idx="24" formatCode="General">
                  <c:v>202.64472747666139</c:v>
                </c:pt>
                <c:pt idx="25">
                  <c:v>205.99694559964465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416.80403996613484</c:v>
                </c:pt>
                <c:pt idx="1">
                  <c:v>407.32030212321484</c:v>
                </c:pt>
                <c:pt idx="2">
                  <c:v>486.93523597091797</c:v>
                </c:pt>
                <c:pt idx="3">
                  <c:v>505.85105749909638</c:v>
                </c:pt>
                <c:pt idx="4">
                  <c:v>526.40873538329799</c:v>
                </c:pt>
                <c:pt idx="5">
                  <c:v>525.43592636585629</c:v>
                </c:pt>
                <c:pt idx="6">
                  <c:v>542.08008107858848</c:v>
                </c:pt>
                <c:pt idx="7">
                  <c:v>564.32239706246628</c:v>
                </c:pt>
                <c:pt idx="8">
                  <c:v>558.41174465652819</c:v>
                </c:pt>
                <c:pt idx="9">
                  <c:v>588.43324674716268</c:v>
                </c:pt>
                <c:pt idx="10">
                  <c:v>660.6690159101272</c:v>
                </c:pt>
                <c:pt idx="11">
                  <c:v>654.27194929966822</c:v>
                </c:pt>
                <c:pt idx="12">
                  <c:v>643.49521956754597</c:v>
                </c:pt>
                <c:pt idx="13">
                  <c:v>658.55544687477197</c:v>
                </c:pt>
                <c:pt idx="14">
                  <c:v>674.7006755460493</c:v>
                </c:pt>
                <c:pt idx="15">
                  <c:v>688.6122259732731</c:v>
                </c:pt>
                <c:pt idx="16">
                  <c:v>701.93408192071377</c:v>
                </c:pt>
                <c:pt idx="17">
                  <c:v>714.92157126400809</c:v>
                </c:pt>
                <c:pt idx="18">
                  <c:v>728.05322637592758</c:v>
                </c:pt>
                <c:pt idx="19">
                  <c:v>741.35467953301793</c:v>
                </c:pt>
                <c:pt idx="20">
                  <c:v>754.99371932683482</c:v>
                </c:pt>
                <c:pt idx="21" formatCode="General">
                  <c:v>768.72605044854947</c:v>
                </c:pt>
                <c:pt idx="22" formatCode="General">
                  <c:v>782.72262456400426</c:v>
                </c:pt>
                <c:pt idx="23" formatCode="General">
                  <c:v>797.05286823292886</c:v>
                </c:pt>
                <c:pt idx="24" formatCode="General">
                  <c:v>811.53244513055677</c:v>
                </c:pt>
                <c:pt idx="25" formatCode="General">
                  <c:v>825.96029950573779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204.91109532377334</c:v>
                </c:pt>
                <c:pt idx="1">
                  <c:v>171.15611409152336</c:v>
                </c:pt>
                <c:pt idx="2">
                  <c:v>197.10836937492994</c:v>
                </c:pt>
                <c:pt idx="3">
                  <c:v>186.09043123105255</c:v>
                </c:pt>
                <c:pt idx="4">
                  <c:v>227.07600465140663</c:v>
                </c:pt>
                <c:pt idx="5">
                  <c:v>238.1442138311877</c:v>
                </c:pt>
                <c:pt idx="6">
                  <c:v>287.57731377220568</c:v>
                </c:pt>
                <c:pt idx="7">
                  <c:v>299.14048501839102</c:v>
                </c:pt>
                <c:pt idx="8">
                  <c:v>309.2821329316547</c:v>
                </c:pt>
                <c:pt idx="9">
                  <c:v>310.29479593541743</c:v>
                </c:pt>
                <c:pt idx="10">
                  <c:v>309.62997967254921</c:v>
                </c:pt>
                <c:pt idx="11">
                  <c:v>327.59728452690507</c:v>
                </c:pt>
                <c:pt idx="12">
                  <c:v>351.40266504608081</c:v>
                </c:pt>
                <c:pt idx="13">
                  <c:v>366.46152303417898</c:v>
                </c:pt>
                <c:pt idx="14">
                  <c:v>381.90140758028747</c:v>
                </c:pt>
                <c:pt idx="15">
                  <c:v>395.65703014048506</c:v>
                </c:pt>
                <c:pt idx="16">
                  <c:v>408.84897023614491</c:v>
                </c:pt>
                <c:pt idx="17">
                  <c:v>421.69715667025241</c:v>
                </c:pt>
                <c:pt idx="18">
                  <c:v>434.36329173017066</c:v>
                </c:pt>
                <c:pt idx="19">
                  <c:v>446.84169680242957</c:v>
                </c:pt>
                <c:pt idx="20">
                  <c:v>459.26395797559502</c:v>
                </c:pt>
                <c:pt idx="21" formatCode="General">
                  <c:v>471.48878984840559</c:v>
                </c:pt>
                <c:pt idx="22" formatCode="General">
                  <c:v>483.53618899402966</c:v>
                </c:pt>
                <c:pt idx="23" formatCode="General">
                  <c:v>495.44826578144568</c:v>
                </c:pt>
                <c:pt idx="24" formatCode="General">
                  <c:v>507.12539933841236</c:v>
                </c:pt>
                <c:pt idx="25" formatCode="General">
                  <c:v>518.35251208381055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30.174947209760251</c:v>
                </c:pt>
                <c:pt idx="1">
                  <c:v>25.847166187836585</c:v>
                </c:pt>
                <c:pt idx="2">
                  <c:v>29.261107707508931</c:v>
                </c:pt>
                <c:pt idx="3">
                  <c:v>28.008802730281751</c:v>
                </c:pt>
                <c:pt idx="4">
                  <c:v>34.941560275305967</c:v>
                </c:pt>
                <c:pt idx="5">
                  <c:v>36.974427371078121</c:v>
                </c:pt>
                <c:pt idx="6">
                  <c:v>43.186320772782814</c:v>
                </c:pt>
                <c:pt idx="7">
                  <c:v>44.704002865593282</c:v>
                </c:pt>
                <c:pt idx="8">
                  <c:v>46.282011628283712</c:v>
                </c:pt>
                <c:pt idx="9">
                  <c:v>46.534592342672106</c:v>
                </c:pt>
                <c:pt idx="10">
                  <c:v>45.751429839235122</c:v>
                </c:pt>
                <c:pt idx="11">
                  <c:v>47.917966449155315</c:v>
                </c:pt>
                <c:pt idx="12">
                  <c:v>51.822240231957117</c:v>
                </c:pt>
                <c:pt idx="13">
                  <c:v>53.964688132422793</c:v>
                </c:pt>
                <c:pt idx="14">
                  <c:v>56.145111310128051</c:v>
                </c:pt>
                <c:pt idx="15">
                  <c:v>58.110314098046679</c:v>
                </c:pt>
                <c:pt idx="16">
                  <c:v>60.000881687221309</c:v>
                </c:pt>
                <c:pt idx="17">
                  <c:v>61.831356213770952</c:v>
                </c:pt>
                <c:pt idx="18">
                  <c:v>63.636780311703355</c:v>
                </c:pt>
                <c:pt idx="19">
                  <c:v>65.393281228594716</c:v>
                </c:pt>
                <c:pt idx="20">
                  <c:v>67.137443000598395</c:v>
                </c:pt>
                <c:pt idx="21" formatCode="General">
                  <c:v>68.847670896125081</c:v>
                </c:pt>
                <c:pt idx="22" formatCode="General">
                  <c:v>70.535104125213095</c:v>
                </c:pt>
                <c:pt idx="23" formatCode="General">
                  <c:v>72.179042710258926</c:v>
                </c:pt>
                <c:pt idx="24" formatCode="General">
                  <c:v>73.814337277215813</c:v>
                </c:pt>
                <c:pt idx="25" formatCode="General">
                  <c:v>75.377232108376305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91665645899213932"/>
          <c:h val="9.310118677913352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215.07175900141254</c:v>
                </c:pt>
                <c:pt idx="1">
                  <c:v>102.22745303138501</c:v>
                </c:pt>
                <c:pt idx="2">
                  <c:v>186.41484950766176</c:v>
                </c:pt>
                <c:pt idx="3">
                  <c:v>101.29090452362664</c:v>
                </c:pt>
                <c:pt idx="4">
                  <c:v>128.56143721289453</c:v>
                </c:pt>
                <c:pt idx="5">
                  <c:v>170.0371064822983</c:v>
                </c:pt>
                <c:pt idx="6">
                  <c:v>51.916227810861997</c:v>
                </c:pt>
                <c:pt idx="7">
                  <c:v>43.592593838917885</c:v>
                </c:pt>
                <c:pt idx="8">
                  <c:v>30.017339672230531</c:v>
                </c:pt>
                <c:pt idx="9">
                  <c:v>61.226797374406303</c:v>
                </c:pt>
                <c:pt idx="10">
                  <c:v>182.23852840786006</c:v>
                </c:pt>
                <c:pt idx="11">
                  <c:v>259.61010329935812</c:v>
                </c:pt>
                <c:pt idx="12">
                  <c:v>75.640118464250264</c:v>
                </c:pt>
                <c:pt idx="13">
                  <c:v>39.127265446710197</c:v>
                </c:pt>
                <c:pt idx="14">
                  <c:v>118.00540714420841</c:v>
                </c:pt>
                <c:pt idx="15">
                  <c:v>96.086748078120166</c:v>
                </c:pt>
                <c:pt idx="16">
                  <c:v>71.711869284133982</c:v>
                </c:pt>
                <c:pt idx="17">
                  <c:v>211.95390549156167</c:v>
                </c:pt>
                <c:pt idx="18">
                  <c:v>65.78241893690182</c:v>
                </c:pt>
                <c:pt idx="19">
                  <c:v>3.1420191309526011</c:v>
                </c:pt>
                <c:pt idx="20">
                  <c:v>221.41596432763646</c:v>
                </c:pt>
                <c:pt idx="21">
                  <c:v>44.973783490930849</c:v>
                </c:pt>
                <c:pt idx="22">
                  <c:v>77.455594000314903</c:v>
                </c:pt>
                <c:pt idx="23">
                  <c:v>113.32252578308525</c:v>
                </c:pt>
                <c:pt idx="24">
                  <c:v>54.899703673527384</c:v>
                </c:pt>
                <c:pt idx="25">
                  <c:v>330.05657658426492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256.42027451780478</c:v>
                </c:pt>
                <c:pt idx="1">
                  <c:v>108.45532958998095</c:v>
                </c:pt>
                <c:pt idx="2">
                  <c:v>219.28005434285362</c:v>
                </c:pt>
                <c:pt idx="3">
                  <c:v>119.29571542032333</c:v>
                </c:pt>
                <c:pt idx="4">
                  <c:v>150.97859691014554</c:v>
                </c:pt>
                <c:pt idx="5">
                  <c:v>215.262818884013</c:v>
                </c:pt>
                <c:pt idx="6">
                  <c:v>66.661989893571118</c:v>
                </c:pt>
                <c:pt idx="7">
                  <c:v>52.293649494333124</c:v>
                </c:pt>
                <c:pt idx="8">
                  <c:v>31.864429233105461</c:v>
                </c:pt>
                <c:pt idx="9">
                  <c:v>72.766048539117293</c:v>
                </c:pt>
                <c:pt idx="10">
                  <c:v>201.30044972390519</c:v>
                </c:pt>
                <c:pt idx="11">
                  <c:v>261.75573790944139</c:v>
                </c:pt>
                <c:pt idx="12">
                  <c:v>68.954741530614868</c:v>
                </c:pt>
                <c:pt idx="13">
                  <c:v>27.701459442035809</c:v>
                </c:pt>
                <c:pt idx="14">
                  <c:v>100.42539928195286</c:v>
                </c:pt>
                <c:pt idx="15">
                  <c:v>82.52660532338669</c:v>
                </c:pt>
                <c:pt idx="16">
                  <c:v>60.813130058863692</c:v>
                </c:pt>
                <c:pt idx="17">
                  <c:v>223.65609032128737</c:v>
                </c:pt>
                <c:pt idx="18">
                  <c:v>72.441128106543133</c:v>
                </c:pt>
                <c:pt idx="19">
                  <c:v>3.4150609686279489</c:v>
                </c:pt>
                <c:pt idx="20">
                  <c:v>194.6954129401295</c:v>
                </c:pt>
                <c:pt idx="21">
                  <c:v>49.860654752101922</c:v>
                </c:pt>
                <c:pt idx="22">
                  <c:v>66.18299631124377</c:v>
                </c:pt>
                <c:pt idx="23">
                  <c:v>115.43320624120283</c:v>
                </c:pt>
                <c:pt idx="24">
                  <c:v>43.984729492292018</c:v>
                </c:pt>
                <c:pt idx="25">
                  <c:v>307.76629076952287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268.37253864090906</c:v>
                </c:pt>
                <c:pt idx="1">
                  <c:v>157.68053767542241</c:v>
                </c:pt>
                <c:pt idx="2">
                  <c:v>259.05118497637233</c:v>
                </c:pt>
                <c:pt idx="3">
                  <c:v>145.28131543342394</c:v>
                </c:pt>
                <c:pt idx="4">
                  <c:v>169.79821578021685</c:v>
                </c:pt>
                <c:pt idx="5">
                  <c:v>277.19455512326959</c:v>
                </c:pt>
                <c:pt idx="6">
                  <c:v>64.377093001295108</c:v>
                </c:pt>
                <c:pt idx="7">
                  <c:v>60.069127651335592</c:v>
                </c:pt>
                <c:pt idx="8">
                  <c:v>47.091997779470525</c:v>
                </c:pt>
                <c:pt idx="9">
                  <c:v>76.224056380442065</c:v>
                </c:pt>
                <c:pt idx="10">
                  <c:v>207.25099940186306</c:v>
                </c:pt>
                <c:pt idx="11">
                  <c:v>227.65142269680504</c:v>
                </c:pt>
                <c:pt idx="12">
                  <c:v>52.703380501883423</c:v>
                </c:pt>
                <c:pt idx="13">
                  <c:v>34.324848177096435</c:v>
                </c:pt>
                <c:pt idx="14">
                  <c:v>99.69259873414488</c:v>
                </c:pt>
                <c:pt idx="15">
                  <c:v>80.451774167755275</c:v>
                </c:pt>
                <c:pt idx="16">
                  <c:v>63.173205220636099</c:v>
                </c:pt>
                <c:pt idx="17">
                  <c:v>274.63381510722382</c:v>
                </c:pt>
                <c:pt idx="18">
                  <c:v>75.857817785706203</c:v>
                </c:pt>
                <c:pt idx="19">
                  <c:v>3.0103764029579554</c:v>
                </c:pt>
                <c:pt idx="20">
                  <c:v>172.17020547805873</c:v>
                </c:pt>
                <c:pt idx="21">
                  <c:v>73.642352461597412</c:v>
                </c:pt>
                <c:pt idx="22">
                  <c:v>82.126425762765933</c:v>
                </c:pt>
                <c:pt idx="23">
                  <c:v>132.52018950559264</c:v>
                </c:pt>
                <c:pt idx="24">
                  <c:v>38.185707998463144</c:v>
                </c:pt>
                <c:pt idx="25">
                  <c:v>301.7472581531934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41.34851551639224</c:v>
                </c:pt>
                <c:pt idx="1">
                  <c:v>6.2278765585959377</c:v>
                </c:pt>
                <c:pt idx="2">
                  <c:v>32.865204835191861</c:v>
                </c:pt>
                <c:pt idx="3">
                  <c:v>18.004810896696696</c:v>
                </c:pt>
                <c:pt idx="4">
                  <c:v>22.417159697251009</c:v>
                </c:pt>
                <c:pt idx="5">
                  <c:v>45.225712401714702</c:v>
                </c:pt>
                <c:pt idx="6">
                  <c:v>14.74576208270912</c:v>
                </c:pt>
                <c:pt idx="7">
                  <c:v>8.7010556554152387</c:v>
                </c:pt>
                <c:pt idx="8">
                  <c:v>1.8470895608749309</c:v>
                </c:pt>
                <c:pt idx="9">
                  <c:v>11.53925116471099</c:v>
                </c:pt>
                <c:pt idx="10">
                  <c:v>19.06192131604513</c:v>
                </c:pt>
                <c:pt idx="11">
                  <c:v>2.1456346100832775</c:v>
                </c:pt>
                <c:pt idx="12">
                  <c:v>-6.6853769336353963</c:v>
                </c:pt>
                <c:pt idx="13">
                  <c:v>-11.425806004674389</c:v>
                </c:pt>
                <c:pt idx="14">
                  <c:v>-17.580007862255542</c:v>
                </c:pt>
                <c:pt idx="15">
                  <c:v>-13.560142754733477</c:v>
                </c:pt>
                <c:pt idx="16">
                  <c:v>-10.89873922527029</c:v>
                </c:pt>
                <c:pt idx="17">
                  <c:v>11.702184829725695</c:v>
                </c:pt>
                <c:pt idx="18">
                  <c:v>6.6587091696413125</c:v>
                </c:pt>
                <c:pt idx="19">
                  <c:v>0.27304183767534784</c:v>
                </c:pt>
                <c:pt idx="20">
                  <c:v>-26.720551387506958</c:v>
                </c:pt>
                <c:pt idx="21">
                  <c:v>4.8868712611710734</c:v>
                </c:pt>
                <c:pt idx="22">
                  <c:v>-11.272597689071134</c:v>
                </c:pt>
                <c:pt idx="23">
                  <c:v>2.1106804581175709</c:v>
                </c:pt>
                <c:pt idx="24">
                  <c:v>-10.914974181235365</c:v>
                </c:pt>
                <c:pt idx="25">
                  <c:v>-22.290285814742049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11.952264123104271</c:v>
                </c:pt>
                <c:pt idx="1">
                  <c:v>49.225208085441466</c:v>
                </c:pt>
                <c:pt idx="2">
                  <c:v>39.771130633518709</c:v>
                </c:pt>
                <c:pt idx="3">
                  <c:v>25.985600013100608</c:v>
                </c:pt>
                <c:pt idx="4">
                  <c:v>18.819618870071309</c:v>
                </c:pt>
                <c:pt idx="5">
                  <c:v>61.931736239256594</c:v>
                </c:pt>
                <c:pt idx="6">
                  <c:v>-2.2848968922760093</c:v>
                </c:pt>
                <c:pt idx="7">
                  <c:v>7.7754781570024676</c:v>
                </c:pt>
                <c:pt idx="8">
                  <c:v>15.227568546365063</c:v>
                </c:pt>
                <c:pt idx="9">
                  <c:v>3.4580078413247719</c:v>
                </c:pt>
                <c:pt idx="10">
                  <c:v>5.9505496779578664</c:v>
                </c:pt>
                <c:pt idx="11">
                  <c:v>-34.104315212636351</c:v>
                </c:pt>
                <c:pt idx="12">
                  <c:v>-16.251361028731445</c:v>
                </c:pt>
                <c:pt idx="13">
                  <c:v>6.623388735060626</c:v>
                </c:pt>
                <c:pt idx="14">
                  <c:v>-0.73280054780798309</c:v>
                </c:pt>
                <c:pt idx="15">
                  <c:v>-2.074831155631415</c:v>
                </c:pt>
                <c:pt idx="16">
                  <c:v>2.3600751617724072</c:v>
                </c:pt>
                <c:pt idx="17">
                  <c:v>50.977724785936459</c:v>
                </c:pt>
                <c:pt idx="18">
                  <c:v>3.4166896791630705</c:v>
                </c:pt>
                <c:pt idx="19">
                  <c:v>-0.40468456566999356</c:v>
                </c:pt>
                <c:pt idx="20">
                  <c:v>-22.525207462070767</c:v>
                </c:pt>
                <c:pt idx="21">
                  <c:v>23.781697709495489</c:v>
                </c:pt>
                <c:pt idx="22">
                  <c:v>15.943429451522164</c:v>
                </c:pt>
                <c:pt idx="23">
                  <c:v>17.086983264389815</c:v>
                </c:pt>
                <c:pt idx="24">
                  <c:v>-5.7990214938288744</c:v>
                </c:pt>
                <c:pt idx="25">
                  <c:v>-6.0190326163294685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7.0381974285917552</c:v>
                </c:pt>
                <c:pt idx="1">
                  <c:v>8.0782849467812277</c:v>
                </c:pt>
                <c:pt idx="2">
                  <c:v>7.7918260096824978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3.3453810969772793</c:v>
                </c:pt>
                <c:pt idx="1">
                  <c:v>3.4167854241342548</c:v>
                </c:pt>
                <c:pt idx="2">
                  <c:v>4.5780366385549192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1.6989523067888836</c:v>
                </c:pt>
                <c:pt idx="1">
                  <c:v>2.100124689798371</c:v>
                </c:pt>
                <c:pt idx="2">
                  <c:v>1.8690999839831499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1.4265623868389972</c:v>
                </c:pt>
                <c:pt idx="1">
                  <c:v>1.647463338523929</c:v>
                </c:pt>
                <c:pt idx="2">
                  <c:v>1.744024159785134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0.98231382806921974</c:v>
                </c:pt>
                <c:pt idx="1">
                  <c:v>1.0038595407310433</c:v>
                </c:pt>
                <c:pt idx="2">
                  <c:v>1.3672511166910277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2.0036395751923184</c:v>
                </c:pt>
                <c:pt idx="1">
                  <c:v>2.2924274441859205</c:v>
                </c:pt>
                <c:pt idx="2">
                  <c:v>2.2130602038359952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5.9637339090257884</c:v>
                </c:pt>
                <c:pt idx="1">
                  <c:v>6.3417855543712109</c:v>
                </c:pt>
                <c:pt idx="2">
                  <c:v>6.0172465329355749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8.4957093853776566</c:v>
                </c:pt>
                <c:pt idx="1">
                  <c:v>8.2463738144880097</c:v>
                </c:pt>
                <c:pt idx="2">
                  <c:v>6.6095446482459144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2.4753137731577555</c:v>
                </c:pt>
                <c:pt idx="1">
                  <c:v>2.172355721728541</c:v>
                </c:pt>
                <c:pt idx="2">
                  <c:v>1.5301698641463419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6.9361660477277809</c:v>
                </c:pt>
                <c:pt idx="1">
                  <c:v>7.0460794533348983</c:v>
                </c:pt>
                <c:pt idx="2">
                  <c:v>7.9736135244226807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2.1527217425380671</c:v>
                </c:pt>
                <c:pt idx="1">
                  <c:v>2.2821911247517361</c:v>
                </c:pt>
                <c:pt idx="2">
                  <c:v>2.2024269720505676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0.10282219790610193</c:v>
                </c:pt>
                <c:pt idx="1">
                  <c:v>0.10758835535562025</c:v>
                </c:pt>
                <c:pt idx="2">
                  <c:v>8.7402121224062906E-2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24-4258-ADBA-A2E701882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5092389486513718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7.2458107843424466</c:v>
                </c:pt>
                <c:pt idx="1">
                  <c:v>6.1336999444339728</c:v>
                </c:pt>
                <c:pt idx="2">
                  <c:v>4.9987241315003352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1.4717616519695311</c:v>
                </c:pt>
                <c:pt idx="1">
                  <c:v>1.5708140765311942</c:v>
                </c:pt>
                <c:pt idx="2">
                  <c:v>2.1381039961478865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5.891244981579470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2.5347249915758718</c:v>
                </c:pt>
                <c:pt idx="1">
                  <c:v>2.0850344374655698</c:v>
                </c:pt>
                <c:pt idx="2">
                  <c:v>2.3844273470796677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3.708466017441161</c:v>
                </c:pt>
                <c:pt idx="1">
                  <c:v>3.6366170112350158</c:v>
                </c:pt>
                <c:pt idx="2">
                  <c:v>3.8475406784423183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6.1004035143801794</c:v>
                </c:pt>
                <c:pt idx="1">
                  <c:v>6.9082164639997865</c:v>
                </c:pt>
                <c:pt idx="2">
                  <c:v>7.5211933797696142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3.314732659778171</c:v>
                </c:pt>
                <c:pt idx="1">
                  <c:v>3.7583018109926383</c:v>
                </c:pt>
                <c:pt idx="2">
                  <c:v>4.2180423453448075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4.2071575599189286</c:v>
                </c:pt>
                <c:pt idx="1">
                  <c:v>4.7564418570213016</c:v>
                </c:pt>
                <c:pt idx="2">
                  <c:v>4.9298566865823847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5.5644438450007483</c:v>
                </c:pt>
                <c:pt idx="1">
                  <c:v>6.7816571550845524</c:v>
                </c:pt>
                <c:pt idx="2">
                  <c:v>8.0479610741463059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1.2804350526237807</c:v>
                </c:pt>
                <c:pt idx="1">
                  <c:v>0.87270900569498522</c:v>
                </c:pt>
                <c:pt idx="2">
                  <c:v>0.99657456071749506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3.8617127463807832</c:v>
                </c:pt>
                <c:pt idx="1">
                  <c:v>3.1638098540354034</c:v>
                </c:pt>
                <c:pt idx="2">
                  <c:v>2.8944369186331569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3.1444272664396049</c:v>
                </c:pt>
                <c:pt idx="1">
                  <c:v>2.5999248099493752</c:v>
                </c:pt>
                <c:pt idx="2">
                  <c:v>2.3358061508826169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2.3467622915186412</c:v>
                </c:pt>
                <c:pt idx="1">
                  <c:v>1.9158617392676416</c:v>
                </c:pt>
                <c:pt idx="2">
                  <c:v>1.8341467649631176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1.7965861953215905</c:v>
                </c:pt>
                <c:pt idx="1">
                  <c:v>1.3856984546717457</c:v>
                </c:pt>
                <c:pt idx="2">
                  <c:v>1.1086692933910025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 formatCode="General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10.801061745116959</c:v>
                </c:pt>
                <c:pt idx="1">
                  <c:v>9.6958939714320351</c:v>
                </c:pt>
                <c:pt idx="2">
                  <c:v>8.7608148968414437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-11.818054110158357</c:v>
                </c:pt>
                <c:pt idx="1">
                  <c:v>33.030412715911979</c:v>
                </c:pt>
                <c:pt idx="2">
                  <c:v>1.2564902474247219</c:v>
                </c:pt>
                <c:pt idx="3">
                  <c:v>53.989729899429562</c:v>
                </c:pt>
                <c:pt idx="4">
                  <c:v>6.1758321933936031</c:v>
                </c:pt>
                <c:pt idx="5">
                  <c:v>-50.355676241367803</c:v>
                </c:pt>
                <c:pt idx="6">
                  <c:v>30.126707330374188</c:v>
                </c:pt>
                <c:pt idx="7">
                  <c:v>146.50808575594715</c:v>
                </c:pt>
                <c:pt idx="8">
                  <c:v>61.177472208545737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156.26438223090747</c:v>
                </c:pt>
                <c:pt idx="1">
                  <c:v>132.71680262720449</c:v>
                </c:pt>
                <c:pt idx="2">
                  <c:v>114.0390972249502</c:v>
                </c:pt>
                <c:pt idx="3">
                  <c:v>237.58275344775802</c:v>
                </c:pt>
                <c:pt idx="4">
                  <c:v>125.3559174019949</c:v>
                </c:pt>
                <c:pt idx="5">
                  <c:v>104.45404057582951</c:v>
                </c:pt>
                <c:pt idx="6">
                  <c:v>228.28773648000174</c:v>
                </c:pt>
                <c:pt idx="7">
                  <c:v>508.30709178635789</c:v>
                </c:pt>
                <c:pt idx="8">
                  <c:v>269.57722661569142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11.952264123104271</c:v>
                </c:pt>
                <c:pt idx="1">
                  <c:v>49.225208085441466</c:v>
                </c:pt>
                <c:pt idx="2">
                  <c:v>39.771130633518709</c:v>
                </c:pt>
                <c:pt idx="3">
                  <c:v>25.985600013100608</c:v>
                </c:pt>
                <c:pt idx="4">
                  <c:v>18.819618870071309</c:v>
                </c:pt>
                <c:pt idx="5">
                  <c:v>61.931736239256594</c:v>
                </c:pt>
                <c:pt idx="6">
                  <c:v>-2.2848968922760093</c:v>
                </c:pt>
                <c:pt idx="7">
                  <c:v>7.7754781570024676</c:v>
                </c:pt>
                <c:pt idx="8">
                  <c:v>15.227568546365063</c:v>
                </c:pt>
                <c:pt idx="9">
                  <c:v>3.4580078413247719</c:v>
                </c:pt>
                <c:pt idx="10">
                  <c:v>5.9505496779578664</c:v>
                </c:pt>
                <c:pt idx="11">
                  <c:v>-34.104315212636351</c:v>
                </c:pt>
                <c:pt idx="12">
                  <c:v>-16.251361028731445</c:v>
                </c:pt>
                <c:pt idx="13">
                  <c:v>6.623388735060626</c:v>
                </c:pt>
                <c:pt idx="14">
                  <c:v>-0.73280054780798309</c:v>
                </c:pt>
                <c:pt idx="15">
                  <c:v>-2.074831155631415</c:v>
                </c:pt>
                <c:pt idx="16">
                  <c:v>2.3600751617724072</c:v>
                </c:pt>
                <c:pt idx="17">
                  <c:v>50.977724785936459</c:v>
                </c:pt>
                <c:pt idx="18">
                  <c:v>3.4166896791630705</c:v>
                </c:pt>
                <c:pt idx="19">
                  <c:v>-0.40468456566999356</c:v>
                </c:pt>
                <c:pt idx="20">
                  <c:v>-22.525207462070767</c:v>
                </c:pt>
                <c:pt idx="21">
                  <c:v>23.781697709495489</c:v>
                </c:pt>
                <c:pt idx="22">
                  <c:v>15.943429451522164</c:v>
                </c:pt>
                <c:pt idx="23">
                  <c:v>17.086983264389815</c:v>
                </c:pt>
                <c:pt idx="24">
                  <c:v>-5.7990214938288744</c:v>
                </c:pt>
                <c:pt idx="25">
                  <c:v>-6.0190326163294685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140.9637244401645</c:v>
                </c:pt>
                <c:pt idx="1">
                  <c:v>128.61350217552695</c:v>
                </c:pt>
                <c:pt idx="2">
                  <c:v>128.96508286291493</c:v>
                </c:pt>
                <c:pt idx="3">
                  <c:v>97.488240348252717</c:v>
                </c:pt>
                <c:pt idx="4">
                  <c:v>100.1159627219804</c:v>
                </c:pt>
                <c:pt idx="5">
                  <c:v>181.73780585320989</c:v>
                </c:pt>
                <c:pt idx="6">
                  <c:v>23.172127197891296</c:v>
                </c:pt>
                <c:pt idx="7">
                  <c:v>40.375241286273038</c:v>
                </c:pt>
                <c:pt idx="8">
                  <c:v>29.906109454763591</c:v>
                </c:pt>
                <c:pt idx="9">
                  <c:v>36.564581484285014</c:v>
                </c:pt>
                <c:pt idx="10">
                  <c:v>98.26967705678878</c:v>
                </c:pt>
                <c:pt idx="11">
                  <c:v>86.101060545292697</c:v>
                </c:pt>
                <c:pt idx="12">
                  <c:v>18.352980030536827</c:v>
                </c:pt>
                <c:pt idx="13">
                  <c:v>23.82922082514072</c:v>
                </c:pt>
                <c:pt idx="14">
                  <c:v>38.188163866692257</c:v>
                </c:pt>
                <c:pt idx="15">
                  <c:v>33.897962586113849</c:v>
                </c:pt>
                <c:pt idx="16">
                  <c:v>29.440570124048119</c:v>
                </c:pt>
                <c:pt idx="17">
                  <c:v>195.1208899630987</c:v>
                </c:pt>
                <c:pt idx="18">
                  <c:v>41.450901204551073</c:v>
                </c:pt>
                <c:pt idx="19">
                  <c:v>1.0109622801082108</c:v>
                </c:pt>
                <c:pt idx="20">
                  <c:v>59.615503671307891</c:v>
                </c:pt>
                <c:pt idx="21">
                  <c:v>54.423593553642306</c:v>
                </c:pt>
                <c:pt idx="22">
                  <c:v>47.722235607113838</c:v>
                </c:pt>
                <c:pt idx="23">
                  <c:v>84.994567020090642</c:v>
                </c:pt>
                <c:pt idx="24">
                  <c:v>9.0589481085131212</c:v>
                </c:pt>
                <c:pt idx="25">
                  <c:v>147.20543412239437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97971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87086</xdr:colOff>
          <xdr:row>6</xdr:row>
          <xdr:rowOff>87086</xdr:rowOff>
        </xdr:from>
        <xdr:to>
          <xdr:col>1</xdr:col>
          <xdr:colOff>658586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67236</xdr:colOff>
      <xdr:row>0</xdr:row>
      <xdr:rowOff>33618</xdr:rowOff>
    </xdr:from>
    <xdr:to>
      <xdr:col>19</xdr:col>
      <xdr:colOff>437030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44825</xdr:colOff>
      <xdr:row>0</xdr:row>
      <xdr:rowOff>22412</xdr:rowOff>
    </xdr:from>
    <xdr:to>
      <xdr:col>7</xdr:col>
      <xdr:colOff>414619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3737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224118</xdr:colOff>
      <xdr:row>0</xdr:row>
      <xdr:rowOff>0</xdr:rowOff>
    </xdr:from>
    <xdr:to>
      <xdr:col>6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7912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603249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479986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67235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9</xdr:col>
      <xdr:colOff>990600</xdr:colOff>
      <xdr:row>62</xdr:row>
      <xdr:rowOff>63500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B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317500</xdr:colOff>
      <xdr:row>0</xdr:row>
      <xdr:rowOff>0</xdr:rowOff>
    </xdr:from>
    <xdr:to>
      <xdr:col>14</xdr:col>
      <xdr:colOff>14194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C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C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C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C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C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C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38099</xdr:rowOff>
    </xdr:from>
    <xdr:to>
      <xdr:col>9</xdr:col>
      <xdr:colOff>28575</xdr:colOff>
      <xdr:row>45</xdr:row>
      <xdr:rowOff>34924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C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C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C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1193800</xdr:colOff>
      <xdr:row>0</xdr:row>
      <xdr:rowOff>12700</xdr:rowOff>
    </xdr:from>
    <xdr:to>
      <xdr:col>11</xdr:col>
      <xdr:colOff>28164</xdr:colOff>
      <xdr:row>2</xdr:row>
      <xdr:rowOff>14194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0" y="12700"/>
          <a:ext cx="383764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280147</xdr:colOff>
      <xdr:row>0</xdr:row>
      <xdr:rowOff>0</xdr:rowOff>
    </xdr:from>
    <xdr:to>
      <xdr:col>14</xdr:col>
      <xdr:colOff>42955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51794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156882</xdr:colOff>
      <xdr:row>0</xdr:row>
      <xdr:rowOff>33618</xdr:rowOff>
    </xdr:from>
    <xdr:to>
      <xdr:col>19</xdr:col>
      <xdr:colOff>524808</xdr:colOff>
      <xdr:row>2</xdr:row>
      <xdr:rowOff>44824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5147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257736</xdr:colOff>
      <xdr:row>0</xdr:row>
      <xdr:rowOff>0</xdr:rowOff>
    </xdr:from>
    <xdr:to>
      <xdr:col>34</xdr:col>
      <xdr:colOff>22412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54177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112058</xdr:colOff>
      <xdr:row>0</xdr:row>
      <xdr:rowOff>11206</xdr:rowOff>
    </xdr:from>
    <xdr:to>
      <xdr:col>32</xdr:col>
      <xdr:colOff>481852</xdr:colOff>
      <xdr:row>2</xdr:row>
      <xdr:rowOff>22412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79029" y="11206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3586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145677</xdr:colOff>
      <xdr:row>0</xdr:row>
      <xdr:rowOff>22413</xdr:rowOff>
    </xdr:from>
    <xdr:to>
      <xdr:col>47</xdr:col>
      <xdr:colOff>515471</xdr:colOff>
      <xdr:row>2</xdr:row>
      <xdr:rowOff>33619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61736" y="22413"/>
          <a:ext cx="369794" cy="369794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63500</xdr:rowOff>
    </xdr:from>
    <xdr:to>
      <xdr:col>9</xdr:col>
      <xdr:colOff>1057275</xdr:colOff>
      <xdr:row>78</xdr:row>
      <xdr:rowOff>130175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139700</xdr:colOff>
      <xdr:row>0</xdr:row>
      <xdr:rowOff>0</xdr:rowOff>
    </xdr:from>
    <xdr:to>
      <xdr:col>13</xdr:col>
      <xdr:colOff>517077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23700" y="0"/>
          <a:ext cx="377377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25401</xdr:rowOff>
    </xdr:from>
    <xdr:to>
      <xdr:col>9</xdr:col>
      <xdr:colOff>1057275</xdr:colOff>
      <xdr:row>147</xdr:row>
      <xdr:rowOff>139701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31750</xdr:colOff>
      <xdr:row>150</xdr:row>
      <xdr:rowOff>15875</xdr:rowOff>
    </xdr:from>
    <xdr:to>
      <xdr:col>9</xdr:col>
      <xdr:colOff>1089025</xdr:colOff>
      <xdr:row>184</xdr:row>
      <xdr:rowOff>117475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164</xdr:row>
      <xdr:rowOff>9525</xdr:rowOff>
    </xdr:from>
    <xdr:to>
      <xdr:col>9</xdr:col>
      <xdr:colOff>9525</xdr:colOff>
      <xdr:row>196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198</xdr:row>
      <xdr:rowOff>190500</xdr:rowOff>
    </xdr:from>
    <xdr:to>
      <xdr:col>9</xdr:col>
      <xdr:colOff>9525</xdr:colOff>
      <xdr:row>231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</xdr:colOff>
      <xdr:row>234</xdr:row>
      <xdr:rowOff>63500</xdr:rowOff>
    </xdr:from>
    <xdr:to>
      <xdr:col>8</xdr:col>
      <xdr:colOff>2114550</xdr:colOff>
      <xdr:row>266</xdr:row>
      <xdr:rowOff>82550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269</xdr:row>
      <xdr:rowOff>0</xdr:rowOff>
    </xdr:from>
    <xdr:to>
      <xdr:col>9</xdr:col>
      <xdr:colOff>9525</xdr:colOff>
      <xdr:row>301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303</xdr:row>
      <xdr:rowOff>190500</xdr:rowOff>
    </xdr:from>
    <xdr:to>
      <xdr:col>8</xdr:col>
      <xdr:colOff>2117725</xdr:colOff>
      <xdr:row>336</xdr:row>
      <xdr:rowOff>25400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339</xdr:row>
      <xdr:rowOff>0</xdr:rowOff>
    </xdr:from>
    <xdr:to>
      <xdr:col>8</xdr:col>
      <xdr:colOff>2114550</xdr:colOff>
      <xdr:row>371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374</xdr:row>
      <xdr:rowOff>0</xdr:rowOff>
    </xdr:from>
    <xdr:to>
      <xdr:col>9</xdr:col>
      <xdr:colOff>9525</xdr:colOff>
      <xdr:row>406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12700</xdr:colOff>
      <xdr:row>409</xdr:row>
      <xdr:rowOff>22225</xdr:rowOff>
    </xdr:from>
    <xdr:to>
      <xdr:col>9</xdr:col>
      <xdr:colOff>12700</xdr:colOff>
      <xdr:row>439</xdr:row>
      <xdr:rowOff>139700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444</xdr:row>
      <xdr:rowOff>0</xdr:rowOff>
    </xdr:from>
    <xdr:to>
      <xdr:col>9</xdr:col>
      <xdr:colOff>9525</xdr:colOff>
      <xdr:row>476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58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12700</xdr:colOff>
      <xdr:row>118</xdr:row>
      <xdr:rowOff>0</xdr:rowOff>
    </xdr:from>
    <xdr:to>
      <xdr:col>9</xdr:col>
      <xdr:colOff>12700</xdr:colOff>
      <xdr:row>161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12700</xdr:colOff>
      <xdr:row>479</xdr:row>
      <xdr:rowOff>12700</xdr:rowOff>
    </xdr:from>
    <xdr:to>
      <xdr:col>9</xdr:col>
      <xdr:colOff>0</xdr:colOff>
      <xdr:row>503</xdr:row>
      <xdr:rowOff>127000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12700</xdr:colOff>
      <xdr:row>506</xdr:row>
      <xdr:rowOff>190500</xdr:rowOff>
    </xdr:from>
    <xdr:to>
      <xdr:col>8</xdr:col>
      <xdr:colOff>2095500</xdr:colOff>
      <xdr:row>532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377377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59</xdr:row>
      <xdr:rowOff>63500</xdr:rowOff>
    </xdr:from>
    <xdr:to>
      <xdr:col>9</xdr:col>
      <xdr:colOff>12700</xdr:colOff>
      <xdr:row>115</xdr:row>
      <xdr:rowOff>41275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18</xdr:col>
      <xdr:colOff>622300</xdr:colOff>
      <xdr:row>29</xdr:row>
      <xdr:rowOff>12700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GrpSpPr/>
      </xdr:nvGrpSpPr>
      <xdr:grpSpPr>
        <a:xfrm>
          <a:off x="0" y="393700"/>
          <a:ext cx="12364357" cy="4285343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6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6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6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6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6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6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6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6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50800</xdr:rowOff>
    </xdr:from>
    <xdr:to>
      <xdr:col>9</xdr:col>
      <xdr:colOff>260351</xdr:colOff>
      <xdr:row>38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375472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12700</xdr:colOff>
      <xdr:row>40</xdr:row>
      <xdr:rowOff>0</xdr:rowOff>
    </xdr:from>
    <xdr:to>
      <xdr:col>9</xdr:col>
      <xdr:colOff>247651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79</xdr:row>
      <xdr:rowOff>0</xdr:rowOff>
    </xdr:from>
    <xdr:to>
      <xdr:col>9</xdr:col>
      <xdr:colOff>247651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371662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9971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A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52</xdr:row>
      <xdr:rowOff>0</xdr:rowOff>
    </xdr:from>
    <xdr:to>
      <xdr:col>8</xdr:col>
      <xdr:colOff>2117725</xdr:colOff>
      <xdr:row>97</xdr:row>
      <xdr:rowOff>57150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377377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83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83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84</xdr:row>
      <xdr:rowOff>85910</xdr:rowOff>
    </xdr:from>
    <xdr:to>
      <xdr:col>30</xdr:col>
      <xdr:colOff>493058</xdr:colOff>
      <xdr:row>109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84</xdr:row>
      <xdr:rowOff>142688</xdr:rowOff>
    </xdr:from>
    <xdr:to>
      <xdr:col>49</xdr:col>
      <xdr:colOff>489698</xdr:colOff>
      <xdr:row>110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111</xdr:row>
      <xdr:rowOff>53041</xdr:rowOff>
    </xdr:from>
    <xdr:to>
      <xdr:col>30</xdr:col>
      <xdr:colOff>518271</xdr:colOff>
      <xdr:row>139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111</xdr:row>
      <xdr:rowOff>53041</xdr:rowOff>
    </xdr:from>
    <xdr:to>
      <xdr:col>40</xdr:col>
      <xdr:colOff>120464</xdr:colOff>
      <xdr:row>139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407185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83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84</xdr:row>
      <xdr:rowOff>134470</xdr:rowOff>
    </xdr:from>
    <xdr:to>
      <xdr:col>40</xdr:col>
      <xdr:colOff>102346</xdr:colOff>
      <xdr:row>109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111</xdr:row>
      <xdr:rowOff>56029</xdr:rowOff>
    </xdr:from>
    <xdr:to>
      <xdr:col>49</xdr:col>
      <xdr:colOff>458133</xdr:colOff>
      <xdr:row>139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291353</xdr:colOff>
      <xdr:row>0</xdr:row>
      <xdr:rowOff>89648</xdr:rowOff>
    </xdr:from>
    <xdr:to>
      <xdr:col>31</xdr:col>
      <xdr:colOff>73137</xdr:colOff>
      <xdr:row>2</xdr:row>
      <xdr:rowOff>20732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62706" y="89648"/>
          <a:ext cx="371662" cy="36979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118223</xdr:rowOff>
    </xdr:from>
    <xdr:to>
      <xdr:col>11</xdr:col>
      <xdr:colOff>586068</xdr:colOff>
      <xdr:row>31</xdr:row>
      <xdr:rowOff>156323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E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22411</xdr:colOff>
      <xdr:row>0</xdr:row>
      <xdr:rowOff>0</xdr:rowOff>
    </xdr:from>
    <xdr:to>
      <xdr:col>14</xdr:col>
      <xdr:colOff>392168</xdr:colOff>
      <xdr:row>2</xdr:row>
      <xdr:rowOff>9301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4058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460337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460301</xdr:colOff>
      <xdr:row>2</xdr:row>
      <xdr:rowOff>28986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6" sqref="B6"/>
    </sheetView>
  </sheetViews>
  <sheetFormatPr defaultRowHeight="12.45" x14ac:dyDescent="0.3"/>
  <cols>
    <col min="1" max="1" width="16.4609375" customWidth="1"/>
  </cols>
  <sheetData>
    <row r="1" spans="1:10" x14ac:dyDescent="0.3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3">
      <c r="A2" t="s">
        <v>140</v>
      </c>
      <c r="B2" s="82" t="s">
        <v>545</v>
      </c>
      <c r="C2" t="s">
        <v>528</v>
      </c>
      <c r="D2" t="s">
        <v>527</v>
      </c>
    </row>
    <row r="3" spans="1:10" x14ac:dyDescent="0.3">
      <c r="B3" s="82"/>
    </row>
    <row r="11" spans="1:10" x14ac:dyDescent="0.3">
      <c r="A11" t="s">
        <v>141</v>
      </c>
      <c r="B11" s="82" t="s">
        <v>545</v>
      </c>
    </row>
    <row r="12" spans="1:10" x14ac:dyDescent="0.3">
      <c r="B12" s="82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zoomScale="75" zoomScaleNormal="75" workbookViewId="0"/>
  </sheetViews>
  <sheetFormatPr defaultColWidth="10.4609375" defaultRowHeight="12.45" x14ac:dyDescent="0.3"/>
  <cols>
    <col min="1" max="13" width="11.53515625" style="214" customWidth="1"/>
    <col min="14" max="256" width="10.4609375" style="214"/>
    <col min="257" max="269" width="11.53515625" style="214" customWidth="1"/>
    <col min="270" max="512" width="10.4609375" style="214"/>
    <col min="513" max="525" width="11.53515625" style="214" customWidth="1"/>
    <col min="526" max="768" width="10.4609375" style="214"/>
    <col min="769" max="781" width="11.53515625" style="214" customWidth="1"/>
    <col min="782" max="1024" width="10.4609375" style="214"/>
    <col min="1025" max="1037" width="11.53515625" style="214" customWidth="1"/>
    <col min="1038" max="1280" width="10.4609375" style="214"/>
    <col min="1281" max="1293" width="11.53515625" style="214" customWidth="1"/>
    <col min="1294" max="1536" width="10.4609375" style="214"/>
    <col min="1537" max="1549" width="11.53515625" style="214" customWidth="1"/>
    <col min="1550" max="1792" width="10.4609375" style="214"/>
    <col min="1793" max="1805" width="11.53515625" style="214" customWidth="1"/>
    <col min="1806" max="2048" width="10.4609375" style="214"/>
    <col min="2049" max="2061" width="11.53515625" style="214" customWidth="1"/>
    <col min="2062" max="2304" width="10.4609375" style="214"/>
    <col min="2305" max="2317" width="11.53515625" style="214" customWidth="1"/>
    <col min="2318" max="2560" width="10.4609375" style="214"/>
    <col min="2561" max="2573" width="11.53515625" style="214" customWidth="1"/>
    <col min="2574" max="2816" width="10.4609375" style="214"/>
    <col min="2817" max="2829" width="11.53515625" style="214" customWidth="1"/>
    <col min="2830" max="3072" width="10.4609375" style="214"/>
    <col min="3073" max="3085" width="11.53515625" style="214" customWidth="1"/>
    <col min="3086" max="3328" width="10.4609375" style="214"/>
    <col min="3329" max="3341" width="11.53515625" style="214" customWidth="1"/>
    <col min="3342" max="3584" width="10.4609375" style="214"/>
    <col min="3585" max="3597" width="11.53515625" style="214" customWidth="1"/>
    <col min="3598" max="3840" width="10.4609375" style="214"/>
    <col min="3841" max="3853" width="11.53515625" style="214" customWidth="1"/>
    <col min="3854" max="4096" width="10.4609375" style="214"/>
    <col min="4097" max="4109" width="11.53515625" style="214" customWidth="1"/>
    <col min="4110" max="4352" width="10.4609375" style="214"/>
    <col min="4353" max="4365" width="11.53515625" style="214" customWidth="1"/>
    <col min="4366" max="4608" width="10.4609375" style="214"/>
    <col min="4609" max="4621" width="11.53515625" style="214" customWidth="1"/>
    <col min="4622" max="4864" width="10.4609375" style="214"/>
    <col min="4865" max="4877" width="11.53515625" style="214" customWidth="1"/>
    <col min="4878" max="5120" width="10.4609375" style="214"/>
    <col min="5121" max="5133" width="11.53515625" style="214" customWidth="1"/>
    <col min="5134" max="5376" width="10.4609375" style="214"/>
    <col min="5377" max="5389" width="11.53515625" style="214" customWidth="1"/>
    <col min="5390" max="5632" width="10.4609375" style="214"/>
    <col min="5633" max="5645" width="11.53515625" style="214" customWidth="1"/>
    <col min="5646" max="5888" width="10.4609375" style="214"/>
    <col min="5889" max="5901" width="11.53515625" style="214" customWidth="1"/>
    <col min="5902" max="6144" width="10.4609375" style="214"/>
    <col min="6145" max="6157" width="11.53515625" style="214" customWidth="1"/>
    <col min="6158" max="6400" width="10.4609375" style="214"/>
    <col min="6401" max="6413" width="11.53515625" style="214" customWidth="1"/>
    <col min="6414" max="6656" width="10.4609375" style="214"/>
    <col min="6657" max="6669" width="11.53515625" style="214" customWidth="1"/>
    <col min="6670" max="6912" width="10.4609375" style="214"/>
    <col min="6913" max="6925" width="11.53515625" style="214" customWidth="1"/>
    <col min="6926" max="7168" width="10.4609375" style="214"/>
    <col min="7169" max="7181" width="11.53515625" style="214" customWidth="1"/>
    <col min="7182" max="7424" width="10.4609375" style="214"/>
    <col min="7425" max="7437" width="11.53515625" style="214" customWidth="1"/>
    <col min="7438" max="7680" width="10.4609375" style="214"/>
    <col min="7681" max="7693" width="11.53515625" style="214" customWidth="1"/>
    <col min="7694" max="7936" width="10.4609375" style="214"/>
    <col min="7937" max="7949" width="11.53515625" style="214" customWidth="1"/>
    <col min="7950" max="8192" width="10.4609375" style="214"/>
    <col min="8193" max="8205" width="11.53515625" style="214" customWidth="1"/>
    <col min="8206" max="8448" width="10.4609375" style="214"/>
    <col min="8449" max="8461" width="11.53515625" style="214" customWidth="1"/>
    <col min="8462" max="8704" width="10.4609375" style="214"/>
    <col min="8705" max="8717" width="11.53515625" style="214" customWidth="1"/>
    <col min="8718" max="8960" width="10.4609375" style="214"/>
    <col min="8961" max="8973" width="11.53515625" style="214" customWidth="1"/>
    <col min="8974" max="9216" width="10.4609375" style="214"/>
    <col min="9217" max="9229" width="11.53515625" style="214" customWidth="1"/>
    <col min="9230" max="9472" width="10.4609375" style="214"/>
    <col min="9473" max="9485" width="11.53515625" style="214" customWidth="1"/>
    <col min="9486" max="9728" width="10.4609375" style="214"/>
    <col min="9729" max="9741" width="11.53515625" style="214" customWidth="1"/>
    <col min="9742" max="9984" width="10.4609375" style="214"/>
    <col min="9985" max="9997" width="11.53515625" style="214" customWidth="1"/>
    <col min="9998" max="10240" width="10.4609375" style="214"/>
    <col min="10241" max="10253" width="11.53515625" style="214" customWidth="1"/>
    <col min="10254" max="10496" width="10.4609375" style="214"/>
    <col min="10497" max="10509" width="11.53515625" style="214" customWidth="1"/>
    <col min="10510" max="10752" width="10.4609375" style="214"/>
    <col min="10753" max="10765" width="11.53515625" style="214" customWidth="1"/>
    <col min="10766" max="11008" width="10.4609375" style="214"/>
    <col min="11009" max="11021" width="11.53515625" style="214" customWidth="1"/>
    <col min="11022" max="11264" width="10.4609375" style="214"/>
    <col min="11265" max="11277" width="11.53515625" style="214" customWidth="1"/>
    <col min="11278" max="11520" width="10.4609375" style="214"/>
    <col min="11521" max="11533" width="11.53515625" style="214" customWidth="1"/>
    <col min="11534" max="11776" width="10.4609375" style="214"/>
    <col min="11777" max="11789" width="11.53515625" style="214" customWidth="1"/>
    <col min="11790" max="12032" width="10.4609375" style="214"/>
    <col min="12033" max="12045" width="11.53515625" style="214" customWidth="1"/>
    <col min="12046" max="12288" width="10.4609375" style="214"/>
    <col min="12289" max="12301" width="11.53515625" style="214" customWidth="1"/>
    <col min="12302" max="12544" width="10.4609375" style="214"/>
    <col min="12545" max="12557" width="11.53515625" style="214" customWidth="1"/>
    <col min="12558" max="12800" width="10.4609375" style="214"/>
    <col min="12801" max="12813" width="11.53515625" style="214" customWidth="1"/>
    <col min="12814" max="13056" width="10.4609375" style="214"/>
    <col min="13057" max="13069" width="11.53515625" style="214" customWidth="1"/>
    <col min="13070" max="13312" width="10.4609375" style="214"/>
    <col min="13313" max="13325" width="11.53515625" style="214" customWidth="1"/>
    <col min="13326" max="13568" width="10.4609375" style="214"/>
    <col min="13569" max="13581" width="11.53515625" style="214" customWidth="1"/>
    <col min="13582" max="13824" width="10.4609375" style="214"/>
    <col min="13825" max="13837" width="11.53515625" style="214" customWidth="1"/>
    <col min="13838" max="14080" width="10.4609375" style="214"/>
    <col min="14081" max="14093" width="11.53515625" style="214" customWidth="1"/>
    <col min="14094" max="14336" width="10.4609375" style="214"/>
    <col min="14337" max="14349" width="11.53515625" style="214" customWidth="1"/>
    <col min="14350" max="14592" width="10.4609375" style="214"/>
    <col min="14593" max="14605" width="11.53515625" style="214" customWidth="1"/>
    <col min="14606" max="14848" width="10.4609375" style="214"/>
    <col min="14849" max="14861" width="11.53515625" style="214" customWidth="1"/>
    <col min="14862" max="15104" width="10.4609375" style="214"/>
    <col min="15105" max="15117" width="11.53515625" style="214" customWidth="1"/>
    <col min="15118" max="15360" width="10.4609375" style="214"/>
    <col min="15361" max="15373" width="11.53515625" style="214" customWidth="1"/>
    <col min="15374" max="15616" width="10.4609375" style="214"/>
    <col min="15617" max="15629" width="11.53515625" style="214" customWidth="1"/>
    <col min="15630" max="15872" width="10.4609375" style="214"/>
    <col min="15873" max="15885" width="11.53515625" style="214" customWidth="1"/>
    <col min="15886" max="16128" width="10.4609375" style="214"/>
    <col min="16129" max="16141" width="11.53515625" style="214" customWidth="1"/>
    <col min="16142" max="16384" width="10.4609375" style="214"/>
  </cols>
  <sheetData>
    <row r="1" spans="1:14" ht="12.9" x14ac:dyDescent="0.35">
      <c r="A1" s="348"/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48"/>
    </row>
    <row r="2" spans="1:14" ht="18.75" customHeight="1" x14ac:dyDescent="0.35">
      <c r="A2" s="348"/>
      <c r="B2" s="348"/>
      <c r="C2" s="348"/>
      <c r="D2" s="348"/>
      <c r="E2" s="348"/>
      <c r="F2" s="365" t="s">
        <v>145</v>
      </c>
      <c r="G2" s="365"/>
      <c r="H2" s="365"/>
      <c r="I2" s="348"/>
      <c r="J2" s="348"/>
      <c r="K2" s="348"/>
      <c r="L2" s="348"/>
      <c r="M2" s="348"/>
      <c r="N2" s="348"/>
    </row>
    <row r="3" spans="1:14" ht="18.75" customHeight="1" x14ac:dyDescent="0.35">
      <c r="A3" s="348"/>
      <c r="B3" s="348"/>
      <c r="C3" s="366" t="s">
        <v>467</v>
      </c>
      <c r="D3" s="366"/>
      <c r="E3" s="366"/>
      <c r="F3" s="366"/>
      <c r="G3" s="366"/>
      <c r="H3" s="366"/>
      <c r="I3" s="366"/>
      <c r="J3" s="366"/>
      <c r="K3" s="366"/>
      <c r="L3" s="348"/>
      <c r="M3" s="348"/>
      <c r="N3" s="348"/>
    </row>
    <row r="4" spans="1:14" ht="18.75" customHeight="1" x14ac:dyDescent="0.35">
      <c r="A4" s="348"/>
      <c r="B4" s="348"/>
      <c r="C4" s="366" t="s">
        <v>468</v>
      </c>
      <c r="D4" s="366"/>
      <c r="E4" s="366"/>
      <c r="F4" s="366"/>
      <c r="G4" s="366"/>
      <c r="H4" s="366"/>
      <c r="I4" s="366"/>
      <c r="J4" s="366"/>
      <c r="K4" s="366"/>
      <c r="L4" s="348"/>
      <c r="M4" s="348"/>
      <c r="N4" s="348"/>
    </row>
    <row r="5" spans="1:14" ht="18.75" customHeight="1" x14ac:dyDescent="0.35">
      <c r="A5" s="348"/>
      <c r="B5" s="348"/>
      <c r="C5" s="348"/>
      <c r="D5" s="348"/>
      <c r="E5" s="348"/>
      <c r="F5" s="348"/>
      <c r="G5" s="350" t="s">
        <v>146</v>
      </c>
      <c r="H5" s="348"/>
      <c r="I5" s="348"/>
      <c r="J5" s="348"/>
      <c r="K5" s="348"/>
      <c r="L5" s="348"/>
      <c r="M5" s="348"/>
      <c r="N5" s="348"/>
    </row>
    <row r="6" spans="1:14" ht="12.75" customHeight="1" x14ac:dyDescent="0.35">
      <c r="A6" s="348"/>
      <c r="B6" s="348"/>
      <c r="C6" s="348"/>
      <c r="D6" s="348"/>
      <c r="E6" s="348"/>
      <c r="F6" s="348"/>
      <c r="G6" s="348"/>
      <c r="H6" s="348"/>
      <c r="I6" s="348"/>
      <c r="J6" s="348"/>
      <c r="K6" s="348"/>
      <c r="L6" s="348"/>
      <c r="M6" s="348"/>
      <c r="N6" s="348"/>
    </row>
    <row r="7" spans="1:14" ht="19.5" customHeight="1" x14ac:dyDescent="0.35">
      <c r="A7" s="348"/>
      <c r="B7" s="348"/>
      <c r="C7" s="367" t="s">
        <v>147</v>
      </c>
      <c r="D7" s="367"/>
      <c r="E7" s="367"/>
      <c r="F7" s="367"/>
      <c r="G7" s="367"/>
      <c r="H7" s="367"/>
      <c r="I7" s="367"/>
      <c r="J7" s="367"/>
      <c r="K7" s="367"/>
      <c r="L7" s="348"/>
      <c r="M7" s="348"/>
      <c r="N7" s="348"/>
    </row>
    <row r="8" spans="1:14" ht="18.75" customHeight="1" x14ac:dyDescent="0.35">
      <c r="A8" s="348"/>
      <c r="B8" s="348"/>
      <c r="C8" s="368" t="s">
        <v>148</v>
      </c>
      <c r="D8" s="368"/>
      <c r="E8" s="368"/>
      <c r="F8" s="368"/>
      <c r="G8" s="368"/>
      <c r="H8" s="368"/>
      <c r="I8" s="368"/>
      <c r="J8" s="368"/>
      <c r="K8" s="368"/>
      <c r="L8" s="348"/>
      <c r="M8" s="348"/>
      <c r="N8" s="348"/>
    </row>
    <row r="9" spans="1:14" ht="18.75" customHeight="1" x14ac:dyDescent="0.35">
      <c r="A9" s="348"/>
      <c r="B9" s="368" t="s">
        <v>149</v>
      </c>
      <c r="C9" s="368"/>
      <c r="D9" s="368"/>
      <c r="E9" s="368"/>
      <c r="F9" s="368"/>
      <c r="G9" s="368"/>
      <c r="H9" s="368"/>
      <c r="I9" s="368"/>
      <c r="J9" s="368"/>
      <c r="K9" s="368"/>
      <c r="L9" s="368"/>
      <c r="M9" s="349"/>
      <c r="N9" s="348"/>
    </row>
    <row r="10" spans="1:14" ht="18.75" customHeight="1" x14ac:dyDescent="0.35">
      <c r="A10" s="348"/>
      <c r="B10" s="349"/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  <c r="N10" s="348"/>
    </row>
    <row r="11" spans="1:14" ht="12.9" x14ac:dyDescent="0.35">
      <c r="A11" s="348"/>
      <c r="B11" s="348"/>
      <c r="C11" s="348"/>
      <c r="D11" s="348"/>
      <c r="E11" s="348"/>
      <c r="F11" s="348"/>
      <c r="G11" s="348"/>
      <c r="H11" s="348"/>
      <c r="I11" s="348"/>
      <c r="J11" s="348"/>
      <c r="K11" s="348"/>
      <c r="L11" s="348"/>
      <c r="M11" s="348"/>
      <c r="N11" s="348"/>
    </row>
    <row r="12" spans="1:14" ht="15.45" x14ac:dyDescent="0.35">
      <c r="A12" s="348"/>
      <c r="B12" s="348"/>
      <c r="C12" s="348"/>
      <c r="D12" s="348"/>
      <c r="E12" s="348"/>
      <c r="F12" s="348"/>
      <c r="G12" s="215" t="s">
        <v>526</v>
      </c>
      <c r="H12" s="348"/>
      <c r="I12" s="348"/>
      <c r="J12" s="348"/>
      <c r="K12" s="348"/>
      <c r="L12" s="348"/>
      <c r="M12" s="348"/>
      <c r="N12" s="348"/>
    </row>
    <row r="13" spans="1:14" ht="12.9" x14ac:dyDescent="0.35">
      <c r="A13" s="348"/>
      <c r="B13" s="348"/>
      <c r="C13" s="348"/>
      <c r="D13" s="348"/>
      <c r="E13" s="348"/>
      <c r="F13" s="348"/>
      <c r="G13" s="348"/>
      <c r="H13" s="348"/>
      <c r="I13" s="348"/>
      <c r="J13" s="348"/>
      <c r="K13" s="348"/>
      <c r="L13" s="348"/>
      <c r="M13" s="348"/>
      <c r="N13" s="348"/>
    </row>
    <row r="14" spans="1:14" ht="13.3" thickBot="1" x14ac:dyDescent="0.4">
      <c r="A14" s="348"/>
      <c r="B14" s="348"/>
      <c r="C14" s="348"/>
      <c r="D14" s="348"/>
      <c r="E14" s="348"/>
      <c r="F14" s="348"/>
      <c r="G14" s="348"/>
      <c r="H14" s="348"/>
      <c r="I14" s="348"/>
      <c r="J14" s="348"/>
      <c r="K14" s="348"/>
      <c r="L14" s="348"/>
      <c r="M14" s="348"/>
      <c r="N14" s="348"/>
    </row>
    <row r="15" spans="1:14" ht="15.45" x14ac:dyDescent="0.35">
      <c r="A15" s="216"/>
      <c r="B15" s="217"/>
      <c r="C15" s="218"/>
      <c r="D15" s="218"/>
      <c r="E15" s="218"/>
      <c r="F15" s="218"/>
      <c r="G15" s="219" t="s">
        <v>150</v>
      </c>
      <c r="H15" s="218"/>
      <c r="I15" s="218"/>
      <c r="J15" s="218"/>
      <c r="K15" s="218"/>
      <c r="L15" s="220"/>
      <c r="M15" s="348"/>
      <c r="N15" s="348"/>
    </row>
    <row r="16" spans="1:14" ht="15" x14ac:dyDescent="0.35">
      <c r="A16" s="216"/>
      <c r="B16" s="221"/>
      <c r="C16" s="348"/>
      <c r="D16" s="348"/>
      <c r="E16" s="348"/>
      <c r="F16" s="348"/>
      <c r="G16" s="222" t="s">
        <v>151</v>
      </c>
      <c r="H16" s="348"/>
      <c r="I16" s="348"/>
      <c r="J16" s="348"/>
      <c r="K16" s="348"/>
      <c r="L16" s="223"/>
      <c r="M16" s="348"/>
      <c r="N16" s="348"/>
    </row>
    <row r="17" spans="1:14" ht="15" x14ac:dyDescent="0.35">
      <c r="A17" s="216"/>
      <c r="B17" s="221"/>
      <c r="C17" s="348"/>
      <c r="D17" s="348"/>
      <c r="E17" s="348"/>
      <c r="F17" s="348"/>
      <c r="G17" s="222" t="s">
        <v>152</v>
      </c>
      <c r="H17" s="348"/>
      <c r="I17" s="348"/>
      <c r="J17" s="348"/>
      <c r="K17" s="348"/>
      <c r="L17" s="223"/>
      <c r="M17" s="348"/>
      <c r="N17" s="348"/>
    </row>
    <row r="18" spans="1:14" ht="15" x14ac:dyDescent="0.35">
      <c r="A18" s="216"/>
      <c r="B18" s="221"/>
      <c r="C18" s="348"/>
      <c r="D18" s="348"/>
      <c r="E18" s="348"/>
      <c r="F18" s="348"/>
      <c r="G18" s="222" t="s">
        <v>529</v>
      </c>
      <c r="H18" s="348"/>
      <c r="I18" s="348"/>
      <c r="J18" s="348"/>
      <c r="K18" s="348"/>
      <c r="L18" s="223"/>
      <c r="M18" s="348"/>
      <c r="N18" s="348"/>
    </row>
    <row r="19" spans="1:14" ht="15" x14ac:dyDescent="0.35">
      <c r="A19" s="216"/>
      <c r="B19" s="221"/>
      <c r="C19" s="348"/>
      <c r="D19" s="348"/>
      <c r="E19" s="348"/>
      <c r="F19" s="348"/>
      <c r="G19" s="222"/>
      <c r="H19" s="348"/>
      <c r="I19" s="348"/>
      <c r="J19" s="348"/>
      <c r="K19" s="348"/>
      <c r="L19" s="223"/>
      <c r="M19" s="348"/>
      <c r="N19" s="348"/>
    </row>
    <row r="20" spans="1:14" ht="15" x14ac:dyDescent="0.35">
      <c r="A20" s="216"/>
      <c r="B20" s="221"/>
      <c r="C20" s="348"/>
      <c r="D20" s="348"/>
      <c r="E20" s="348"/>
      <c r="F20" s="348"/>
      <c r="G20" s="222" t="s">
        <v>530</v>
      </c>
      <c r="H20" s="348"/>
      <c r="I20" s="348"/>
      <c r="J20" s="348"/>
      <c r="K20" s="348"/>
      <c r="L20" s="223"/>
      <c r="M20" s="348"/>
      <c r="N20" s="348"/>
    </row>
    <row r="21" spans="1:14" ht="15" x14ac:dyDescent="0.35">
      <c r="A21" s="216"/>
      <c r="B21" s="221"/>
      <c r="C21" s="348"/>
      <c r="D21" s="348"/>
      <c r="E21" s="348"/>
      <c r="F21" s="348"/>
      <c r="G21" s="348"/>
      <c r="H21" s="348"/>
      <c r="I21" s="348"/>
      <c r="J21" s="348"/>
      <c r="K21" s="348"/>
      <c r="L21" s="223"/>
      <c r="M21" s="348"/>
      <c r="N21" s="348"/>
    </row>
    <row r="22" spans="1:14" ht="15" x14ac:dyDescent="0.35">
      <c r="A22" s="216"/>
      <c r="B22" s="221"/>
      <c r="C22" s="348"/>
      <c r="D22" s="348"/>
      <c r="E22" s="348"/>
      <c r="F22" s="348"/>
      <c r="G22" s="351" t="s">
        <v>531</v>
      </c>
      <c r="H22" s="348"/>
      <c r="I22" s="348"/>
      <c r="J22" s="348"/>
      <c r="K22" s="348"/>
      <c r="L22" s="223"/>
      <c r="M22" s="348"/>
      <c r="N22" s="348"/>
    </row>
    <row r="23" spans="1:14" ht="15" x14ac:dyDescent="0.35">
      <c r="A23" s="216"/>
      <c r="B23" s="221"/>
      <c r="C23" s="348"/>
      <c r="D23" s="348"/>
      <c r="E23" s="348"/>
      <c r="F23" s="348"/>
      <c r="G23" s="351" t="s">
        <v>469</v>
      </c>
      <c r="H23" s="348"/>
      <c r="I23" s="348"/>
      <c r="J23" s="348"/>
      <c r="K23" s="348"/>
      <c r="L23" s="223"/>
      <c r="M23" s="348"/>
      <c r="N23" s="348"/>
    </row>
    <row r="24" spans="1:14" ht="15" x14ac:dyDescent="0.35">
      <c r="A24" s="216"/>
      <c r="B24" s="221"/>
      <c r="C24" s="348"/>
      <c r="D24" s="348"/>
      <c r="E24" s="348"/>
      <c r="F24" s="348"/>
      <c r="G24" s="351" t="s">
        <v>470</v>
      </c>
      <c r="H24" s="348"/>
      <c r="I24" s="348"/>
      <c r="J24" s="348"/>
      <c r="K24" s="348"/>
      <c r="L24" s="223"/>
      <c r="M24" s="348"/>
      <c r="N24" s="348"/>
    </row>
    <row r="25" spans="1:14" ht="15" x14ac:dyDescent="0.35">
      <c r="A25" s="216"/>
      <c r="B25" s="221"/>
      <c r="C25" s="348"/>
      <c r="D25" s="348"/>
      <c r="E25" s="348"/>
      <c r="F25" s="348"/>
      <c r="G25" s="225"/>
      <c r="H25" s="348"/>
      <c r="I25" s="348"/>
      <c r="J25" s="348"/>
      <c r="K25" s="348"/>
      <c r="L25" s="223"/>
      <c r="M25" s="348"/>
      <c r="N25" s="348"/>
    </row>
    <row r="26" spans="1:14" ht="15" x14ac:dyDescent="0.35">
      <c r="A26" s="216"/>
      <c r="B26" s="221"/>
      <c r="C26" s="348"/>
      <c r="D26" s="348"/>
      <c r="E26" s="348"/>
      <c r="F26" s="348"/>
      <c r="G26" s="222" t="s">
        <v>155</v>
      </c>
      <c r="H26" s="348"/>
      <c r="I26" s="348"/>
      <c r="J26" s="348"/>
      <c r="K26" s="348"/>
      <c r="L26" s="223"/>
      <c r="M26" s="348"/>
      <c r="N26" s="348"/>
    </row>
    <row r="27" spans="1:14" ht="15" x14ac:dyDescent="0.35">
      <c r="A27" s="216"/>
      <c r="B27" s="221"/>
      <c r="C27" s="348"/>
      <c r="D27" s="348"/>
      <c r="E27" s="348"/>
      <c r="F27" s="348"/>
      <c r="G27" s="222" t="s">
        <v>471</v>
      </c>
      <c r="H27" s="348"/>
      <c r="I27" s="348"/>
      <c r="J27" s="348"/>
      <c r="K27" s="348"/>
      <c r="L27" s="223"/>
      <c r="M27" s="348"/>
      <c r="N27" s="348"/>
    </row>
    <row r="28" spans="1:14" ht="15" x14ac:dyDescent="0.35">
      <c r="A28" s="216"/>
      <c r="B28" s="221"/>
      <c r="C28" s="348"/>
      <c r="D28" s="348"/>
      <c r="E28" s="348"/>
      <c r="F28" s="348"/>
      <c r="G28" s="351" t="s">
        <v>472</v>
      </c>
      <c r="H28" s="348"/>
      <c r="I28" s="348"/>
      <c r="J28" s="348"/>
      <c r="K28" s="348"/>
      <c r="L28" s="223"/>
      <c r="M28" s="348"/>
      <c r="N28" s="348"/>
    </row>
    <row r="29" spans="1:14" ht="15" x14ac:dyDescent="0.35">
      <c r="A29" s="216"/>
      <c r="B29" s="221"/>
      <c r="C29" s="348"/>
      <c r="D29" s="348"/>
      <c r="E29" s="348"/>
      <c r="F29" s="348"/>
      <c r="G29" s="222" t="s">
        <v>156</v>
      </c>
      <c r="H29" s="348"/>
      <c r="I29" s="348"/>
      <c r="J29" s="348"/>
      <c r="K29" s="348"/>
      <c r="L29" s="223"/>
      <c r="M29" s="348"/>
      <c r="N29" s="348"/>
    </row>
    <row r="30" spans="1:14" ht="15" x14ac:dyDescent="0.35">
      <c r="A30" s="216"/>
      <c r="B30" s="221"/>
      <c r="C30" s="348"/>
      <c r="D30" s="348"/>
      <c r="E30" s="348"/>
      <c r="F30" s="348"/>
      <c r="G30" s="222" t="s">
        <v>157</v>
      </c>
      <c r="H30" s="348"/>
      <c r="I30" s="348"/>
      <c r="J30" s="348"/>
      <c r="K30" s="348"/>
      <c r="L30" s="223"/>
      <c r="M30" s="348"/>
      <c r="N30" s="348"/>
    </row>
    <row r="31" spans="1:14" ht="15" x14ac:dyDescent="0.35">
      <c r="A31" s="216"/>
      <c r="B31" s="221"/>
      <c r="C31" s="348"/>
      <c r="D31" s="348"/>
      <c r="E31" s="348"/>
      <c r="F31" s="348"/>
      <c r="G31" s="348"/>
      <c r="H31" s="348"/>
      <c r="I31" s="348"/>
      <c r="J31" s="348"/>
      <c r="K31" s="348"/>
      <c r="L31" s="223"/>
      <c r="M31" s="348"/>
      <c r="N31" s="348"/>
    </row>
    <row r="32" spans="1:14" ht="15" x14ac:dyDescent="0.35">
      <c r="A32" s="216"/>
      <c r="B32" s="221"/>
      <c r="C32" s="348"/>
      <c r="D32" s="348"/>
      <c r="E32" s="348"/>
      <c r="F32" s="348"/>
      <c r="G32" s="222" t="s">
        <v>153</v>
      </c>
      <c r="H32" s="348"/>
      <c r="I32" s="348"/>
      <c r="J32" s="348"/>
      <c r="K32" s="348"/>
      <c r="L32" s="223"/>
      <c r="M32" s="348"/>
      <c r="N32" s="348"/>
    </row>
    <row r="33" spans="1:14" ht="15" x14ac:dyDescent="0.35">
      <c r="A33" s="216"/>
      <c r="B33" s="221"/>
      <c r="C33" s="348"/>
      <c r="D33" s="348"/>
      <c r="E33" s="348"/>
      <c r="F33" s="348"/>
      <c r="G33" s="351" t="s">
        <v>473</v>
      </c>
      <c r="H33" s="348"/>
      <c r="I33" s="348"/>
      <c r="J33" s="348"/>
      <c r="K33" s="348"/>
      <c r="L33" s="223"/>
      <c r="M33" s="348"/>
      <c r="N33" s="348"/>
    </row>
    <row r="34" spans="1:14" ht="15" x14ac:dyDescent="0.35">
      <c r="A34" s="216"/>
      <c r="B34" s="221"/>
      <c r="C34" s="348"/>
      <c r="D34" s="348"/>
      <c r="E34" s="348"/>
      <c r="F34" s="348"/>
      <c r="G34" s="222" t="s">
        <v>154</v>
      </c>
      <c r="H34" s="348"/>
      <c r="I34" s="348"/>
      <c r="J34" s="348"/>
      <c r="K34" s="348"/>
      <c r="L34" s="223"/>
      <c r="M34" s="348"/>
      <c r="N34" s="348"/>
    </row>
    <row r="35" spans="1:14" ht="15" x14ac:dyDescent="0.35">
      <c r="A35" s="216"/>
      <c r="B35" s="221"/>
      <c r="C35" s="348"/>
      <c r="D35" s="348"/>
      <c r="E35" s="348"/>
      <c r="F35" s="348"/>
      <c r="G35" s="348"/>
      <c r="H35" s="348"/>
      <c r="I35" s="348"/>
      <c r="J35" s="348"/>
      <c r="K35" s="348"/>
      <c r="L35" s="223"/>
      <c r="M35" s="348"/>
      <c r="N35" s="348"/>
    </row>
    <row r="36" spans="1:14" ht="15.45" x14ac:dyDescent="0.35">
      <c r="A36" s="216"/>
      <c r="B36" s="224"/>
      <c r="C36" s="348"/>
      <c r="D36" s="348"/>
      <c r="E36" s="348"/>
      <c r="F36" s="348"/>
      <c r="G36" s="222" t="s">
        <v>532</v>
      </c>
      <c r="H36" s="348"/>
      <c r="I36" s="348"/>
      <c r="J36" s="348"/>
      <c r="K36" s="348"/>
      <c r="L36" s="223"/>
      <c r="M36" s="348"/>
      <c r="N36" s="348"/>
    </row>
    <row r="37" spans="1:14" ht="15.45" x14ac:dyDescent="0.35">
      <c r="A37" s="216"/>
      <c r="B37" s="224"/>
      <c r="C37" s="348"/>
      <c r="D37" s="348"/>
      <c r="E37" s="348"/>
      <c r="F37" s="348"/>
      <c r="G37" s="348"/>
      <c r="H37" s="348"/>
      <c r="I37" s="348"/>
      <c r="J37" s="348"/>
      <c r="K37" s="348"/>
      <c r="L37" s="223"/>
      <c r="M37" s="348"/>
      <c r="N37" s="348"/>
    </row>
    <row r="38" spans="1:14" ht="15" x14ac:dyDescent="0.35">
      <c r="A38" s="348"/>
      <c r="B38" s="357"/>
      <c r="C38" s="356"/>
      <c r="D38" s="356"/>
      <c r="E38" s="356"/>
      <c r="F38" s="356"/>
      <c r="G38" s="222" t="s">
        <v>158</v>
      </c>
      <c r="H38" s="356"/>
      <c r="I38" s="356"/>
      <c r="J38" s="356"/>
      <c r="K38" s="356"/>
      <c r="L38" s="223"/>
      <c r="M38" s="348"/>
      <c r="N38" s="348"/>
    </row>
    <row r="39" spans="1:14" ht="15" x14ac:dyDescent="0.35">
      <c r="A39" s="348"/>
      <c r="B39" s="358"/>
      <c r="C39" s="348"/>
      <c r="D39" s="348"/>
      <c r="E39" s="348"/>
      <c r="F39" s="348"/>
      <c r="G39" s="222" t="s">
        <v>159</v>
      </c>
      <c r="H39" s="348"/>
      <c r="I39" s="348"/>
      <c r="J39" s="348"/>
      <c r="K39" s="348"/>
      <c r="L39" s="216"/>
      <c r="M39" s="348"/>
      <c r="N39" s="348"/>
    </row>
    <row r="40" spans="1:14" ht="13.3" thickBot="1" x14ac:dyDescent="0.4">
      <c r="A40" s="348"/>
      <c r="B40" s="359"/>
      <c r="C40" s="360"/>
      <c r="D40" s="360"/>
      <c r="E40" s="360"/>
      <c r="F40" s="360"/>
      <c r="G40" s="360"/>
      <c r="H40" s="360"/>
      <c r="I40" s="360"/>
      <c r="J40" s="360"/>
      <c r="K40" s="360"/>
      <c r="L40" s="361"/>
      <c r="M40" s="348"/>
      <c r="N40" s="348"/>
    </row>
    <row r="41" spans="1:14" x14ac:dyDescent="0.3">
      <c r="A41" s="369"/>
      <c r="B41" s="369"/>
      <c r="C41" s="369"/>
      <c r="D41" s="369"/>
      <c r="E41" s="369"/>
      <c r="F41" s="369"/>
      <c r="G41" s="369"/>
      <c r="H41" s="364"/>
      <c r="I41" s="364"/>
      <c r="J41" s="364"/>
      <c r="K41" s="364"/>
      <c r="L41" s="364"/>
      <c r="M41" s="364"/>
      <c r="N41" s="364"/>
    </row>
    <row r="42" spans="1:14" x14ac:dyDescent="0.3">
      <c r="A42" s="369"/>
      <c r="B42" s="369"/>
      <c r="C42" s="369"/>
      <c r="D42" s="369"/>
      <c r="E42" s="369"/>
      <c r="F42" s="369"/>
      <c r="G42" s="369"/>
      <c r="H42" s="364"/>
      <c r="I42" s="364"/>
      <c r="J42" s="364"/>
      <c r="K42" s="364"/>
      <c r="L42" s="364"/>
      <c r="M42" s="364"/>
      <c r="N42" s="364"/>
    </row>
    <row r="43" spans="1:14" ht="12.9" x14ac:dyDescent="0.35">
      <c r="A43" s="225"/>
      <c r="B43" s="225"/>
      <c r="C43" s="225"/>
      <c r="D43" s="225"/>
      <c r="E43" s="225"/>
      <c r="F43" s="225"/>
      <c r="G43" s="225"/>
      <c r="H43" s="364"/>
      <c r="I43" s="364"/>
      <c r="J43" s="364"/>
      <c r="K43" s="364"/>
      <c r="L43" s="364"/>
      <c r="M43" s="364"/>
      <c r="N43" s="364"/>
    </row>
    <row r="44" spans="1:14" ht="12.9" x14ac:dyDescent="0.35">
      <c r="A44" s="225"/>
      <c r="B44" s="225"/>
      <c r="C44" s="225"/>
      <c r="D44" s="225"/>
      <c r="E44" s="225"/>
      <c r="F44" s="225"/>
      <c r="G44" s="225"/>
      <c r="H44" s="364"/>
      <c r="I44" s="364"/>
      <c r="J44" s="364"/>
      <c r="K44" s="364"/>
      <c r="L44" s="364"/>
      <c r="M44" s="364"/>
      <c r="N44" s="364"/>
    </row>
    <row r="45" spans="1:14" ht="12.9" x14ac:dyDescent="0.35">
      <c r="A45" s="225"/>
      <c r="B45" s="225"/>
      <c r="C45" s="225"/>
      <c r="D45" s="225"/>
      <c r="E45" s="225"/>
      <c r="F45" s="225"/>
      <c r="G45" s="225"/>
      <c r="H45" s="364"/>
      <c r="I45" s="364"/>
      <c r="J45" s="364"/>
      <c r="K45" s="364"/>
      <c r="L45" s="364"/>
      <c r="M45" s="364"/>
      <c r="N45" s="364"/>
    </row>
    <row r="46" spans="1:14" ht="12.9" x14ac:dyDescent="0.35">
      <c r="A46" s="225"/>
      <c r="B46" s="225"/>
      <c r="C46" s="225"/>
      <c r="D46" s="225"/>
      <c r="E46" s="225"/>
      <c r="F46" s="225"/>
      <c r="G46" s="225"/>
      <c r="H46" s="364"/>
      <c r="I46" s="364"/>
      <c r="J46" s="364"/>
      <c r="K46" s="364"/>
      <c r="L46" s="364"/>
      <c r="M46" s="364"/>
      <c r="N46" s="364"/>
    </row>
    <row r="47" spans="1:14" ht="12.9" x14ac:dyDescent="0.35">
      <c r="A47" s="225"/>
      <c r="B47" s="225"/>
      <c r="C47" s="225"/>
      <c r="D47" s="225"/>
      <c r="E47" s="225"/>
      <c r="F47" s="225"/>
      <c r="G47" s="225"/>
      <c r="H47" s="364"/>
      <c r="I47" s="364"/>
      <c r="J47" s="364"/>
      <c r="K47" s="364"/>
      <c r="L47" s="364"/>
      <c r="M47" s="364"/>
      <c r="N47" s="364"/>
    </row>
    <row r="48" spans="1:14" ht="12.9" x14ac:dyDescent="0.35">
      <c r="A48" s="225"/>
      <c r="B48" s="225"/>
      <c r="C48" s="225"/>
      <c r="D48" s="225"/>
      <c r="E48" s="225"/>
      <c r="F48" s="225"/>
      <c r="G48" s="225"/>
      <c r="H48" s="364"/>
      <c r="I48" s="364"/>
      <c r="J48" s="364"/>
      <c r="K48" s="364"/>
      <c r="L48" s="364"/>
      <c r="M48" s="364"/>
      <c r="N48" s="364"/>
    </row>
    <row r="49" spans="1:14" ht="12.9" x14ac:dyDescent="0.35">
      <c r="A49" s="225"/>
      <c r="B49" s="225"/>
      <c r="C49" s="225"/>
      <c r="D49" s="225"/>
      <c r="E49" s="225"/>
      <c r="F49" s="225"/>
      <c r="G49" s="225"/>
      <c r="H49" s="364"/>
      <c r="I49" s="364"/>
      <c r="J49" s="364"/>
      <c r="K49" s="364"/>
      <c r="L49" s="364"/>
      <c r="M49" s="364"/>
      <c r="N49" s="364"/>
    </row>
    <row r="50" spans="1:14" ht="12.9" x14ac:dyDescent="0.35">
      <c r="A50" s="225"/>
      <c r="B50" s="225"/>
      <c r="C50" s="225"/>
      <c r="D50" s="225"/>
      <c r="E50" s="225"/>
      <c r="F50" s="225"/>
      <c r="G50" s="225"/>
      <c r="H50" s="364"/>
      <c r="I50" s="364"/>
      <c r="J50" s="364"/>
      <c r="K50" s="364"/>
      <c r="L50" s="364"/>
      <c r="M50" s="364"/>
      <c r="N50" s="364"/>
    </row>
    <row r="51" spans="1:14" ht="12.9" x14ac:dyDescent="0.35">
      <c r="A51" s="225"/>
      <c r="B51" s="225"/>
      <c r="C51" s="225"/>
      <c r="D51" s="225"/>
      <c r="E51" s="225"/>
      <c r="F51" s="225"/>
      <c r="G51" s="225"/>
      <c r="H51" s="364"/>
      <c r="I51" s="364"/>
      <c r="J51" s="364"/>
      <c r="K51" s="364"/>
      <c r="L51" s="364"/>
      <c r="M51" s="364"/>
      <c r="N51" s="364"/>
    </row>
    <row r="52" spans="1:14" ht="12.9" x14ac:dyDescent="0.35">
      <c r="A52" s="225"/>
      <c r="B52" s="225"/>
      <c r="C52" s="225"/>
      <c r="D52" s="225"/>
      <c r="E52" s="225"/>
      <c r="F52" s="225"/>
      <c r="G52" s="225"/>
      <c r="H52" s="364"/>
      <c r="I52" s="364"/>
      <c r="J52" s="364"/>
      <c r="K52" s="364"/>
      <c r="L52" s="364"/>
      <c r="M52" s="364"/>
      <c r="N52" s="364"/>
    </row>
    <row r="53" spans="1:14" ht="12.9" x14ac:dyDescent="0.35">
      <c r="A53" s="225"/>
      <c r="B53" s="225"/>
      <c r="C53" s="225"/>
      <c r="D53" s="225"/>
      <c r="E53" s="225"/>
      <c r="F53" s="225"/>
      <c r="G53" s="225"/>
      <c r="H53" s="364"/>
      <c r="I53" s="364"/>
      <c r="J53" s="364"/>
      <c r="K53" s="364"/>
      <c r="L53" s="364"/>
      <c r="M53" s="364"/>
      <c r="N53" s="364"/>
    </row>
    <row r="54" spans="1:14" ht="12.9" x14ac:dyDescent="0.35">
      <c r="A54" s="225"/>
      <c r="B54" s="225"/>
      <c r="C54" s="225"/>
      <c r="D54" s="225"/>
      <c r="E54" s="225"/>
      <c r="F54" s="225"/>
      <c r="G54" s="225"/>
      <c r="H54" s="364"/>
      <c r="I54" s="364"/>
      <c r="J54" s="364"/>
      <c r="K54" s="364"/>
      <c r="L54" s="364"/>
      <c r="M54" s="364"/>
      <c r="N54" s="364"/>
    </row>
    <row r="55" spans="1:14" ht="12.9" x14ac:dyDescent="0.35">
      <c r="A55" s="225"/>
      <c r="B55" s="225"/>
      <c r="C55" s="225"/>
      <c r="D55" s="225"/>
      <c r="E55" s="225"/>
      <c r="F55" s="225"/>
      <c r="G55" s="225"/>
      <c r="H55" s="364"/>
      <c r="I55" s="364"/>
      <c r="J55" s="364"/>
      <c r="K55" s="364"/>
      <c r="L55" s="364"/>
      <c r="M55" s="364"/>
      <c r="N55" s="364"/>
    </row>
    <row r="56" spans="1:14" ht="12.9" x14ac:dyDescent="0.35">
      <c r="A56" s="225"/>
      <c r="B56" s="225"/>
      <c r="C56" s="225"/>
      <c r="D56" s="225"/>
      <c r="E56" s="225"/>
      <c r="F56" s="225"/>
      <c r="G56" s="225"/>
      <c r="H56" s="364"/>
      <c r="I56" s="364"/>
      <c r="J56" s="364"/>
      <c r="K56" s="364"/>
      <c r="L56" s="364"/>
      <c r="M56" s="364"/>
      <c r="N56" s="364"/>
    </row>
    <row r="57" spans="1:14" ht="12.9" x14ac:dyDescent="0.35">
      <c r="A57" s="225"/>
      <c r="B57" s="225"/>
      <c r="C57" s="225"/>
      <c r="D57" s="225"/>
      <c r="E57" s="225"/>
      <c r="F57" s="225"/>
      <c r="G57" s="225"/>
      <c r="H57" s="364"/>
      <c r="I57" s="364"/>
      <c r="J57" s="364"/>
      <c r="K57" s="364"/>
      <c r="L57" s="364"/>
      <c r="M57" s="364"/>
      <c r="N57" s="364"/>
    </row>
    <row r="58" spans="1:14" ht="12.9" x14ac:dyDescent="0.35">
      <c r="A58" s="225"/>
      <c r="B58" s="225"/>
      <c r="C58" s="225"/>
      <c r="D58" s="225"/>
      <c r="E58" s="225"/>
      <c r="F58" s="225"/>
      <c r="G58" s="225"/>
      <c r="H58" s="364"/>
      <c r="I58" s="364"/>
      <c r="J58" s="364"/>
      <c r="K58" s="364"/>
      <c r="L58" s="364"/>
      <c r="M58" s="364"/>
      <c r="N58" s="364"/>
    </row>
    <row r="59" spans="1:14" ht="12.9" x14ac:dyDescent="0.35">
      <c r="A59" s="225"/>
      <c r="B59" s="225"/>
      <c r="C59" s="225"/>
      <c r="D59" s="225"/>
      <c r="E59" s="225"/>
      <c r="F59" s="225"/>
      <c r="G59" s="225"/>
      <c r="H59" s="364"/>
      <c r="I59" s="364"/>
      <c r="J59" s="364"/>
      <c r="K59" s="364"/>
      <c r="L59" s="364"/>
      <c r="M59" s="364"/>
      <c r="N59" s="364"/>
    </row>
    <row r="60" spans="1:14" ht="12.9" x14ac:dyDescent="0.35">
      <c r="A60" s="225"/>
      <c r="B60" s="225"/>
      <c r="C60" s="225"/>
      <c r="D60" s="225"/>
      <c r="E60" s="225"/>
      <c r="F60" s="225"/>
      <c r="G60" s="225"/>
      <c r="H60" s="364"/>
      <c r="I60" s="364"/>
      <c r="J60" s="364"/>
      <c r="K60" s="364"/>
      <c r="L60" s="364"/>
      <c r="M60" s="364"/>
      <c r="N60" s="364"/>
    </row>
    <row r="61" spans="1:14" ht="12.9" x14ac:dyDescent="0.35">
      <c r="A61" s="225"/>
      <c r="B61" s="225"/>
      <c r="C61" s="225"/>
      <c r="D61" s="225"/>
      <c r="E61" s="225"/>
      <c r="F61" s="225"/>
      <c r="G61" s="225"/>
      <c r="H61" s="364"/>
      <c r="I61" s="364"/>
      <c r="J61" s="364"/>
      <c r="K61" s="364"/>
      <c r="L61" s="364"/>
      <c r="M61" s="364"/>
      <c r="N61" s="364"/>
    </row>
    <row r="62" spans="1:14" ht="12.9" x14ac:dyDescent="0.35">
      <c r="A62" s="225"/>
      <c r="B62" s="225"/>
      <c r="C62" s="225"/>
      <c r="D62" s="225"/>
      <c r="E62" s="225"/>
      <c r="F62" s="225"/>
      <c r="G62" s="225"/>
      <c r="H62" s="364"/>
      <c r="I62" s="364"/>
      <c r="J62" s="364"/>
      <c r="K62" s="364"/>
      <c r="L62" s="364"/>
      <c r="M62" s="364"/>
      <c r="N62" s="364"/>
    </row>
    <row r="63" spans="1:14" ht="12.9" x14ac:dyDescent="0.35">
      <c r="A63" s="225"/>
      <c r="B63" s="225"/>
      <c r="C63" s="225"/>
      <c r="D63" s="225"/>
      <c r="E63" s="225"/>
      <c r="F63" s="225"/>
      <c r="G63" s="225"/>
      <c r="H63" s="364"/>
      <c r="I63" s="364"/>
      <c r="J63" s="364"/>
      <c r="K63" s="364"/>
      <c r="L63" s="364"/>
      <c r="M63" s="364"/>
      <c r="N63" s="364"/>
    </row>
    <row r="64" spans="1:14" ht="12.9" x14ac:dyDescent="0.35">
      <c r="A64" s="225"/>
      <c r="B64" s="225"/>
      <c r="C64" s="225"/>
      <c r="D64" s="225"/>
      <c r="E64" s="225"/>
      <c r="F64" s="225"/>
      <c r="G64" s="225"/>
      <c r="H64" s="364"/>
      <c r="I64" s="364"/>
      <c r="J64" s="364"/>
      <c r="K64" s="364"/>
      <c r="L64" s="364"/>
      <c r="M64" s="364"/>
      <c r="N64" s="364"/>
    </row>
    <row r="65" spans="1:14" ht="12.9" x14ac:dyDescent="0.35">
      <c r="A65" s="225"/>
      <c r="B65" s="225"/>
      <c r="C65" s="225"/>
      <c r="D65" s="225"/>
      <c r="E65" s="225"/>
      <c r="F65" s="225"/>
      <c r="G65" s="225"/>
      <c r="H65" s="364"/>
      <c r="I65" s="364"/>
      <c r="J65" s="364"/>
      <c r="K65" s="364"/>
      <c r="L65" s="364"/>
      <c r="M65" s="364"/>
      <c r="N65" s="364"/>
    </row>
    <row r="66" spans="1:14" ht="12.9" x14ac:dyDescent="0.35">
      <c r="A66" s="225"/>
      <c r="B66" s="225"/>
      <c r="C66" s="225"/>
      <c r="D66" s="225"/>
      <c r="E66" s="225"/>
      <c r="F66" s="225"/>
      <c r="G66" s="225"/>
      <c r="H66" s="364"/>
      <c r="I66" s="364"/>
      <c r="J66" s="364"/>
      <c r="K66" s="364"/>
      <c r="L66" s="364"/>
      <c r="M66" s="364"/>
      <c r="N66" s="364"/>
    </row>
    <row r="67" spans="1:14" ht="12.9" x14ac:dyDescent="0.35">
      <c r="A67" s="225"/>
      <c r="B67" s="225"/>
      <c r="C67" s="225"/>
      <c r="D67" s="225"/>
      <c r="E67" s="225"/>
      <c r="F67" s="225"/>
      <c r="G67" s="225"/>
      <c r="H67" s="364"/>
      <c r="I67" s="364"/>
      <c r="J67" s="364"/>
      <c r="K67" s="364"/>
      <c r="L67" s="364"/>
      <c r="M67" s="364"/>
      <c r="N67" s="364"/>
    </row>
    <row r="68" spans="1:14" ht="12.9" x14ac:dyDescent="0.35">
      <c r="A68" s="225"/>
      <c r="B68" s="225"/>
      <c r="C68" s="225"/>
      <c r="D68" s="225"/>
      <c r="E68" s="225"/>
      <c r="F68" s="225"/>
      <c r="G68" s="225"/>
      <c r="H68" s="364"/>
      <c r="I68" s="364"/>
      <c r="J68" s="364"/>
      <c r="K68" s="364"/>
      <c r="L68" s="364"/>
      <c r="M68" s="364"/>
      <c r="N68" s="364"/>
    </row>
    <row r="69" spans="1:14" ht="12.9" x14ac:dyDescent="0.35">
      <c r="A69" s="225"/>
      <c r="B69" s="225"/>
      <c r="C69" s="225"/>
      <c r="D69" s="225"/>
      <c r="E69" s="225"/>
      <c r="F69" s="225"/>
      <c r="G69" s="225"/>
      <c r="H69" s="364"/>
      <c r="I69" s="364"/>
      <c r="J69" s="364"/>
      <c r="K69" s="364"/>
      <c r="L69" s="364"/>
      <c r="M69" s="364"/>
      <c r="N69" s="364"/>
    </row>
    <row r="70" spans="1:14" ht="12.9" x14ac:dyDescent="0.35">
      <c r="A70" s="225"/>
      <c r="B70" s="225"/>
      <c r="C70" s="225"/>
      <c r="D70" s="225"/>
      <c r="E70" s="225"/>
      <c r="F70" s="225"/>
      <c r="G70" s="225"/>
      <c r="H70" s="364"/>
      <c r="I70" s="364"/>
      <c r="J70" s="364"/>
      <c r="K70" s="364"/>
      <c r="L70" s="364"/>
      <c r="M70" s="364"/>
      <c r="N70" s="364"/>
    </row>
    <row r="71" spans="1:14" ht="12.9" x14ac:dyDescent="0.35">
      <c r="A71" s="225"/>
      <c r="B71" s="225"/>
      <c r="C71" s="225"/>
      <c r="D71" s="225"/>
      <c r="E71" s="225"/>
      <c r="F71" s="225"/>
      <c r="G71" s="225"/>
      <c r="H71" s="364"/>
      <c r="I71" s="364"/>
      <c r="J71" s="364"/>
      <c r="K71" s="364"/>
      <c r="L71" s="364"/>
      <c r="M71" s="364"/>
      <c r="N71" s="364"/>
    </row>
    <row r="72" spans="1:14" ht="12.9" x14ac:dyDescent="0.35">
      <c r="A72" s="225"/>
      <c r="B72" s="225"/>
      <c r="C72" s="225"/>
      <c r="D72" s="225"/>
      <c r="E72" s="225"/>
      <c r="F72" s="225"/>
      <c r="G72" s="225"/>
      <c r="H72" s="364"/>
      <c r="I72" s="364"/>
      <c r="J72" s="364"/>
      <c r="K72" s="364"/>
      <c r="L72" s="364"/>
      <c r="M72" s="364"/>
      <c r="N72" s="364"/>
    </row>
    <row r="73" spans="1:14" ht="12.9" x14ac:dyDescent="0.35">
      <c r="A73" s="225"/>
      <c r="B73" s="225"/>
      <c r="C73" s="225"/>
      <c r="D73" s="225"/>
      <c r="E73" s="225"/>
      <c r="F73" s="225"/>
      <c r="G73" s="225"/>
      <c r="H73" s="364"/>
      <c r="I73" s="364"/>
      <c r="J73" s="364"/>
      <c r="K73" s="364"/>
      <c r="L73" s="364"/>
      <c r="M73" s="364"/>
      <c r="N73" s="364"/>
    </row>
    <row r="74" spans="1:14" ht="12.9" x14ac:dyDescent="0.35">
      <c r="A74" s="225"/>
      <c r="B74" s="225"/>
      <c r="C74" s="225"/>
      <c r="D74" s="225"/>
      <c r="E74" s="225"/>
      <c r="F74" s="225"/>
      <c r="G74" s="225"/>
      <c r="H74" s="364"/>
      <c r="I74" s="364"/>
      <c r="J74" s="364"/>
      <c r="K74" s="364"/>
      <c r="L74" s="364"/>
      <c r="M74" s="364"/>
      <c r="N74" s="364"/>
    </row>
    <row r="75" spans="1:14" ht="12.9" x14ac:dyDescent="0.35">
      <c r="A75" s="225"/>
      <c r="B75" s="225"/>
      <c r="C75" s="225"/>
      <c r="D75" s="225"/>
      <c r="E75" s="225"/>
      <c r="F75" s="225"/>
      <c r="G75" s="225"/>
      <c r="H75" s="364"/>
      <c r="I75" s="364"/>
      <c r="J75" s="364"/>
      <c r="K75" s="364"/>
      <c r="L75" s="364"/>
      <c r="M75" s="364"/>
      <c r="N75" s="364"/>
    </row>
    <row r="76" spans="1:14" ht="12.9" x14ac:dyDescent="0.35">
      <c r="A76" s="225"/>
      <c r="B76" s="225"/>
      <c r="C76" s="225"/>
      <c r="D76" s="225"/>
      <c r="E76" s="225"/>
      <c r="F76" s="225"/>
      <c r="G76" s="225"/>
      <c r="H76" s="364"/>
      <c r="I76" s="364"/>
      <c r="J76" s="364"/>
      <c r="K76" s="364"/>
      <c r="L76" s="364"/>
      <c r="M76" s="364"/>
      <c r="N76" s="364"/>
    </row>
    <row r="77" spans="1:14" ht="12.9" x14ac:dyDescent="0.35">
      <c r="A77" s="225"/>
      <c r="B77" s="225"/>
      <c r="C77" s="225"/>
      <c r="D77" s="225"/>
      <c r="E77" s="225"/>
      <c r="F77" s="225"/>
      <c r="G77" s="225"/>
      <c r="H77" s="364"/>
      <c r="I77" s="364"/>
      <c r="J77" s="364"/>
      <c r="K77" s="364"/>
      <c r="L77" s="364"/>
      <c r="M77" s="364"/>
      <c r="N77" s="364"/>
    </row>
    <row r="78" spans="1:14" ht="12.9" x14ac:dyDescent="0.35">
      <c r="A78" s="225"/>
      <c r="B78" s="225"/>
      <c r="C78" s="225"/>
      <c r="D78" s="225"/>
      <c r="E78" s="225"/>
      <c r="F78" s="225"/>
      <c r="G78" s="225"/>
      <c r="H78" s="364"/>
      <c r="I78" s="364"/>
      <c r="J78" s="364"/>
      <c r="K78" s="364"/>
      <c r="L78" s="364"/>
      <c r="M78" s="364"/>
      <c r="N78" s="364"/>
    </row>
    <row r="79" spans="1:14" ht="12.9" x14ac:dyDescent="0.35">
      <c r="A79" s="225"/>
      <c r="B79" s="225"/>
      <c r="C79" s="225"/>
      <c r="D79" s="225"/>
      <c r="E79" s="225"/>
      <c r="F79" s="225"/>
      <c r="G79" s="225"/>
      <c r="H79" s="364"/>
      <c r="I79" s="364"/>
      <c r="J79" s="364"/>
      <c r="K79" s="364"/>
      <c r="L79" s="364"/>
      <c r="M79" s="364"/>
      <c r="N79" s="364"/>
    </row>
    <row r="80" spans="1:14" ht="12.9" x14ac:dyDescent="0.35">
      <c r="A80" s="225"/>
      <c r="B80" s="225"/>
      <c r="C80" s="225"/>
      <c r="D80" s="225"/>
      <c r="E80" s="225"/>
      <c r="F80" s="225"/>
      <c r="G80" s="225"/>
      <c r="H80" s="364"/>
      <c r="I80" s="364"/>
      <c r="J80" s="364"/>
      <c r="K80" s="364"/>
      <c r="L80" s="364"/>
      <c r="M80" s="364"/>
      <c r="N80" s="364"/>
    </row>
    <row r="81" spans="1:14" ht="12.9" x14ac:dyDescent="0.35">
      <c r="A81" s="225"/>
      <c r="B81" s="225"/>
      <c r="C81" s="225"/>
      <c r="D81" s="225"/>
      <c r="E81" s="225"/>
      <c r="F81" s="225"/>
      <c r="G81" s="225"/>
      <c r="H81" s="364"/>
      <c r="I81" s="364"/>
      <c r="J81" s="364"/>
      <c r="K81" s="364"/>
      <c r="L81" s="364"/>
      <c r="M81" s="364"/>
      <c r="N81" s="364"/>
    </row>
    <row r="82" spans="1:14" ht="12.9" x14ac:dyDescent="0.35">
      <c r="A82" s="225"/>
      <c r="B82" s="225"/>
      <c r="C82" s="225"/>
      <c r="D82" s="225"/>
      <c r="E82" s="225"/>
      <c r="F82" s="225"/>
      <c r="G82" s="225"/>
      <c r="H82" s="364"/>
      <c r="I82" s="364"/>
      <c r="J82" s="364"/>
      <c r="K82" s="364"/>
      <c r="L82" s="364"/>
      <c r="M82" s="364"/>
      <c r="N82" s="364"/>
    </row>
    <row r="83" spans="1:14" ht="12.9" x14ac:dyDescent="0.35">
      <c r="A83" s="225"/>
      <c r="B83" s="225"/>
      <c r="C83" s="225"/>
      <c r="D83" s="225"/>
      <c r="E83" s="225"/>
      <c r="F83" s="225"/>
      <c r="G83" s="225"/>
      <c r="H83" s="364"/>
      <c r="I83" s="364"/>
      <c r="J83" s="364"/>
      <c r="K83" s="364"/>
      <c r="L83" s="364"/>
      <c r="M83" s="364"/>
      <c r="N83" s="364"/>
    </row>
    <row r="84" spans="1:14" ht="12.9" x14ac:dyDescent="0.35">
      <c r="A84" s="225"/>
      <c r="B84" s="225"/>
      <c r="C84" s="225"/>
      <c r="D84" s="225"/>
      <c r="E84" s="225"/>
      <c r="F84" s="225"/>
      <c r="G84" s="225"/>
      <c r="H84" s="364"/>
      <c r="I84" s="364"/>
      <c r="J84" s="364"/>
      <c r="K84" s="364"/>
      <c r="L84" s="364"/>
      <c r="M84" s="364"/>
      <c r="N84" s="364"/>
    </row>
    <row r="85" spans="1:14" ht="12.9" x14ac:dyDescent="0.35">
      <c r="A85" s="225"/>
      <c r="B85" s="225"/>
      <c r="C85" s="225"/>
      <c r="D85" s="225"/>
      <c r="E85" s="225"/>
      <c r="F85" s="225"/>
      <c r="G85" s="225"/>
      <c r="H85" s="364"/>
      <c r="I85" s="364"/>
      <c r="J85" s="364"/>
      <c r="K85" s="364"/>
      <c r="L85" s="364"/>
      <c r="M85" s="364"/>
      <c r="N85" s="364"/>
    </row>
    <row r="86" spans="1:14" ht="12.9" x14ac:dyDescent="0.35">
      <c r="A86" s="225"/>
      <c r="B86" s="225"/>
      <c r="C86" s="225"/>
      <c r="D86" s="225"/>
      <c r="E86" s="225"/>
      <c r="F86" s="225"/>
      <c r="G86" s="225"/>
      <c r="H86" s="364"/>
      <c r="I86" s="364"/>
      <c r="J86" s="364"/>
      <c r="K86" s="364"/>
      <c r="L86" s="364"/>
      <c r="M86" s="364"/>
      <c r="N86" s="364"/>
    </row>
    <row r="87" spans="1:14" ht="12.9" x14ac:dyDescent="0.35">
      <c r="A87" s="225"/>
      <c r="B87" s="225"/>
      <c r="C87" s="225"/>
      <c r="D87" s="225"/>
      <c r="E87" s="225"/>
      <c r="F87" s="225"/>
      <c r="G87" s="225"/>
      <c r="H87" s="364"/>
      <c r="I87" s="364"/>
      <c r="J87" s="364"/>
      <c r="K87" s="364"/>
      <c r="L87" s="364"/>
      <c r="M87" s="364"/>
      <c r="N87" s="364"/>
    </row>
    <row r="88" spans="1:14" ht="12.9" x14ac:dyDescent="0.35">
      <c r="A88" s="225"/>
      <c r="B88" s="225"/>
      <c r="C88" s="225"/>
      <c r="D88" s="225"/>
      <c r="E88" s="225"/>
      <c r="F88" s="225"/>
      <c r="G88" s="225"/>
      <c r="H88" s="364"/>
      <c r="I88" s="364"/>
      <c r="J88" s="364"/>
      <c r="K88" s="364"/>
      <c r="L88" s="364"/>
      <c r="M88" s="364"/>
      <c r="N88" s="364"/>
    </row>
    <row r="89" spans="1:14" ht="12.9" x14ac:dyDescent="0.35">
      <c r="A89" s="225"/>
      <c r="B89" s="225"/>
      <c r="C89" s="225"/>
      <c r="D89" s="225"/>
      <c r="E89" s="225"/>
      <c r="F89" s="225"/>
      <c r="G89" s="225"/>
      <c r="H89" s="364"/>
      <c r="I89" s="364"/>
      <c r="J89" s="364"/>
      <c r="K89" s="364"/>
      <c r="L89" s="364"/>
      <c r="M89" s="364"/>
      <c r="N89" s="364"/>
    </row>
    <row r="90" spans="1:14" ht="12.9" x14ac:dyDescent="0.35">
      <c r="A90" s="225"/>
      <c r="B90" s="225"/>
      <c r="C90" s="225"/>
      <c r="D90" s="225"/>
      <c r="E90" s="225"/>
      <c r="F90" s="225"/>
      <c r="G90" s="225"/>
      <c r="H90" s="364"/>
      <c r="I90" s="364"/>
      <c r="J90" s="364"/>
      <c r="K90" s="364"/>
      <c r="L90" s="364"/>
      <c r="M90" s="364"/>
      <c r="N90" s="364"/>
    </row>
    <row r="91" spans="1:14" ht="12.9" x14ac:dyDescent="0.35">
      <c r="A91" s="225"/>
      <c r="B91" s="225"/>
      <c r="C91" s="225"/>
      <c r="D91" s="225"/>
      <c r="E91" s="225"/>
      <c r="F91" s="225"/>
      <c r="G91" s="225"/>
      <c r="H91" s="364"/>
      <c r="I91" s="364"/>
      <c r="J91" s="364"/>
      <c r="K91" s="364"/>
      <c r="L91" s="364"/>
      <c r="M91" s="364"/>
      <c r="N91" s="364"/>
    </row>
    <row r="92" spans="1:14" ht="12.9" x14ac:dyDescent="0.35">
      <c r="A92" s="225"/>
      <c r="B92" s="225"/>
      <c r="C92" s="225"/>
      <c r="D92" s="225"/>
      <c r="E92" s="225"/>
      <c r="F92" s="225"/>
      <c r="G92" s="225"/>
      <c r="H92" s="364"/>
      <c r="I92" s="364"/>
      <c r="J92" s="364"/>
      <c r="K92" s="364"/>
      <c r="L92" s="364"/>
      <c r="M92" s="364"/>
      <c r="N92" s="364"/>
    </row>
    <row r="93" spans="1:14" ht="12.9" x14ac:dyDescent="0.35">
      <c r="A93" s="225"/>
      <c r="B93" s="225"/>
      <c r="C93" s="225"/>
      <c r="D93" s="225"/>
      <c r="E93" s="225"/>
      <c r="F93" s="225"/>
      <c r="G93" s="225"/>
      <c r="H93" s="364"/>
      <c r="I93" s="364"/>
      <c r="J93" s="364"/>
      <c r="K93" s="364"/>
      <c r="L93" s="364"/>
      <c r="M93" s="364"/>
      <c r="N93" s="364"/>
    </row>
  </sheetData>
  <mergeCells count="15">
    <mergeCell ref="L41:L93"/>
    <mergeCell ref="M41:M93"/>
    <mergeCell ref="N41:N93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A42:G42"/>
  </mergeCells>
  <hyperlinks>
    <hyperlink ref="G17" r:id="rId1" display="mailto:r.a.wilson@warwick.ac.uk" xr:uid="{5C39AD22-D628-44E6-BE81-477F55DFC76F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45" x14ac:dyDescent="0.3"/>
  <cols>
    <col min="1" max="1" width="18.15234375" customWidth="1"/>
    <col min="2" max="2" width="25.69140625" customWidth="1"/>
  </cols>
  <sheetData>
    <row r="1" spans="1:2" x14ac:dyDescent="0.3">
      <c r="A1" t="s">
        <v>522</v>
      </c>
      <c r="B1" t="s">
        <v>523</v>
      </c>
    </row>
    <row r="2" spans="1:2" x14ac:dyDescent="0.3">
      <c r="A2" t="s">
        <v>446</v>
      </c>
      <c r="B2" t="s">
        <v>447</v>
      </c>
    </row>
    <row r="3" spans="1:2" x14ac:dyDescent="0.3">
      <c r="A3" t="s">
        <v>448</v>
      </c>
      <c r="B3" t="s">
        <v>519</v>
      </c>
    </row>
    <row r="4" spans="1:2" x14ac:dyDescent="0.3">
      <c r="A4" t="s">
        <v>520</v>
      </c>
      <c r="B4" s="363">
        <v>44967.568472222221</v>
      </c>
    </row>
    <row r="5" spans="1:2" x14ac:dyDescent="0.3">
      <c r="A5" t="s">
        <v>524</v>
      </c>
      <c r="B5" t="s">
        <v>525</v>
      </c>
    </row>
    <row r="6" spans="1:2" x14ac:dyDescent="0.3">
      <c r="A6" t="s">
        <v>121</v>
      </c>
      <c r="B6" t="s">
        <v>546</v>
      </c>
    </row>
    <row r="40" spans="7:7" x14ac:dyDescent="0.3">
      <c r="G40" s="335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45" x14ac:dyDescent="0.3"/>
  <cols>
    <col min="1" max="1" width="3.4609375" customWidth="1"/>
    <col min="2" max="2" width="18.23046875" customWidth="1"/>
    <col min="3" max="4" width="6.15234375" customWidth="1"/>
    <col min="5" max="5" width="6.23046875" customWidth="1"/>
    <col min="6" max="6" width="9.23046875" customWidth="1"/>
    <col min="7" max="7" width="6.15234375" customWidth="1"/>
    <col min="8" max="8" width="10.4609375" customWidth="1"/>
  </cols>
  <sheetData>
    <row r="1" spans="1:52" x14ac:dyDescent="0.3">
      <c r="A1" s="10"/>
      <c r="B1" s="10"/>
      <c r="C1" s="10"/>
      <c r="D1" s="10"/>
      <c r="E1" s="10"/>
      <c r="F1" s="10"/>
      <c r="G1" s="195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149999999999999" x14ac:dyDescent="0.5">
      <c r="B2" s="174" t="s">
        <v>97</v>
      </c>
    </row>
    <row r="4" spans="1:52" x14ac:dyDescent="0.3">
      <c r="B4" s="82" t="s">
        <v>96</v>
      </c>
      <c r="C4" t="str">
        <f>Stored!B11</f>
        <v>M:/IE/Projects/Nuffield via NFER AI and automation/Data/Results/Workbooks/EE/EE_Database.Main.xlsx</v>
      </c>
    </row>
    <row r="5" spans="1:52" x14ac:dyDescent="0.3">
      <c r="B5" s="82"/>
    </row>
    <row r="6" spans="1:52" ht="22.5" customHeight="1" x14ac:dyDescent="0.3">
      <c r="B6" s="175" t="s">
        <v>137</v>
      </c>
      <c r="C6" s="175"/>
      <c r="D6" s="199"/>
    </row>
    <row r="7" spans="1:52" ht="15.75" customHeight="1" x14ac:dyDescent="0.3">
      <c r="B7" s="52"/>
      <c r="C7" s="53"/>
      <c r="D7" s="54"/>
    </row>
    <row r="8" spans="1:52" ht="21" customHeight="1" x14ac:dyDescent="0.3">
      <c r="B8" s="55"/>
      <c r="C8" s="198"/>
      <c r="D8" s="56"/>
    </row>
    <row r="10" spans="1:52" ht="17.25" customHeight="1" x14ac:dyDescent="0.3">
      <c r="B10" s="176" t="s">
        <v>419</v>
      </c>
      <c r="C10" s="50"/>
      <c r="D10" s="50"/>
      <c r="E10" s="50"/>
      <c r="F10" s="50"/>
      <c r="G10" s="50"/>
      <c r="H10" s="51"/>
    </row>
    <row r="11" spans="1:52" x14ac:dyDescent="0.3">
      <c r="B11" s="52"/>
      <c r="C11" s="58" t="s">
        <v>22</v>
      </c>
      <c r="D11" s="58" t="s">
        <v>23</v>
      </c>
      <c r="E11" s="58" t="s">
        <v>24</v>
      </c>
      <c r="F11" s="58" t="s">
        <v>25</v>
      </c>
      <c r="G11" s="58" t="s">
        <v>26</v>
      </c>
      <c r="H11" s="54"/>
    </row>
    <row r="12" spans="1:52" ht="12.9" thickBot="1" x14ac:dyDescent="0.35">
      <c r="B12" s="173" t="s">
        <v>16</v>
      </c>
      <c r="C12" s="59">
        <f>'Ind T3'!B3</f>
        <v>2015</v>
      </c>
      <c r="D12" s="59">
        <f>'Ind T3'!C3</f>
        <v>2019</v>
      </c>
      <c r="E12" s="59">
        <f>'Ind T3'!D3</f>
        <v>2020</v>
      </c>
      <c r="F12" s="59">
        <f>'Ind T3'!E3</f>
        <v>2025</v>
      </c>
      <c r="G12" s="59">
        <f>'Ind T3'!F3</f>
        <v>2035</v>
      </c>
      <c r="H12" s="54"/>
    </row>
    <row r="13" spans="1:52" ht="12.9" thickBot="1" x14ac:dyDescent="0.35">
      <c r="B13" s="204" t="s">
        <v>12</v>
      </c>
      <c r="C13" s="126">
        <v>2015</v>
      </c>
      <c r="D13" s="60">
        <v>2019</v>
      </c>
      <c r="E13" s="60">
        <v>2020</v>
      </c>
      <c r="F13" s="60">
        <v>2025</v>
      </c>
      <c r="G13" s="61">
        <v>2035</v>
      </c>
      <c r="H13" s="57"/>
    </row>
    <row r="14" spans="1:52" x14ac:dyDescent="0.3">
      <c r="A14" s="82"/>
    </row>
    <row r="16" spans="1:52" ht="45.75" customHeight="1" x14ac:dyDescent="0.3"/>
    <row r="17" spans="5:5" ht="15.75" customHeight="1" x14ac:dyDescent="0.3">
      <c r="E17" s="53"/>
    </row>
    <row r="18" spans="5:5" ht="24" customHeight="1" x14ac:dyDescent="0.3">
      <c r="E18" s="53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97971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87086</xdr:colOff>
                <xdr:row>6</xdr:row>
                <xdr:rowOff>87086</xdr:rowOff>
              </from>
              <to>
                <xdr:col>1</xdr:col>
                <xdr:colOff>658586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2"/>
  <sheetViews>
    <sheetView showGridLines="0" workbookViewId="0"/>
  </sheetViews>
  <sheetFormatPr defaultColWidth="9.15234375" defaultRowHeight="12.45" x14ac:dyDescent="0.3"/>
  <cols>
    <col min="1" max="1" width="14.15234375" customWidth="1"/>
    <col min="2" max="2" width="100.84375" customWidth="1"/>
    <col min="3" max="3" width="9.15234375" customWidth="1"/>
  </cols>
  <sheetData>
    <row r="1" spans="1:2" ht="14.15" x14ac:dyDescent="0.35">
      <c r="A1" s="213" t="s">
        <v>144</v>
      </c>
    </row>
    <row r="2" spans="1:2" x14ac:dyDescent="0.3">
      <c r="A2" s="82" t="s">
        <v>142</v>
      </c>
    </row>
    <row r="3" spans="1:2" s="1" customFormat="1" x14ac:dyDescent="0.3">
      <c r="A3" s="208"/>
      <c r="B3" s="208"/>
    </row>
    <row r="4" spans="1:2" s="82" customFormat="1" x14ac:dyDescent="0.3">
      <c r="A4" s="209" t="s">
        <v>143</v>
      </c>
      <c r="B4" s="209" t="s">
        <v>144</v>
      </c>
    </row>
    <row r="5" spans="1:2" x14ac:dyDescent="0.3">
      <c r="A5" s="210" t="s">
        <v>381</v>
      </c>
      <c r="B5" s="211" t="s">
        <v>384</v>
      </c>
    </row>
    <row r="6" spans="1:2" x14ac:dyDescent="0.3">
      <c r="A6" s="210" t="s">
        <v>382</v>
      </c>
      <c r="B6" s="211" t="s">
        <v>385</v>
      </c>
    </row>
    <row r="7" spans="1:2" x14ac:dyDescent="0.3">
      <c r="A7" s="210" t="s">
        <v>386</v>
      </c>
      <c r="B7" s="211" t="s">
        <v>388</v>
      </c>
    </row>
    <row r="8" spans="1:2" x14ac:dyDescent="0.3">
      <c r="A8" s="210" t="s">
        <v>389</v>
      </c>
      <c r="B8" s="211" t="s">
        <v>393</v>
      </c>
    </row>
    <row r="9" spans="1:2" x14ac:dyDescent="0.3">
      <c r="A9" s="210" t="s">
        <v>392</v>
      </c>
      <c r="B9" s="212" t="s">
        <v>394</v>
      </c>
    </row>
    <row r="10" spans="1:2" x14ac:dyDescent="0.3">
      <c r="A10" s="210" t="s">
        <v>390</v>
      </c>
      <c r="B10" s="212" t="s">
        <v>395</v>
      </c>
    </row>
    <row r="11" spans="1:2" x14ac:dyDescent="0.3">
      <c r="A11" s="210" t="s">
        <v>396</v>
      </c>
      <c r="B11" s="211" t="s">
        <v>405</v>
      </c>
    </row>
    <row r="12" spans="1:2" x14ac:dyDescent="0.3">
      <c r="A12" s="210" t="s">
        <v>398</v>
      </c>
      <c r="B12" s="211" t="s">
        <v>401</v>
      </c>
    </row>
    <row r="13" spans="1:2" x14ac:dyDescent="0.3">
      <c r="A13" s="210" t="s">
        <v>400</v>
      </c>
      <c r="B13" s="211" t="s">
        <v>402</v>
      </c>
    </row>
    <row r="14" spans="1:2" x14ac:dyDescent="0.3">
      <c r="A14" s="210" t="s">
        <v>417</v>
      </c>
      <c r="B14" s="211" t="s">
        <v>403</v>
      </c>
    </row>
    <row r="15" spans="1:2" x14ac:dyDescent="0.3">
      <c r="A15" s="210" t="s">
        <v>404</v>
      </c>
      <c r="B15" s="211" t="s">
        <v>436</v>
      </c>
    </row>
    <row r="16" spans="1:2" x14ac:dyDescent="0.3">
      <c r="A16" s="210" t="s">
        <v>383</v>
      </c>
      <c r="B16" s="211" t="s">
        <v>509</v>
      </c>
    </row>
    <row r="17" spans="1:2" x14ac:dyDescent="0.3">
      <c r="A17" s="210" t="s">
        <v>387</v>
      </c>
      <c r="B17" s="211" t="s">
        <v>510</v>
      </c>
    </row>
    <row r="18" spans="1:2" x14ac:dyDescent="0.3">
      <c r="A18" s="210" t="s">
        <v>391</v>
      </c>
      <c r="B18" s="211" t="s">
        <v>511</v>
      </c>
    </row>
    <row r="19" spans="1:2" x14ac:dyDescent="0.3">
      <c r="A19" s="210" t="s">
        <v>437</v>
      </c>
      <c r="B19" s="211" t="s">
        <v>438</v>
      </c>
    </row>
    <row r="20" spans="1:2" x14ac:dyDescent="0.3">
      <c r="A20" s="210" t="s">
        <v>397</v>
      </c>
      <c r="B20" s="211" t="s">
        <v>512</v>
      </c>
    </row>
    <row r="21" spans="1:2" x14ac:dyDescent="0.3">
      <c r="A21" s="210" t="s">
        <v>399</v>
      </c>
      <c r="B21" s="211" t="s">
        <v>513</v>
      </c>
    </row>
    <row r="22" spans="1:2" x14ac:dyDescent="0.3">
      <c r="A22" s="210" t="s">
        <v>428</v>
      </c>
      <c r="B22" s="211" t="s">
        <v>430</v>
      </c>
    </row>
    <row r="23" spans="1:2" x14ac:dyDescent="0.3">
      <c r="A23" s="210" t="s">
        <v>429</v>
      </c>
      <c r="B23" s="211" t="s">
        <v>431</v>
      </c>
    </row>
    <row r="24" spans="1:2" x14ac:dyDescent="0.3">
      <c r="A24" s="210" t="s">
        <v>434</v>
      </c>
      <c r="B24" s="211" t="s">
        <v>435</v>
      </c>
    </row>
    <row r="25" spans="1:2" x14ac:dyDescent="0.3">
      <c r="A25" s="210" t="s">
        <v>406</v>
      </c>
      <c r="B25" s="211" t="s">
        <v>407</v>
      </c>
    </row>
    <row r="26" spans="1:2" x14ac:dyDescent="0.3">
      <c r="A26" s="210" t="s">
        <v>408</v>
      </c>
      <c r="B26" s="211" t="s">
        <v>409</v>
      </c>
    </row>
    <row r="27" spans="1:2" x14ac:dyDescent="0.3">
      <c r="A27" s="210" t="s">
        <v>410</v>
      </c>
      <c r="B27" s="211" t="s">
        <v>514</v>
      </c>
    </row>
    <row r="28" spans="1:2" x14ac:dyDescent="0.3">
      <c r="A28" s="210" t="s">
        <v>412</v>
      </c>
      <c r="B28" s="211" t="s">
        <v>515</v>
      </c>
    </row>
    <row r="29" spans="1:2" x14ac:dyDescent="0.3">
      <c r="A29" s="210" t="s">
        <v>411</v>
      </c>
      <c r="B29" s="211" t="s">
        <v>516</v>
      </c>
    </row>
    <row r="30" spans="1:2" x14ac:dyDescent="0.3">
      <c r="A30" s="210" t="s">
        <v>413</v>
      </c>
      <c r="B30" s="211" t="s">
        <v>416</v>
      </c>
    </row>
    <row r="31" spans="1:2" x14ac:dyDescent="0.3">
      <c r="A31" s="210" t="s">
        <v>414</v>
      </c>
      <c r="B31" s="211" t="s">
        <v>517</v>
      </c>
    </row>
    <row r="32" spans="1:2" x14ac:dyDescent="0.3">
      <c r="A32" s="210" t="s">
        <v>415</v>
      </c>
      <c r="B32" s="211" t="s">
        <v>518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3'!A1" display="Ind T3" xr:uid="{00000000-0004-0000-0400-000002000000}"/>
    <hyperlink ref="A8" location="'Ind T4'!A1" display="Ind T4" xr:uid="{00000000-0004-0000-0400-000003000000}"/>
    <hyperlink ref="A9" location="'Ind T5'!A1" display="Ind T5" xr:uid="{00000000-0004-0000-0400-000004000000}"/>
    <hyperlink ref="A10" location="'Ind T6'!A1" display="Ind T6" xr:uid="{00000000-0004-0000-0400-000005000000}"/>
    <hyperlink ref="A11" location="'Ind F1'!A1" display="Ind F1" xr:uid="{00000000-0004-0000-0400-000006000000}"/>
    <hyperlink ref="A12" location="'Ind F2'!A1" display="Ind F2" xr:uid="{00000000-0004-0000-0400-000007000000}"/>
    <hyperlink ref="A13" location="'Ind Occ T1'!A1" display="IndOcc T1" xr:uid="{00000000-0004-0000-0400-000008000000}"/>
    <hyperlink ref="A14" location="'Ind Occ T2'!A1" display="IndOcc T2" xr:uid="{00000000-0004-0000-0400-000009000000}"/>
    <hyperlink ref="A15" location="'Occ T1'!A1" display="Occ T1" xr:uid="{00000000-0004-0000-0400-00000A000000}"/>
    <hyperlink ref="A16" location="'Occ T2'!A1" display="Occ T2" xr:uid="{00000000-0004-0000-0400-00000B000000}"/>
    <hyperlink ref="A17" location="'Occ T3'!A1" display="Occ T3" xr:uid="{00000000-0004-0000-0400-00000C000000}"/>
    <hyperlink ref="A18" location="'Occ T4'!A1" display="Occ T4" xr:uid="{00000000-0004-0000-0400-00000D000000}"/>
    <hyperlink ref="A20" location="'Occ F1'!A1" display="Occ F1" xr:uid="{00000000-0004-0000-0400-00000E000000}"/>
    <hyperlink ref="A21" location="'Occ F2'!A1" display="Occ F2" xr:uid="{00000000-0004-0000-0400-00000F000000}"/>
    <hyperlink ref="A25" location="'Qual T1'!A1" display="Qual T1" xr:uid="{00000000-0004-0000-0400-000010000000}"/>
    <hyperlink ref="A26" location="'Qual F1'!A1" display="Qual F1" xr:uid="{00000000-0004-0000-0400-000011000000}"/>
    <hyperlink ref="A27" location="'ShiftShare T1'!A1" display="ShiftShare T1" xr:uid="{00000000-0004-0000-0400-000012000000}"/>
    <hyperlink ref="A28" location="'RD T1'!A1" display="RD T1" xr:uid="{00000000-0004-0000-0400-000013000000}"/>
    <hyperlink ref="A29" location="'RD F1'!A1" display="RD F1" xr:uid="{00000000-0004-0000-0400-000014000000}"/>
    <hyperlink ref="A30" location="'Basic T1'!A1" display="Basic T1" xr:uid="{00000000-0004-0000-0400-000015000000}"/>
    <hyperlink ref="A31" location="'Basic T2'!A1" display="Basic T2" xr:uid="{00000000-0004-0000-0400-000016000000}"/>
    <hyperlink ref="A32" location="'Basic T3'!A1" display="Basic T3" xr:uid="{00000000-0004-0000-0400-000017000000}"/>
    <hyperlink ref="A22" location="'Occ F3'!A1" display="Occ F3" xr:uid="{00000000-0004-0000-0400-000018000000}"/>
    <hyperlink ref="A23" location="'Occ F4'!A1" display="Occ F3" xr:uid="{00000000-0004-0000-0400-000019000000}"/>
    <hyperlink ref="A24" location="'Occ F5'!A1" display="Occ F5" xr:uid="{00000000-0004-0000-0400-00001A000000}"/>
    <hyperlink ref="A19" location="'Occ T5'!A1" display="Occ T5" xr:uid="{00000000-0004-0000-0400-00001B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45" x14ac:dyDescent="0.3"/>
  <cols>
    <col min="1" max="1" width="26.69140625" customWidth="1"/>
    <col min="2" max="6" width="11.69140625" customWidth="1"/>
    <col min="7" max="7" width="4.84375" customWidth="1"/>
    <col min="8" max="11" width="11.69140625" customWidth="1"/>
    <col min="12" max="12" width="26.69140625" customWidth="1"/>
    <col min="13" max="17" width="11.69140625" customWidth="1"/>
    <col min="18" max="19" width="10.69140625" customWidth="1"/>
  </cols>
  <sheetData>
    <row r="1" spans="1:19" ht="15.45" x14ac:dyDescent="0.4">
      <c r="A1" s="18" t="str">
        <f>CONCATENATE("Industry Table 1  Employment by Industry Sector (SIC 2007), ",B$5,"-",F$5,", ",Info!B5)</f>
        <v>Industry Table 1  Employment by Industry Sector (SIC 2007), 2015-2035, East</v>
      </c>
      <c r="L1" s="18" t="str">
        <f>CONCATENATE("Industry Table 1.1  Employment by Industry Sector (SIC 2007), ",B$5,"-",F$5,", ",Info!B5)</f>
        <v>Industry Table 1.1  Employment by Industry Sector (SIC 2007), 2015-2035, East</v>
      </c>
    </row>
    <row r="2" spans="1:19" x14ac:dyDescent="0.3">
      <c r="A2" s="1" t="s">
        <v>533</v>
      </c>
      <c r="F2" s="15"/>
      <c r="J2" s="15" t="s">
        <v>35</v>
      </c>
    </row>
    <row r="3" spans="1:19" x14ac:dyDescent="0.3">
      <c r="A3" s="35"/>
      <c r="B3" s="35"/>
      <c r="C3" s="35"/>
      <c r="D3" s="35"/>
      <c r="E3" s="35"/>
      <c r="F3" s="35"/>
      <c r="G3" s="16"/>
      <c r="H3" s="27" t="str">
        <f>CONCATENATE(D5,"-",F5)</f>
        <v>2020-2035</v>
      </c>
      <c r="I3" s="35"/>
      <c r="J3" s="35"/>
      <c r="K3" s="16"/>
      <c r="O3" s="1" t="s">
        <v>13</v>
      </c>
      <c r="R3" s="75" t="s">
        <v>41</v>
      </c>
    </row>
    <row r="4" spans="1:19" x14ac:dyDescent="0.3">
      <c r="G4" s="10"/>
      <c r="H4" s="15" t="s">
        <v>29</v>
      </c>
      <c r="I4" s="15" t="s">
        <v>30</v>
      </c>
      <c r="J4" s="15" t="s">
        <v>32</v>
      </c>
      <c r="K4" s="10"/>
      <c r="L4" s="21"/>
      <c r="M4" s="22">
        <f>B5</f>
        <v>2015</v>
      </c>
      <c r="N4" s="22">
        <f>C5</f>
        <v>2019</v>
      </c>
      <c r="O4" s="22">
        <f>D5</f>
        <v>2020</v>
      </c>
      <c r="P4" s="22">
        <f>E5</f>
        <v>2025</v>
      </c>
      <c r="Q4" s="22">
        <f>F5</f>
        <v>2035</v>
      </c>
      <c r="R4" s="74" t="str">
        <f>CONCATENATE(B$5,"-",D$5)</f>
        <v>2015-2020</v>
      </c>
      <c r="S4" s="74" t="str">
        <f>F33</f>
        <v>2020-2035</v>
      </c>
    </row>
    <row r="5" spans="1:19" x14ac:dyDescent="0.3">
      <c r="A5" s="23"/>
      <c r="B5" s="34">
        <f>'Ind T3'!B3</f>
        <v>2015</v>
      </c>
      <c r="C5" s="34">
        <f>'Ind T3'!C3</f>
        <v>2019</v>
      </c>
      <c r="D5" s="34">
        <f>'Ind T3'!D3</f>
        <v>2020</v>
      </c>
      <c r="E5" s="34">
        <f>'Ind T3'!E3</f>
        <v>2025</v>
      </c>
      <c r="F5" s="34">
        <f>'Ind T3'!F3</f>
        <v>2035</v>
      </c>
      <c r="G5" s="11"/>
      <c r="H5" s="62" t="s">
        <v>18</v>
      </c>
      <c r="I5" s="62" t="s">
        <v>31</v>
      </c>
      <c r="J5" s="62" t="s">
        <v>33</v>
      </c>
      <c r="K5" s="11"/>
      <c r="L5" t="str">
        <f t="shared" ref="L5:Q10" si="0">A7</f>
        <v>Primary sector and utilities</v>
      </c>
      <c r="M5" s="11">
        <f t="shared" si="0"/>
        <v>72.308000000125929</v>
      </c>
      <c r="N5" s="11">
        <f t="shared" si="0"/>
        <v>77.823000000426504</v>
      </c>
      <c r="O5" s="11">
        <f t="shared" si="0"/>
        <v>55.543999999892435</v>
      </c>
      <c r="P5" s="11">
        <f t="shared" si="0"/>
        <v>56.970000000368515</v>
      </c>
      <c r="Q5" s="11">
        <f t="shared" si="0"/>
        <v>57.639000000147448</v>
      </c>
      <c r="R5" s="39">
        <f>IF(D$5-B$5 &lt;&gt; 0,(EXP(LN(D7/B7)/(D$5-B$5))-1)*100,0)</f>
        <v>-5.1384622305172485</v>
      </c>
      <c r="S5" s="39">
        <f>F34</f>
        <v>0.24713101632760637</v>
      </c>
    </row>
    <row r="6" spans="1:19" x14ac:dyDescent="0.3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0"/>
        <v>Manufacturing</v>
      </c>
      <c r="M6" s="11">
        <f t="shared" si="0"/>
        <v>225.15099999980188</v>
      </c>
      <c r="N6" s="11">
        <f t="shared" si="0"/>
        <v>227.75800000002647</v>
      </c>
      <c r="O6" s="11">
        <f t="shared" si="0"/>
        <v>220.63999999966694</v>
      </c>
      <c r="P6" s="11">
        <f t="shared" si="0"/>
        <v>212.38000000164976</v>
      </c>
      <c r="Q6" s="11">
        <f t="shared" si="0"/>
        <v>195.23700000064915</v>
      </c>
      <c r="R6" s="39">
        <f t="shared" ref="R6:R10" si="1">IF(D$5-B$5 &lt;&gt; 0,(EXP(LN(D8/B8)/(D$5-B$5))-1)*100,0)</f>
        <v>-0.40395936370751784</v>
      </c>
      <c r="S6" s="39">
        <f t="shared" ref="S6:S12" si="2">F35</f>
        <v>-0.81213891267825078</v>
      </c>
    </row>
    <row r="7" spans="1:19" x14ac:dyDescent="0.3">
      <c r="A7" t="str">
        <f>name!C4</f>
        <v>Primary sector and utilities</v>
      </c>
      <c r="B7" s="11">
        <f t="array" ref="B7:B12">MMULT(aggregation!$B$28:$BX$33,'Ind T3'!B5:B79)</f>
        <v>72.308000000125929</v>
      </c>
      <c r="C7" s="11">
        <f t="array" ref="C7:C12">MMULT(aggregation!$B$28:$BX$33,'Ind T3'!C5:C79)</f>
        <v>77.823000000426504</v>
      </c>
      <c r="D7" s="11">
        <f t="array" ref="D7:D12">MMULT(aggregation!$B$28:$BX$33,'Ind T3'!D5:D79)</f>
        <v>55.543999999892435</v>
      </c>
      <c r="E7" s="11">
        <f t="array" ref="E7:E12">MMULT(aggregation!$B$28:$BX$33,'Ind T3'!E5:E79)</f>
        <v>56.970000000368515</v>
      </c>
      <c r="F7" s="11">
        <f t="array" ref="F7:F12">MMULT(aggregation!$B$28:$BX$33,'Ind T3'!F5:F79)</f>
        <v>57.639000000147448</v>
      </c>
      <c r="G7" s="11"/>
      <c r="H7" s="11">
        <f>F7-D7</f>
        <v>2.0950000002550127</v>
      </c>
      <c r="I7" s="11">
        <f t="array" ref="I7:I12">MMULT(aggregation!$B$28:$BX$33,'RD T1'!AB7:AB81)</f>
        <v>26.703510027284562</v>
      </c>
      <c r="J7" s="11">
        <f>SUM(H7:I7)</f>
        <v>28.798510027539574</v>
      </c>
      <c r="K7" s="11"/>
      <c r="L7" t="str">
        <f t="shared" si="0"/>
        <v>Construction</v>
      </c>
      <c r="M7" s="11">
        <f t="shared" si="0"/>
        <v>243.42699999686482</v>
      </c>
      <c r="N7" s="11">
        <f t="shared" si="0"/>
        <v>240.42400000202719</v>
      </c>
      <c r="O7" s="11">
        <f t="shared" si="0"/>
        <v>273.41399999809221</v>
      </c>
      <c r="P7" s="11">
        <f t="shared" si="0"/>
        <v>297.71799999340317</v>
      </c>
      <c r="Q7" s="11">
        <f t="shared" si="0"/>
        <v>329.19799999638485</v>
      </c>
      <c r="R7" s="39">
        <f t="shared" si="1"/>
        <v>2.3506017480688035</v>
      </c>
      <c r="S7" s="39">
        <f t="shared" si="2"/>
        <v>1.2455077280584037</v>
      </c>
    </row>
    <row r="8" spans="1:19" x14ac:dyDescent="0.3">
      <c r="A8" t="str">
        <f>name!C5</f>
        <v>Manufacturing</v>
      </c>
      <c r="B8" s="11">
        <v>225.15099999980188</v>
      </c>
      <c r="C8" s="11">
        <v>227.75800000002647</v>
      </c>
      <c r="D8" s="11">
        <v>220.63999999966694</v>
      </c>
      <c r="E8" s="11">
        <v>212.38000000164976</v>
      </c>
      <c r="F8" s="11">
        <v>195.23700000064915</v>
      </c>
      <c r="G8" s="11"/>
      <c r="H8" s="11">
        <f t="shared" ref="H8:H12" si="3">F8-D8</f>
        <v>-25.402999999017794</v>
      </c>
      <c r="I8" s="11">
        <v>88.610764190374283</v>
      </c>
      <c r="J8" s="11">
        <f t="shared" ref="J8:J12" si="4">SUM(H8:I8)</f>
        <v>63.207764191356489</v>
      </c>
      <c r="K8" s="11"/>
      <c r="L8" t="str">
        <f t="shared" si="0"/>
        <v>Trade, accomod. and transport</v>
      </c>
      <c r="M8" s="11">
        <f t="shared" si="0"/>
        <v>823.25800001243124</v>
      </c>
      <c r="N8" s="11">
        <f t="shared" si="0"/>
        <v>857.35200000995985</v>
      </c>
      <c r="O8" s="11">
        <f t="shared" si="0"/>
        <v>840.56900000112455</v>
      </c>
      <c r="P8" s="11">
        <f t="shared" si="0"/>
        <v>867.31800001808961</v>
      </c>
      <c r="Q8" s="11">
        <f t="shared" si="0"/>
        <v>905.46000000168863</v>
      </c>
      <c r="R8" s="39">
        <f t="shared" si="1"/>
        <v>0.41705535868024057</v>
      </c>
      <c r="S8" s="39">
        <f t="shared" si="2"/>
        <v>0.49699131437834776</v>
      </c>
    </row>
    <row r="9" spans="1:19" x14ac:dyDescent="0.3">
      <c r="A9" t="str">
        <f>name!C6</f>
        <v>Construction</v>
      </c>
      <c r="B9" s="11">
        <v>243.42699999686482</v>
      </c>
      <c r="C9" s="11">
        <v>240.42400000202719</v>
      </c>
      <c r="D9" s="11">
        <v>273.41399999809221</v>
      </c>
      <c r="E9" s="11">
        <v>297.71799999340317</v>
      </c>
      <c r="F9" s="11">
        <v>329.19799999638485</v>
      </c>
      <c r="G9" s="11"/>
      <c r="H9" s="11">
        <f t="shared" si="3"/>
        <v>55.783999998292643</v>
      </c>
      <c r="I9" s="11">
        <v>126.43385913801174</v>
      </c>
      <c r="J9" s="11">
        <f t="shared" si="4"/>
        <v>182.21785913630438</v>
      </c>
      <c r="K9" s="11"/>
      <c r="L9" t="str">
        <f t="shared" si="0"/>
        <v>Business and other services</v>
      </c>
      <c r="M9" s="11">
        <f t="shared" si="0"/>
        <v>993.68699999888452</v>
      </c>
      <c r="N9" s="11">
        <f t="shared" si="0"/>
        <v>1054.9569999959917</v>
      </c>
      <c r="O9" s="11">
        <f t="shared" si="0"/>
        <v>1044.4069999964181</v>
      </c>
      <c r="P9" s="11">
        <f t="shared" si="0"/>
        <v>1074.6150000076559</v>
      </c>
      <c r="Q9" s="11">
        <f t="shared" si="0"/>
        <v>1133.4689999983541</v>
      </c>
      <c r="R9" s="39">
        <f t="shared" si="1"/>
        <v>1.0006184696311982</v>
      </c>
      <c r="S9" s="39">
        <f t="shared" si="2"/>
        <v>0.54704808290675366</v>
      </c>
    </row>
    <row r="10" spans="1:19" x14ac:dyDescent="0.3">
      <c r="A10" t="str">
        <f>name!C7</f>
        <v>Trade, accomod. and transport</v>
      </c>
      <c r="B10" s="11">
        <v>823.25800001243124</v>
      </c>
      <c r="C10" s="11">
        <v>857.35200000995985</v>
      </c>
      <c r="D10" s="11">
        <v>840.56900000112455</v>
      </c>
      <c r="E10" s="11">
        <v>867.31800001808961</v>
      </c>
      <c r="F10" s="11">
        <v>905.46000000168863</v>
      </c>
      <c r="G10" s="11"/>
      <c r="H10" s="11">
        <f t="shared" si="3"/>
        <v>64.891000000564077</v>
      </c>
      <c r="I10" s="11">
        <v>417.10645427435497</v>
      </c>
      <c r="J10" s="11">
        <f t="shared" si="4"/>
        <v>481.99745427491905</v>
      </c>
      <c r="K10" s="11"/>
      <c r="L10" t="str">
        <f t="shared" si="0"/>
        <v>Non-marketed services</v>
      </c>
      <c r="M10" s="11">
        <f t="shared" si="0"/>
        <v>697.94799999140355</v>
      </c>
      <c r="N10" s="11">
        <f t="shared" si="0"/>
        <v>748.788999989888</v>
      </c>
      <c r="O10" s="11">
        <f t="shared" si="0"/>
        <v>739.61800000320522</v>
      </c>
      <c r="P10" s="11">
        <f t="shared" si="0"/>
        <v>771.25099997883717</v>
      </c>
      <c r="Q10" s="11">
        <f t="shared" si="0"/>
        <v>823.28000000067436</v>
      </c>
      <c r="R10" s="39">
        <f t="shared" si="1"/>
        <v>1.1665362846994709</v>
      </c>
      <c r="S10" s="39">
        <f t="shared" si="2"/>
        <v>0.71697487730901788</v>
      </c>
    </row>
    <row r="11" spans="1:19" x14ac:dyDescent="0.3">
      <c r="A11" t="str">
        <f>name!C8</f>
        <v>Business and other services</v>
      </c>
      <c r="B11" s="11">
        <v>993.68699999888452</v>
      </c>
      <c r="C11" s="11">
        <v>1054.9569999959917</v>
      </c>
      <c r="D11" s="11">
        <v>1044.4069999964181</v>
      </c>
      <c r="E11" s="11">
        <v>1074.6150000076559</v>
      </c>
      <c r="F11" s="11">
        <v>1133.4689999983541</v>
      </c>
      <c r="G11" s="11"/>
      <c r="H11" s="11">
        <f t="shared" si="3"/>
        <v>89.062000001935985</v>
      </c>
      <c r="I11" s="11">
        <v>522.99143247270808</v>
      </c>
      <c r="J11" s="11">
        <f t="shared" si="4"/>
        <v>612.05343247464407</v>
      </c>
      <c r="K11" s="11"/>
      <c r="M11" s="11"/>
      <c r="N11" s="11"/>
      <c r="O11" s="11"/>
      <c r="P11" s="11"/>
      <c r="Q11" s="11"/>
      <c r="R11" s="39"/>
      <c r="S11" s="39"/>
    </row>
    <row r="12" spans="1:19" x14ac:dyDescent="0.3">
      <c r="A12" t="str">
        <f>name!C9</f>
        <v>Non-marketed services</v>
      </c>
      <c r="B12" s="11">
        <v>697.94799999140355</v>
      </c>
      <c r="C12" s="11">
        <v>748.788999989888</v>
      </c>
      <c r="D12" s="11">
        <v>739.61800000320522</v>
      </c>
      <c r="E12" s="11">
        <v>771.25099997883717</v>
      </c>
      <c r="F12" s="11">
        <v>823.28000000067436</v>
      </c>
      <c r="G12" s="11"/>
      <c r="H12" s="11">
        <f t="shared" si="3"/>
        <v>83.661999997469138</v>
      </c>
      <c r="I12" s="11">
        <v>424.64802828846109</v>
      </c>
      <c r="J12" s="11">
        <f t="shared" si="4"/>
        <v>508.31002828593023</v>
      </c>
      <c r="K12" s="11"/>
      <c r="L12" s="23" t="str">
        <f t="shared" ref="L12:Q12" si="5">A14</f>
        <v>All industries</v>
      </c>
      <c r="M12" s="33">
        <f t="shared" si="5"/>
        <v>3055.7789999995121</v>
      </c>
      <c r="N12" s="33">
        <f t="shared" si="5"/>
        <v>3207.1029999983198</v>
      </c>
      <c r="O12" s="33">
        <f t="shared" si="5"/>
        <v>3174.1919999983993</v>
      </c>
      <c r="P12" s="33">
        <f t="shared" si="5"/>
        <v>3280.252000000004</v>
      </c>
      <c r="Q12" s="33">
        <f t="shared" si="5"/>
        <v>3444.2829999978985</v>
      </c>
      <c r="R12" s="42">
        <f>IF(D$5-B$5 &lt;&gt; 0,(EXP(LN(D14/B14)/(D$5-B$5))-1)*100,0)</f>
        <v>0.76326935937189866</v>
      </c>
      <c r="S12" s="42">
        <f t="shared" si="2"/>
        <v>0.54590226783473028</v>
      </c>
    </row>
    <row r="13" spans="1:19" x14ac:dyDescent="0.3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3">
      <c r="A14" s="23" t="str">
        <f>name!C3</f>
        <v>All industries</v>
      </c>
      <c r="B14" s="33">
        <f>SUM(B7:B12)</f>
        <v>3055.7789999995121</v>
      </c>
      <c r="C14" s="33">
        <f t="shared" ref="C14:F14" si="6">SUM(C7:C12)</f>
        <v>3207.1029999983198</v>
      </c>
      <c r="D14" s="33">
        <f t="shared" si="6"/>
        <v>3174.1919999983993</v>
      </c>
      <c r="E14" s="33">
        <f t="shared" si="6"/>
        <v>3280.252000000004</v>
      </c>
      <c r="F14" s="33">
        <f t="shared" si="6"/>
        <v>3444.2829999978985</v>
      </c>
      <c r="G14" s="33"/>
      <c r="H14" s="33">
        <f>SUM(H7:H12)</f>
        <v>270.09099999949905</v>
      </c>
      <c r="I14" s="33">
        <f>SUM(I7:I12)</f>
        <v>1606.4940483911948</v>
      </c>
      <c r="J14" s="33">
        <f t="shared" ref="J14" si="7">SUM(J7:J12)</f>
        <v>1876.5850483906938</v>
      </c>
      <c r="K14" s="11"/>
      <c r="L14" s="11"/>
    </row>
    <row r="15" spans="1:19" x14ac:dyDescent="0.3">
      <c r="B15" s="11"/>
      <c r="C15" s="11"/>
      <c r="D15" s="11"/>
      <c r="E15" s="11"/>
      <c r="F15" s="11"/>
      <c r="G15" s="16"/>
      <c r="H15" s="11"/>
      <c r="I15" s="11"/>
      <c r="J15" s="11"/>
      <c r="K15" s="16"/>
      <c r="L15" s="11"/>
    </row>
    <row r="16" spans="1:19" x14ac:dyDescent="0.3">
      <c r="B16" s="11"/>
      <c r="C16" s="11"/>
      <c r="D16" s="11"/>
      <c r="E16" s="11"/>
      <c r="F16" s="11"/>
      <c r="G16" s="17"/>
      <c r="H16" s="16"/>
      <c r="I16" s="16"/>
      <c r="J16" s="347" t="s">
        <v>34</v>
      </c>
      <c r="K16" s="17"/>
      <c r="L16" s="11"/>
    </row>
    <row r="17" spans="1:12" x14ac:dyDescent="0.3">
      <c r="A17" s="35"/>
      <c r="B17" s="64"/>
      <c r="C17" s="64"/>
      <c r="D17" s="64"/>
      <c r="E17" s="64"/>
      <c r="F17" s="64"/>
      <c r="G17" s="17"/>
      <c r="H17" s="27" t="str">
        <f>CONCATENATE(D19,"-",F19)</f>
        <v>2020-2035</v>
      </c>
      <c r="I17" s="35"/>
      <c r="J17" s="35"/>
      <c r="K17" s="17"/>
      <c r="L17" s="11"/>
    </row>
    <row r="18" spans="1:12" x14ac:dyDescent="0.3">
      <c r="B18" s="11"/>
      <c r="C18" s="11"/>
      <c r="D18" s="11"/>
      <c r="E18" s="11"/>
      <c r="F18" s="11"/>
      <c r="G18" s="17"/>
      <c r="H18" s="15" t="s">
        <v>29</v>
      </c>
      <c r="I18" s="15" t="s">
        <v>30</v>
      </c>
      <c r="J18" s="15" t="s">
        <v>32</v>
      </c>
      <c r="K18" s="17"/>
      <c r="L18" s="11"/>
    </row>
    <row r="19" spans="1:12" x14ac:dyDescent="0.3">
      <c r="A19" s="40" t="s">
        <v>463</v>
      </c>
      <c r="B19" s="34">
        <f>B$5</f>
        <v>2015</v>
      </c>
      <c r="C19" s="34">
        <f>C$5</f>
        <v>2019</v>
      </c>
      <c r="D19" s="34">
        <f>D$5</f>
        <v>2020</v>
      </c>
      <c r="E19" s="34">
        <f>E$5</f>
        <v>2025</v>
      </c>
      <c r="F19" s="34">
        <f>F$5</f>
        <v>2035</v>
      </c>
      <c r="G19" s="17"/>
      <c r="H19" s="62" t="s">
        <v>18</v>
      </c>
      <c r="I19" s="62" t="s">
        <v>31</v>
      </c>
      <c r="J19" s="62" t="s">
        <v>33</v>
      </c>
      <c r="K19" s="17"/>
      <c r="L19" s="11"/>
    </row>
    <row r="20" spans="1:12" x14ac:dyDescent="0.3">
      <c r="A20" t="str">
        <f>$A$7</f>
        <v>Primary sector and utilities</v>
      </c>
      <c r="B20" s="17">
        <f>B7/B$14*100</f>
        <v>2.3662705974528091</v>
      </c>
      <c r="C20" s="17">
        <f>C7/C$14*100</f>
        <v>2.4265824951823274</v>
      </c>
      <c r="D20" s="17">
        <f>D7/D$14*100</f>
        <v>1.7498626422069126</v>
      </c>
      <c r="E20" s="17">
        <f>E7/E$14*100</f>
        <v>1.7367568101587454</v>
      </c>
      <c r="F20" s="17">
        <f>F7/F$14*100</f>
        <v>1.6734687596861992</v>
      </c>
      <c r="G20" s="17"/>
      <c r="H20" s="39">
        <f>IF(D7&gt;0,(H7/D7)*100,0)</f>
        <v>3.7717845316489083</v>
      </c>
      <c r="I20" s="39">
        <f>IF(D7&gt;0,(I7/D7)*100,0)</f>
        <v>48.076317923333349</v>
      </c>
      <c r="J20" s="39">
        <f>IF(D7&gt;0,(J7/D7)*100,0)</f>
        <v>51.848102454982261</v>
      </c>
      <c r="K20" s="17"/>
      <c r="L20" s="11"/>
    </row>
    <row r="21" spans="1:12" x14ac:dyDescent="0.3">
      <c r="A21" t="str">
        <f>$A$8</f>
        <v>Manufacturing</v>
      </c>
      <c r="B21" s="17">
        <f t="shared" ref="B21:F27" si="8">B8/B$14*100</f>
        <v>7.3680393771878734</v>
      </c>
      <c r="C21" s="17">
        <f t="shared" si="8"/>
        <v>7.1016740029910412</v>
      </c>
      <c r="D21" s="17">
        <f t="shared" si="8"/>
        <v>6.9510603013232402</v>
      </c>
      <c r="E21" s="17">
        <f t="shared" si="8"/>
        <v>6.4745025687553737</v>
      </c>
      <c r="F21" s="17">
        <f t="shared" si="8"/>
        <v>5.6684366528757444</v>
      </c>
      <c r="G21" s="17"/>
      <c r="H21" s="39">
        <f t="shared" ref="H21:H25" si="9">IF(D8&gt;0,(H8/D8)*100,0)</f>
        <v>-11.513324872668663</v>
      </c>
      <c r="I21" s="39">
        <f t="shared" ref="I21:I25" si="10">IF(D8&gt;0,(I8/D8)*100,0)</f>
        <v>40.160788701281746</v>
      </c>
      <c r="J21" s="39">
        <f t="shared" ref="J21:J25" si="11">IF(D8&gt;0,(J8/D8)*100,0)</f>
        <v>28.64746382861308</v>
      </c>
      <c r="K21" s="17"/>
      <c r="L21" s="11"/>
    </row>
    <row r="22" spans="1:12" x14ac:dyDescent="0.3">
      <c r="A22" t="str">
        <f>$A$9</f>
        <v>Construction</v>
      </c>
      <c r="B22" s="17">
        <f t="shared" si="8"/>
        <v>7.9661192775035001</v>
      </c>
      <c r="C22" s="17">
        <f t="shared" si="8"/>
        <v>7.4966098688490241</v>
      </c>
      <c r="D22" s="17">
        <f t="shared" si="8"/>
        <v>8.6136566407523585</v>
      </c>
      <c r="E22" s="17">
        <f t="shared" si="8"/>
        <v>9.0760709845890748</v>
      </c>
      <c r="F22" s="17">
        <f t="shared" si="8"/>
        <v>9.5578092739936213</v>
      </c>
      <c r="G22" s="17"/>
      <c r="H22" s="39">
        <f t="shared" si="9"/>
        <v>20.402759185221637</v>
      </c>
      <c r="I22" s="39">
        <f t="shared" si="10"/>
        <v>46.24264270991754</v>
      </c>
      <c r="J22" s="39">
        <f t="shared" si="11"/>
        <v>66.645401895139173</v>
      </c>
      <c r="K22" s="17"/>
      <c r="L22" s="11"/>
    </row>
    <row r="23" spans="1:12" x14ac:dyDescent="0.3">
      <c r="A23" t="str">
        <f>$A$10</f>
        <v>Trade, accomod. and transport</v>
      </c>
      <c r="B23" s="17">
        <f t="shared" si="8"/>
        <v>26.941018968078605</v>
      </c>
      <c r="C23" s="17">
        <f t="shared" si="8"/>
        <v>26.732911291293387</v>
      </c>
      <c r="D23" s="17">
        <f t="shared" si="8"/>
        <v>26.481353364936606</v>
      </c>
      <c r="E23" s="17">
        <f t="shared" si="8"/>
        <v>26.440590540546538</v>
      </c>
      <c r="F23" s="17">
        <f t="shared" si="8"/>
        <v>26.288780567747803</v>
      </c>
      <c r="G23" s="17"/>
      <c r="H23" s="39">
        <f t="shared" si="9"/>
        <v>7.7198897414105518</v>
      </c>
      <c r="I23" s="39">
        <f t="shared" si="10"/>
        <v>49.621917329070783</v>
      </c>
      <c r="J23" s="39">
        <f t="shared" si="11"/>
        <v>57.34180707048133</v>
      </c>
      <c r="K23" s="17"/>
      <c r="L23" s="11"/>
    </row>
    <row r="24" spans="1:12" x14ac:dyDescent="0.3">
      <c r="A24" t="str">
        <f>$A$11</f>
        <v>Business and other services</v>
      </c>
      <c r="B24" s="17">
        <f t="shared" si="8"/>
        <v>32.518287480836904</v>
      </c>
      <c r="C24" s="17">
        <f t="shared" si="8"/>
        <v>32.894390981410467</v>
      </c>
      <c r="D24" s="17">
        <f t="shared" si="8"/>
        <v>32.903082107098278</v>
      </c>
      <c r="E24" s="17">
        <f t="shared" si="8"/>
        <v>32.760135502017974</v>
      </c>
      <c r="F24" s="17">
        <f t="shared" si="8"/>
        <v>32.908706979044574</v>
      </c>
      <c r="G24" s="17"/>
      <c r="H24" s="39">
        <f t="shared" si="9"/>
        <v>8.5275184867816307</v>
      </c>
      <c r="I24" s="39">
        <f t="shared" si="10"/>
        <v>50.075443048016886</v>
      </c>
      <c r="J24" s="39">
        <f t="shared" si="11"/>
        <v>58.602961534798517</v>
      </c>
      <c r="K24" s="17"/>
    </row>
    <row r="25" spans="1:12" x14ac:dyDescent="0.3">
      <c r="A25" t="str">
        <f>$A$12</f>
        <v>Non-marketed services</v>
      </c>
      <c r="B25" s="17">
        <f t="shared" si="8"/>
        <v>22.840264298940301</v>
      </c>
      <c r="C25" s="17">
        <f t="shared" si="8"/>
        <v>23.347831360273751</v>
      </c>
      <c r="D25" s="17">
        <f t="shared" si="8"/>
        <v>23.300984943682622</v>
      </c>
      <c r="E25" s="17">
        <f t="shared" si="8"/>
        <v>23.511943593932301</v>
      </c>
      <c r="F25" s="17">
        <f t="shared" si="8"/>
        <v>23.902797766652061</v>
      </c>
      <c r="G25" s="17"/>
      <c r="H25" s="39">
        <f t="shared" si="9"/>
        <v>11.311514862686762</v>
      </c>
      <c r="I25" s="39">
        <f t="shared" si="10"/>
        <v>57.414506986933908</v>
      </c>
      <c r="J25" s="39">
        <f t="shared" si="11"/>
        <v>68.726021849620665</v>
      </c>
      <c r="K25" s="17"/>
      <c r="L25" s="11"/>
    </row>
    <row r="26" spans="1:12" x14ac:dyDescent="0.3">
      <c r="B26" s="17"/>
      <c r="C26" s="17"/>
      <c r="D26" s="17"/>
      <c r="E26" s="17"/>
      <c r="F26" s="17"/>
      <c r="G26" s="17"/>
      <c r="H26" s="39"/>
      <c r="I26" s="39"/>
      <c r="J26" s="39"/>
      <c r="K26" s="17"/>
      <c r="L26" s="11"/>
    </row>
    <row r="27" spans="1:12" x14ac:dyDescent="0.3">
      <c r="A27" s="23" t="str">
        <f>$A$14</f>
        <v>All industries</v>
      </c>
      <c r="B27" s="25">
        <f t="shared" si="8"/>
        <v>100</v>
      </c>
      <c r="C27" s="25">
        <f t="shared" si="8"/>
        <v>100</v>
      </c>
      <c r="D27" s="25">
        <f t="shared" si="8"/>
        <v>100</v>
      </c>
      <c r="E27" s="25">
        <f t="shared" si="8"/>
        <v>100</v>
      </c>
      <c r="F27" s="25">
        <f t="shared" si="8"/>
        <v>100</v>
      </c>
      <c r="G27" s="17"/>
      <c r="H27" s="42">
        <f>IF(D14&gt;0,(H14/D14)*100,0)</f>
        <v>8.5089685815992002</v>
      </c>
      <c r="I27" s="42">
        <f>IF(D14&gt;0,(I14/D14)*100,0)</f>
        <v>50.61111767630959</v>
      </c>
      <c r="J27" s="42">
        <f>IF(D14&gt;0,(J14/D14)*100,0)</f>
        <v>59.120086257908788</v>
      </c>
      <c r="K27" s="17"/>
      <c r="L27" s="11"/>
    </row>
    <row r="28" spans="1:12" x14ac:dyDescent="0.3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1"/>
    </row>
    <row r="29" spans="1:12" x14ac:dyDescent="0.3"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1"/>
    </row>
    <row r="30" spans="1:12" x14ac:dyDescent="0.3">
      <c r="B30" s="17"/>
      <c r="C30" s="17"/>
      <c r="D30" s="17"/>
      <c r="E30" s="17"/>
      <c r="F30" s="17"/>
      <c r="H30" s="17"/>
      <c r="I30" s="17"/>
      <c r="J30" s="17"/>
    </row>
    <row r="31" spans="1:12" ht="15.45" x14ac:dyDescent="0.4">
      <c r="A31" s="193" t="str">
        <f>CONCATENATE(A1," (Continued)")</f>
        <v>Industry Table 1  Employment by Industry Sector (SIC 2007), 2015-2035, East (Continued)</v>
      </c>
      <c r="B31" s="17"/>
      <c r="C31" s="17"/>
      <c r="D31" s="17"/>
      <c r="E31" s="17"/>
      <c r="F31" s="17"/>
      <c r="G31" s="19"/>
      <c r="K31" s="19"/>
    </row>
    <row r="32" spans="1:12" x14ac:dyDescent="0.3">
      <c r="G32" s="17"/>
      <c r="H32" s="19"/>
      <c r="I32" s="19"/>
      <c r="J32" s="19"/>
      <c r="K32" s="17"/>
    </row>
    <row r="33" spans="1:11" x14ac:dyDescent="0.3">
      <c r="A33" s="194" t="s">
        <v>14</v>
      </c>
      <c r="B33" s="24" t="str">
        <f>CONCATENATE(B$5,"-",C$5)</f>
        <v>2015-2019</v>
      </c>
      <c r="C33" s="24" t="str">
        <f>CONCATENATE(C$5,"-",D$5)</f>
        <v>2019-2020</v>
      </c>
      <c r="D33" s="24" t="str">
        <f>CONCATENATE(D$5,"-",E$5)</f>
        <v>2020-2025</v>
      </c>
      <c r="E33" s="24" t="str">
        <f>CONCATENATE(E$5,"-",F$5)</f>
        <v>2025-2035</v>
      </c>
      <c r="F33" s="24" t="str">
        <f>CONCATENATE(D$5,"-",F$5)</f>
        <v>2020-2035</v>
      </c>
      <c r="G33" s="17"/>
      <c r="H33" s="17"/>
      <c r="I33" s="17"/>
      <c r="J33" s="17"/>
      <c r="K33" s="17"/>
    </row>
    <row r="34" spans="1:11" x14ac:dyDescent="0.3">
      <c r="A34" t="str">
        <f>$A$7</f>
        <v>Primary sector and utilities</v>
      </c>
      <c r="B34" s="17">
        <f>IF(C$5-B$5 &lt;&gt; 0,(EXP(LN(C7/B7)/(C$5-B$5))-1)*100,0)</f>
        <v>1.8545430560664267</v>
      </c>
      <c r="C34" s="17">
        <f>IF(D$5-C$5 &lt;&gt; 0,(EXP(LN(D7/C7)/(D$5-C$5))-1)*100,0)</f>
        <v>-28.627783560659402</v>
      </c>
      <c r="D34" s="17">
        <f>IF(E$5-D$5 &lt;&gt; 0,(EXP(LN(E7/D7)/(E$5-D$5))-1)*100,0)</f>
        <v>0.50827363108365553</v>
      </c>
      <c r="E34" s="17">
        <f>IF(F$5-E$5 &lt;&gt; 0,(EXP(LN(F7/E7)/(F$5-E$5))-1)*100,0)</f>
        <v>0.11681425898337761</v>
      </c>
      <c r="F34" s="17">
        <f>IF(F$5-D$5 &lt;&gt; 0,(EXP(LN(F7/D7)/(F$5-D$5))-1)*100,0)</f>
        <v>0.24713101632760637</v>
      </c>
      <c r="G34" s="17"/>
      <c r="H34" s="17"/>
      <c r="I34" s="17"/>
      <c r="J34" s="17"/>
      <c r="K34" s="17"/>
    </row>
    <row r="35" spans="1:11" x14ac:dyDescent="0.3">
      <c r="A35" t="str">
        <f>$A$8</f>
        <v>Manufacturing</v>
      </c>
      <c r="B35" s="17">
        <f t="shared" ref="B35:B41" si="12">IF(C$5-B$5 &lt;&gt; 0,(EXP(LN(C8/B8)/(C$5-B$5))-1)*100,0)</f>
        <v>0.28822390715070867</v>
      </c>
      <c r="C35" s="17">
        <f t="shared" ref="C35:C41" si="13">IF(D$5-C$5 &lt;&gt; 0,(EXP(LN(D8/C8)/(D$5-C$5))-1)*100,0)</f>
        <v>-3.1252469728214605</v>
      </c>
      <c r="D35" s="17">
        <f t="shared" ref="D35:E39" si="14">IF(E$5-D$5 &lt;&gt; 0,(EXP(LN(E8/D8)/(E$5-D$5))-1)*100,0)</f>
        <v>-0.76020156095037983</v>
      </c>
      <c r="E35" s="17">
        <f t="shared" si="14"/>
        <v>-0.83809739458314825</v>
      </c>
      <c r="F35" s="17">
        <f t="shared" ref="F35:F41" si="15">IF(F$5-D$5 &lt;&gt; 0,(EXP(LN(F8/D8)/(F$5-D$5))-1)*100,0)</f>
        <v>-0.81213891267825078</v>
      </c>
      <c r="G35" s="17"/>
      <c r="H35" s="17"/>
      <c r="I35" s="17"/>
      <c r="J35" s="17"/>
      <c r="K35" s="17"/>
    </row>
    <row r="36" spans="1:11" x14ac:dyDescent="0.3">
      <c r="A36" t="str">
        <f>$A$9</f>
        <v>Construction</v>
      </c>
      <c r="B36" s="17">
        <f t="shared" si="12"/>
        <v>-0.30984577422111803</v>
      </c>
      <c r="C36" s="17">
        <f t="shared" si="13"/>
        <v>13.721591852638193</v>
      </c>
      <c r="D36" s="17">
        <f t="shared" si="14"/>
        <v>1.7177790067413934</v>
      </c>
      <c r="E36" s="17">
        <f t="shared" si="14"/>
        <v>1.0101950018486017</v>
      </c>
      <c r="F36" s="17">
        <f t="shared" si="15"/>
        <v>1.2455077280584037</v>
      </c>
      <c r="G36" s="17"/>
      <c r="H36" s="17"/>
      <c r="I36" s="17"/>
      <c r="J36" s="17"/>
      <c r="K36" s="17"/>
    </row>
    <row r="37" spans="1:11" x14ac:dyDescent="0.3">
      <c r="A37" t="str">
        <f>$A$10</f>
        <v>Trade, accomod. and transport</v>
      </c>
      <c r="B37" s="17">
        <f t="shared" si="12"/>
        <v>1.0196364900073807</v>
      </c>
      <c r="C37" s="17">
        <f t="shared" si="13"/>
        <v>-1.9575390281518334</v>
      </c>
      <c r="D37" s="17">
        <f t="shared" si="14"/>
        <v>0.62849978497572234</v>
      </c>
      <c r="E37" s="17">
        <f t="shared" si="14"/>
        <v>0.431301542353002</v>
      </c>
      <c r="F37" s="17">
        <f t="shared" si="15"/>
        <v>0.49699131437834776</v>
      </c>
      <c r="G37" s="17"/>
      <c r="H37" s="17"/>
      <c r="I37" s="17"/>
      <c r="J37" s="17"/>
      <c r="K37" s="17"/>
    </row>
    <row r="38" spans="1:11" x14ac:dyDescent="0.3">
      <c r="A38" t="str">
        <f>$A$11</f>
        <v>Business and other services</v>
      </c>
      <c r="B38" s="17">
        <f t="shared" si="12"/>
        <v>1.5070689364364842</v>
      </c>
      <c r="C38" s="17">
        <f t="shared" si="13"/>
        <v>-1.0000407599185301</v>
      </c>
      <c r="D38" s="17">
        <f t="shared" si="14"/>
        <v>0.57189305363016807</v>
      </c>
      <c r="E38" s="17">
        <f t="shared" si="14"/>
        <v>0.53462789924920706</v>
      </c>
      <c r="F38" s="17">
        <f t="shared" si="15"/>
        <v>0.54704808290675366</v>
      </c>
      <c r="G38" s="17"/>
      <c r="H38" s="17"/>
      <c r="I38" s="17"/>
      <c r="J38" s="17"/>
      <c r="K38" s="17"/>
    </row>
    <row r="39" spans="1:11" x14ac:dyDescent="0.3">
      <c r="A39" t="str">
        <f>$A$12</f>
        <v>Non-marketed services</v>
      </c>
      <c r="B39" s="17">
        <f t="shared" si="12"/>
        <v>1.7733563434519928</v>
      </c>
      <c r="C39" s="17">
        <f t="shared" si="13"/>
        <v>-1.224777605815075</v>
      </c>
      <c r="D39" s="17">
        <f t="shared" si="14"/>
        <v>0.84111839095273311</v>
      </c>
      <c r="E39" s="17">
        <f t="shared" si="14"/>
        <v>0.65496044373922757</v>
      </c>
      <c r="F39" s="17">
        <f t="shared" si="15"/>
        <v>0.71697487730901788</v>
      </c>
      <c r="G39" s="17"/>
      <c r="H39" s="17"/>
      <c r="I39" s="17"/>
      <c r="J39" s="17"/>
      <c r="K39" s="17"/>
    </row>
    <row r="40" spans="1:11" x14ac:dyDescent="0.3">
      <c r="B40" s="17"/>
      <c r="C40" s="17"/>
      <c r="D40" s="17"/>
      <c r="E40" s="17"/>
      <c r="F40" s="17"/>
      <c r="G40" s="17"/>
      <c r="H40" s="17"/>
      <c r="I40" s="17"/>
      <c r="J40" s="17"/>
      <c r="K40" s="17"/>
    </row>
    <row r="41" spans="1:11" x14ac:dyDescent="0.3">
      <c r="A41" t="str">
        <f>$A$14</f>
        <v>All industries</v>
      </c>
      <c r="B41" s="17">
        <f t="shared" si="12"/>
        <v>1.2156670242623679</v>
      </c>
      <c r="C41" s="17">
        <f t="shared" si="13"/>
        <v>-1.0261909268251657</v>
      </c>
      <c r="D41" s="17">
        <f>IF(E$5-D$5 &lt;&gt; 0,(EXP(LN(E14/D14)/(E$5-D$5))-1)*100,0)</f>
        <v>0.65950797804075201</v>
      </c>
      <c r="E41" s="17">
        <f>IF(F$5-E$5 &lt;&gt; 0,(EXP(LN(F14/E14)/(F$5-E$5))-1)*100,0)</f>
        <v>0.48914750314454913</v>
      </c>
      <c r="F41" s="17">
        <f t="shared" si="15"/>
        <v>0.54590226783473028</v>
      </c>
      <c r="H41" s="17"/>
      <c r="I41" s="17"/>
      <c r="J41" s="17"/>
    </row>
    <row r="42" spans="1:11" x14ac:dyDescent="0.3">
      <c r="B42" s="17"/>
      <c r="C42" s="17"/>
      <c r="D42" s="17"/>
      <c r="E42" s="17"/>
      <c r="F42" s="17"/>
      <c r="G42" s="19"/>
      <c r="K42" s="19"/>
    </row>
    <row r="43" spans="1:11" x14ac:dyDescent="0.3">
      <c r="G43" s="26"/>
      <c r="H43" s="19"/>
      <c r="I43" s="19"/>
      <c r="J43" s="19"/>
      <c r="K43" s="26"/>
    </row>
    <row r="44" spans="1:11" x14ac:dyDescent="0.3">
      <c r="A44" s="1" t="s">
        <v>15</v>
      </c>
      <c r="B44" s="19" t="str">
        <f>CONCATENATE(B$5,"-",C$5)</f>
        <v>2015-2019</v>
      </c>
      <c r="C44" s="19" t="str">
        <f>CONCATENATE(C$5,"-",D$5)</f>
        <v>2019-2020</v>
      </c>
      <c r="D44" s="19" t="str">
        <f>CONCATENATE(D$5,"-",E$5)</f>
        <v>2020-2025</v>
      </c>
      <c r="E44" s="19" t="str">
        <f>CONCATENATE(E$5,"-",F$5)</f>
        <v>2025-2035</v>
      </c>
      <c r="F44" s="19" t="str">
        <f>CONCATENATE(D$5,"-",F$5)</f>
        <v>2020-2035</v>
      </c>
      <c r="G44" s="26"/>
      <c r="H44" s="26"/>
      <c r="I44" s="26"/>
      <c r="J44" s="26"/>
      <c r="K44" s="26"/>
    </row>
    <row r="45" spans="1:11" x14ac:dyDescent="0.3">
      <c r="A45" t="str">
        <f>$A$7</f>
        <v>Primary sector and utilities</v>
      </c>
      <c r="B45" s="26">
        <f>C7-B7</f>
        <v>5.5150000003005744</v>
      </c>
      <c r="C45" s="26">
        <f>D7-C7</f>
        <v>-22.279000000534069</v>
      </c>
      <c r="D45" s="26">
        <f>E7-D7</f>
        <v>1.4260000004760798</v>
      </c>
      <c r="E45" s="26">
        <f>F7-E7</f>
        <v>0.66899999977893287</v>
      </c>
      <c r="F45" s="26">
        <f>F7-D7</f>
        <v>2.0950000002550127</v>
      </c>
      <c r="G45" s="26"/>
      <c r="H45" s="26"/>
      <c r="I45" s="26"/>
      <c r="J45" s="26"/>
      <c r="K45" s="26"/>
    </row>
    <row r="46" spans="1:11" x14ac:dyDescent="0.3">
      <c r="A46" t="str">
        <f>$A$8</f>
        <v>Manufacturing</v>
      </c>
      <c r="B46" s="26">
        <f t="shared" ref="B46:E52" si="16">C8-B8</f>
        <v>2.6070000002245877</v>
      </c>
      <c r="C46" s="26">
        <f>D8-C8</f>
        <v>-7.1180000003595296</v>
      </c>
      <c r="D46" s="26">
        <f t="shared" si="16"/>
        <v>-8.2599999980171788</v>
      </c>
      <c r="E46" s="26">
        <f t="shared" si="16"/>
        <v>-17.143000001000615</v>
      </c>
      <c r="F46" s="26">
        <f t="shared" ref="F46:F52" si="17">F8-D8</f>
        <v>-25.402999999017794</v>
      </c>
      <c r="G46" s="26"/>
      <c r="H46" s="26"/>
      <c r="I46" s="26"/>
      <c r="J46" s="26"/>
      <c r="K46" s="26"/>
    </row>
    <row r="47" spans="1:11" x14ac:dyDescent="0.3">
      <c r="A47" t="str">
        <f>$A$9</f>
        <v>Construction</v>
      </c>
      <c r="B47" s="26">
        <f t="shared" si="16"/>
        <v>-3.0029999948376371</v>
      </c>
      <c r="C47" s="26">
        <f t="shared" ref="C47:C50" si="18">D9-C9</f>
        <v>32.989999996065023</v>
      </c>
      <c r="D47" s="26">
        <f t="shared" si="16"/>
        <v>24.30399999531096</v>
      </c>
      <c r="E47" s="26">
        <f t="shared" si="16"/>
        <v>31.480000002981683</v>
      </c>
      <c r="F47" s="26">
        <f t="shared" si="17"/>
        <v>55.783999998292643</v>
      </c>
      <c r="G47" s="26"/>
      <c r="H47" s="26"/>
      <c r="I47" s="26"/>
      <c r="J47" s="26"/>
      <c r="K47" s="26"/>
    </row>
    <row r="48" spans="1:11" x14ac:dyDescent="0.3">
      <c r="A48" t="str">
        <f>$A$10</f>
        <v>Trade, accomod. and transport</v>
      </c>
      <c r="B48" s="26">
        <f t="shared" si="16"/>
        <v>34.093999997528613</v>
      </c>
      <c r="C48" s="26">
        <f t="shared" si="18"/>
        <v>-16.783000008835302</v>
      </c>
      <c r="D48" s="26">
        <f t="shared" si="16"/>
        <v>26.749000016965056</v>
      </c>
      <c r="E48" s="26">
        <f t="shared" si="16"/>
        <v>38.141999983599021</v>
      </c>
      <c r="F48" s="26">
        <f t="shared" si="17"/>
        <v>64.891000000564077</v>
      </c>
      <c r="G48" s="26"/>
      <c r="H48" s="26"/>
      <c r="I48" s="26"/>
      <c r="J48" s="26"/>
      <c r="K48" s="26"/>
    </row>
    <row r="49" spans="1:11" x14ac:dyDescent="0.3">
      <c r="A49" t="str">
        <f>$A$11</f>
        <v>Business and other services</v>
      </c>
      <c r="B49" s="26">
        <f t="shared" si="16"/>
        <v>61.26999999710722</v>
      </c>
      <c r="C49" s="26">
        <f t="shared" si="18"/>
        <v>-10.549999999573629</v>
      </c>
      <c r="D49" s="26">
        <f t="shared" si="16"/>
        <v>30.2080000112378</v>
      </c>
      <c r="E49" s="26">
        <f t="shared" si="16"/>
        <v>58.853999990698185</v>
      </c>
      <c r="F49" s="26">
        <f t="shared" si="17"/>
        <v>89.062000001935985</v>
      </c>
      <c r="G49" s="26"/>
      <c r="H49" s="26"/>
      <c r="I49" s="26"/>
      <c r="J49" s="26"/>
      <c r="K49" s="26"/>
    </row>
    <row r="50" spans="1:11" x14ac:dyDescent="0.3">
      <c r="A50" t="str">
        <f>$A$12</f>
        <v>Non-marketed services</v>
      </c>
      <c r="B50" s="26">
        <f t="shared" si="16"/>
        <v>50.840999998484449</v>
      </c>
      <c r="C50" s="26">
        <f t="shared" si="18"/>
        <v>-9.1709999866827729</v>
      </c>
      <c r="D50" s="26">
        <f t="shared" si="16"/>
        <v>31.632999975631947</v>
      </c>
      <c r="E50" s="26">
        <f t="shared" si="16"/>
        <v>52.029000021837192</v>
      </c>
      <c r="F50" s="26">
        <f t="shared" si="17"/>
        <v>83.661999997469138</v>
      </c>
      <c r="G50" s="26"/>
      <c r="H50" s="26"/>
      <c r="I50" s="26"/>
      <c r="J50" s="26"/>
      <c r="K50" s="26"/>
    </row>
    <row r="51" spans="1:11" x14ac:dyDescent="0.3">
      <c r="B51" s="26"/>
      <c r="C51" s="26"/>
      <c r="D51" s="26"/>
      <c r="E51" s="26"/>
      <c r="F51" s="26"/>
      <c r="H51" s="26"/>
      <c r="I51" s="26"/>
      <c r="J51" s="26"/>
    </row>
    <row r="52" spans="1:11" x14ac:dyDescent="0.3">
      <c r="A52" s="23" t="str">
        <f>$A$14</f>
        <v>All industries</v>
      </c>
      <c r="B52" s="28">
        <f>C14-B14</f>
        <v>151.32399999880772</v>
      </c>
      <c r="C52" s="28">
        <f>D14-C14</f>
        <v>-32.910999999920477</v>
      </c>
      <c r="D52" s="28">
        <f t="shared" si="16"/>
        <v>106.06000000160475</v>
      </c>
      <c r="E52" s="28">
        <f t="shared" si="16"/>
        <v>164.03099999789447</v>
      </c>
      <c r="F52" s="28">
        <f t="shared" si="17"/>
        <v>270.09099999949922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113"/>
  <sheetViews>
    <sheetView showGridLines="0" zoomScale="85" zoomScaleNormal="85" workbookViewId="0"/>
  </sheetViews>
  <sheetFormatPr defaultRowHeight="12.45" x14ac:dyDescent="0.3"/>
  <cols>
    <col min="1" max="1" width="26.69140625" customWidth="1"/>
    <col min="2" max="6" width="11.69140625" customWidth="1"/>
  </cols>
  <sheetData>
    <row r="1" spans="1:7" ht="15.45" x14ac:dyDescent="0.4">
      <c r="A1" s="18" t="str">
        <f>CONCATENATE("Industry Table 2  Employment by Industry Group (SIC 2007), ",B$3,"-",F$3,", ",Info!B5)</f>
        <v>Industry Table 2  Employment by Industry Group (SIC 2007), 2015-2035, East</v>
      </c>
    </row>
    <row r="2" spans="1:7" x14ac:dyDescent="0.3">
      <c r="A2" s="1" t="s">
        <v>534</v>
      </c>
    </row>
    <row r="3" spans="1:7" x14ac:dyDescent="0.3">
      <c r="A3" s="21"/>
      <c r="B3" s="22">
        <f>'Ind T3'!B3</f>
        <v>2015</v>
      </c>
      <c r="C3" s="22">
        <f>'Ind T3'!C3</f>
        <v>2019</v>
      </c>
      <c r="D3" s="22">
        <f>'Ind T3'!D3</f>
        <v>2020</v>
      </c>
      <c r="E3" s="22">
        <f>'Ind T3'!E3</f>
        <v>2025</v>
      </c>
      <c r="F3" s="22">
        <f>'Ind T3'!F3</f>
        <v>2035</v>
      </c>
    </row>
    <row r="4" spans="1:7" x14ac:dyDescent="0.3">
      <c r="A4" s="1" t="s">
        <v>13</v>
      </c>
    </row>
    <row r="5" spans="1:7" x14ac:dyDescent="0.3">
      <c r="A5" s="10" t="str">
        <f>name!B4</f>
        <v>Agriculture</v>
      </c>
      <c r="B5" s="11">
        <f t="array" ref="B5:B26">MMULT(aggregation!$B$3:$BX$24,'Ind T3'!B5:B79)</f>
        <v>40.811000000194547</v>
      </c>
      <c r="C5" s="11">
        <f t="array" ref="C5:C26">MMULT(aggregation!$B$3:$BX$24,'Ind T3'!C5:C79)</f>
        <v>43.194000000439345</v>
      </c>
      <c r="D5" s="11">
        <f t="array" ref="D5:D26">MMULT(aggregation!$B$3:$BX$24,'Ind T3'!D5:D79)</f>
        <v>25.4429999999434</v>
      </c>
      <c r="E5" s="11">
        <f t="array" ref="E5:E26">MMULT(aggregation!$B$3:$BX$24,'Ind T3'!E5:E79)</f>
        <v>26.603000000203799</v>
      </c>
      <c r="F5" s="11">
        <f t="array" ref="F5:F26">MMULT(aggregation!$B$3:$BX$24,'Ind T3'!F5:F79)</f>
        <v>26.058000000086867</v>
      </c>
      <c r="G5" s="10"/>
    </row>
    <row r="6" spans="1:7" x14ac:dyDescent="0.3">
      <c r="A6" s="10" t="str">
        <f>name!B5</f>
        <v>Mining and quarrying</v>
      </c>
      <c r="B6" s="11">
        <v>2.4379999999869169</v>
      </c>
      <c r="C6" s="11">
        <v>1.9439999999976525</v>
      </c>
      <c r="D6" s="11">
        <v>2.7589999999879002</v>
      </c>
      <c r="E6" s="11">
        <v>2.1029999999813591</v>
      </c>
      <c r="F6" s="11">
        <v>1.3989999999889444</v>
      </c>
    </row>
    <row r="7" spans="1:7" x14ac:dyDescent="0.3">
      <c r="A7" s="10" t="str">
        <f>name!B6</f>
        <v>Food drink and tobacco</v>
      </c>
      <c r="B7" s="11">
        <v>32.947000000102392</v>
      </c>
      <c r="C7" s="11">
        <v>35.560000000154915</v>
      </c>
      <c r="D7" s="11">
        <v>34.296999999961379</v>
      </c>
      <c r="E7" s="11">
        <v>36.915000000564248</v>
      </c>
      <c r="F7" s="11">
        <v>39.255000000253339</v>
      </c>
      <c r="G7" s="11"/>
    </row>
    <row r="8" spans="1:7" x14ac:dyDescent="0.3">
      <c r="A8" s="10" t="str">
        <f>name!B7</f>
        <v>Engineering</v>
      </c>
      <c r="B8" s="11">
        <v>45.036999999856405</v>
      </c>
      <c r="C8" s="11">
        <v>44.193999999914396</v>
      </c>
      <c r="D8" s="11">
        <v>41.956999999878732</v>
      </c>
      <c r="E8" s="11">
        <v>41.735000000218051</v>
      </c>
      <c r="F8" s="11">
        <v>35.39400000007759</v>
      </c>
      <c r="G8" s="11"/>
    </row>
    <row r="9" spans="1:7" x14ac:dyDescent="0.3">
      <c r="A9" s="10" t="str">
        <f>name!B8</f>
        <v>Rest of manufacturing</v>
      </c>
      <c r="B9" s="11">
        <v>147.16699999984311</v>
      </c>
      <c r="C9" s="11">
        <v>148.00399999995719</v>
      </c>
      <c r="D9" s="11">
        <v>144.38599999982682</v>
      </c>
      <c r="E9" s="11">
        <v>133.73000000086745</v>
      </c>
      <c r="F9" s="11">
        <v>120.58800000031822</v>
      </c>
      <c r="G9" s="11"/>
    </row>
    <row r="10" spans="1:7" x14ac:dyDescent="0.3">
      <c r="A10" s="10" t="str">
        <f>name!B9</f>
        <v>Electricity and gas</v>
      </c>
      <c r="B10" s="11">
        <v>6.9769999999797303</v>
      </c>
      <c r="C10" s="11">
        <v>7.2169999999705867</v>
      </c>
      <c r="D10" s="11">
        <v>5.9299999999484241</v>
      </c>
      <c r="E10" s="11">
        <v>5.5280000000022245</v>
      </c>
      <c r="F10" s="11">
        <v>5.286999999950595</v>
      </c>
      <c r="G10" s="11"/>
    </row>
    <row r="11" spans="1:7" x14ac:dyDescent="0.3">
      <c r="A11" s="10" t="str">
        <f>name!B10</f>
        <v>Water and sewerage</v>
      </c>
      <c r="B11" s="11">
        <v>22.081999999964729</v>
      </c>
      <c r="C11" s="11">
        <v>25.468000000018925</v>
      </c>
      <c r="D11" s="11">
        <v>21.412000000012714</v>
      </c>
      <c r="E11" s="11">
        <v>22.736000000181129</v>
      </c>
      <c r="F11" s="11">
        <v>24.895000000121041</v>
      </c>
      <c r="G11" s="11"/>
    </row>
    <row r="12" spans="1:7" x14ac:dyDescent="0.3">
      <c r="A12" s="10" t="str">
        <f>name!B11</f>
        <v>Construction</v>
      </c>
      <c r="B12" s="11">
        <v>243.42699999686482</v>
      </c>
      <c r="C12" s="11">
        <v>240.42400000202719</v>
      </c>
      <c r="D12" s="11">
        <v>273.41399999809221</v>
      </c>
      <c r="E12" s="11">
        <v>297.71799999340317</v>
      </c>
      <c r="F12" s="11">
        <v>329.19799999638485</v>
      </c>
      <c r="G12" s="11"/>
    </row>
    <row r="13" spans="1:7" x14ac:dyDescent="0.3">
      <c r="A13" s="10" t="str">
        <f>name!B12</f>
        <v>Wholesale and retail trade</v>
      </c>
      <c r="B13" s="11">
        <v>498.44400000861367</v>
      </c>
      <c r="C13" s="11">
        <v>483.70600000729888</v>
      </c>
      <c r="D13" s="11">
        <v>471.90300000065332</v>
      </c>
      <c r="E13" s="11">
        <v>479.37400000978693</v>
      </c>
      <c r="F13" s="11">
        <v>487.1329999997273</v>
      </c>
      <c r="G13" s="11"/>
    </row>
    <row r="14" spans="1:7" x14ac:dyDescent="0.3">
      <c r="A14" s="10" t="str">
        <f>name!B13</f>
        <v>Transport and storage</v>
      </c>
      <c r="B14" s="11">
        <v>137.70200000063346</v>
      </c>
      <c r="C14" s="11">
        <v>173.91099999924558</v>
      </c>
      <c r="D14" s="11">
        <v>165.97200000091695</v>
      </c>
      <c r="E14" s="11">
        <v>179.56200000425699</v>
      </c>
      <c r="F14" s="11">
        <v>184.30800000338297</v>
      </c>
      <c r="G14" s="11"/>
    </row>
    <row r="15" spans="1:7" x14ac:dyDescent="0.3">
      <c r="A15" s="10" t="str">
        <f>name!B14</f>
        <v>Accommodation and food</v>
      </c>
      <c r="B15" s="11">
        <v>187.11200000318414</v>
      </c>
      <c r="C15" s="11">
        <v>199.73500000341528</v>
      </c>
      <c r="D15" s="11">
        <v>202.69399999955419</v>
      </c>
      <c r="E15" s="11">
        <v>208.38200000404572</v>
      </c>
      <c r="F15" s="11">
        <v>234.01899999857835</v>
      </c>
      <c r="G15" s="11"/>
    </row>
    <row r="16" spans="1:7" x14ac:dyDescent="0.3">
      <c r="A16" s="10" t="str">
        <f>name!B15</f>
        <v>Media</v>
      </c>
      <c r="B16" s="11">
        <v>36.552000000029452</v>
      </c>
      <c r="C16" s="11">
        <v>29.073999999872534</v>
      </c>
      <c r="D16" s="11">
        <v>31.163999999966283</v>
      </c>
      <c r="E16" s="11">
        <v>30.126000000375701</v>
      </c>
      <c r="F16" s="11">
        <v>29.699000000039582</v>
      </c>
      <c r="G16" s="11"/>
    </row>
    <row r="17" spans="1:7" x14ac:dyDescent="0.3">
      <c r="A17" s="10" t="str">
        <f>name!B16</f>
        <v>Information technology</v>
      </c>
      <c r="B17" s="11">
        <v>83.208999999124018</v>
      </c>
      <c r="C17" s="11">
        <v>84.552999998846516</v>
      </c>
      <c r="D17" s="11">
        <v>83.633999999069403</v>
      </c>
      <c r="E17" s="11">
        <v>87.203999999738514</v>
      </c>
      <c r="F17" s="11">
        <v>91.509999998699584</v>
      </c>
      <c r="G17" s="11"/>
    </row>
    <row r="18" spans="1:7" x14ac:dyDescent="0.3">
      <c r="A18" s="10" t="str">
        <f>name!B17</f>
        <v>Finance and insurance</v>
      </c>
      <c r="B18" s="11">
        <v>74.523999999641632</v>
      </c>
      <c r="C18" s="11">
        <v>75.766999999226869</v>
      </c>
      <c r="D18" s="11">
        <v>78.17299999949843</v>
      </c>
      <c r="E18" s="11">
        <v>75.513000000691932</v>
      </c>
      <c r="F18" s="11">
        <v>68.380999999685017</v>
      </c>
      <c r="G18" s="11"/>
    </row>
    <row r="19" spans="1:7" x14ac:dyDescent="0.3">
      <c r="A19" s="10" t="str">
        <f>name!B18</f>
        <v>Real estate</v>
      </c>
      <c r="B19" s="11">
        <v>44.884999999948363</v>
      </c>
      <c r="C19" s="11">
        <v>50.697999999990891</v>
      </c>
      <c r="D19" s="11">
        <v>51.984999999648018</v>
      </c>
      <c r="E19" s="11">
        <v>53.148000000317865</v>
      </c>
      <c r="F19" s="11">
        <v>60.826999999666633</v>
      </c>
      <c r="G19" s="11"/>
    </row>
    <row r="20" spans="1:7" x14ac:dyDescent="0.3">
      <c r="A20" s="10" t="str">
        <f>name!B19</f>
        <v>Professional services</v>
      </c>
      <c r="B20" s="11">
        <v>277.44799999703775</v>
      </c>
      <c r="C20" s="11">
        <v>330.80599999527561</v>
      </c>
      <c r="D20" s="11">
        <v>308.6649999988694</v>
      </c>
      <c r="E20" s="11">
        <v>325.30000000143724</v>
      </c>
      <c r="F20" s="11">
        <v>352.1619999985495</v>
      </c>
      <c r="G20" s="11"/>
    </row>
    <row r="21" spans="1:7" x14ac:dyDescent="0.3">
      <c r="A21" s="10" t="str">
        <f>name!B20</f>
        <v>Support services</v>
      </c>
      <c r="B21" s="11">
        <v>302.63600000230781</v>
      </c>
      <c r="C21" s="11">
        <v>309.53100000260196</v>
      </c>
      <c r="D21" s="11">
        <v>291.01499999948669</v>
      </c>
      <c r="E21" s="11">
        <v>309.03100000285247</v>
      </c>
      <c r="F21" s="11">
        <v>332.44000000063778</v>
      </c>
      <c r="G21" s="11"/>
    </row>
    <row r="22" spans="1:7" x14ac:dyDescent="0.3">
      <c r="A22" s="10" t="str">
        <f>name!B21</f>
        <v>Public admin. and defence</v>
      </c>
      <c r="B22" s="11">
        <v>93.169999999344981</v>
      </c>
      <c r="C22" s="11">
        <v>87.053999999271809</v>
      </c>
      <c r="D22" s="11">
        <v>89.344999999824566</v>
      </c>
      <c r="E22" s="11">
        <v>95.20600000044486</v>
      </c>
      <c r="F22" s="11">
        <v>100.93299999979894</v>
      </c>
      <c r="G22" s="11"/>
    </row>
    <row r="23" spans="1:7" x14ac:dyDescent="0.3">
      <c r="A23" s="10" t="str">
        <f>name!B22</f>
        <v>Education</v>
      </c>
      <c r="B23" s="11">
        <v>263.15899999695313</v>
      </c>
      <c r="C23" s="11">
        <v>281.39199999629238</v>
      </c>
      <c r="D23" s="11">
        <v>283.23500000341642</v>
      </c>
      <c r="E23" s="11">
        <v>279.15199998312448</v>
      </c>
      <c r="F23" s="11">
        <v>283.76200000257643</v>
      </c>
      <c r="G23" s="11"/>
    </row>
    <row r="24" spans="1:7" x14ac:dyDescent="0.3">
      <c r="A24" s="10" t="str">
        <f>name!B23</f>
        <v>Health and social work</v>
      </c>
      <c r="B24" s="11">
        <v>341.61899999510541</v>
      </c>
      <c r="C24" s="11">
        <v>380.3429999943238</v>
      </c>
      <c r="D24" s="11">
        <v>367.03799999996431</v>
      </c>
      <c r="E24" s="11">
        <v>396.89299999526776</v>
      </c>
      <c r="F24" s="11">
        <v>438.58499999829911</v>
      </c>
      <c r="G24" s="11"/>
    </row>
    <row r="25" spans="1:7" x14ac:dyDescent="0.3">
      <c r="A25" s="10" t="str">
        <f>name!B24</f>
        <v>Arts and entertainment</v>
      </c>
      <c r="B25" s="11">
        <v>74.761000000313402</v>
      </c>
      <c r="C25" s="11">
        <v>87.075999999980894</v>
      </c>
      <c r="D25" s="11">
        <v>102.69600000047062</v>
      </c>
      <c r="E25" s="11">
        <v>97.292000001495268</v>
      </c>
      <c r="F25" s="11">
        <v>100.8920000008181</v>
      </c>
      <c r="G25" s="11"/>
    </row>
    <row r="26" spans="1:7" x14ac:dyDescent="0.3">
      <c r="A26" s="10" t="str">
        <f>name!B25</f>
        <v>Other services</v>
      </c>
      <c r="B26" s="11">
        <v>99.6720000004821</v>
      </c>
      <c r="C26" s="11">
        <v>87.452000000196477</v>
      </c>
      <c r="D26" s="11">
        <v>97.074999999409286</v>
      </c>
      <c r="E26" s="11">
        <v>97.00100000074697</v>
      </c>
      <c r="F26" s="11">
        <v>97.558000000258232</v>
      </c>
      <c r="G26" s="11"/>
    </row>
    <row r="27" spans="1:7" x14ac:dyDescent="0.3">
      <c r="B27" s="11"/>
      <c r="C27" s="11"/>
      <c r="D27" s="11"/>
      <c r="E27" s="11"/>
      <c r="F27" s="11"/>
      <c r="G27" s="11"/>
    </row>
    <row r="28" spans="1:7" x14ac:dyDescent="0.3">
      <c r="A28" s="10" t="str">
        <f>name!B3</f>
        <v>All industries</v>
      </c>
      <c r="B28" s="11">
        <f>SUM(B5:B26)</f>
        <v>3055.7789999995116</v>
      </c>
      <c r="C28" s="11">
        <f t="shared" ref="C28:F28" si="0">SUM(C5:C26)</f>
        <v>3207.1029999983198</v>
      </c>
      <c r="D28" s="11">
        <f t="shared" si="0"/>
        <v>3174.1919999983993</v>
      </c>
      <c r="E28" s="11">
        <f t="shared" si="0"/>
        <v>3280.2520000000036</v>
      </c>
      <c r="F28" s="11">
        <f t="shared" si="0"/>
        <v>3444.282999997899</v>
      </c>
      <c r="G28" s="11"/>
    </row>
    <row r="29" spans="1:7" x14ac:dyDescent="0.3">
      <c r="B29" s="11"/>
      <c r="C29" s="11"/>
      <c r="D29" s="11"/>
      <c r="E29" s="11"/>
      <c r="F29" s="11"/>
      <c r="G29" s="11"/>
    </row>
    <row r="31" spans="1:7" x14ac:dyDescent="0.3">
      <c r="A31" s="40" t="s">
        <v>463</v>
      </c>
      <c r="B31" s="16">
        <f>B$3</f>
        <v>2015</v>
      </c>
      <c r="C31" s="16">
        <f>C$3</f>
        <v>2019</v>
      </c>
      <c r="D31" s="16">
        <f>D$3</f>
        <v>2020</v>
      </c>
      <c r="E31" s="16">
        <f>E$3</f>
        <v>2025</v>
      </c>
      <c r="F31" s="16">
        <f>F$3</f>
        <v>2035</v>
      </c>
      <c r="G31" s="11"/>
    </row>
    <row r="32" spans="1:7" x14ac:dyDescent="0.3">
      <c r="A32" t="str">
        <f>$A$5</f>
        <v>Agriculture</v>
      </c>
      <c r="B32" s="17">
        <f>B5/B$28*100</f>
        <v>1.3355350632425012</v>
      </c>
      <c r="C32" s="17">
        <f t="shared" ref="C32:E32" si="1">C5/C$28*100</f>
        <v>1.3468229738945701</v>
      </c>
      <c r="D32" s="17">
        <f t="shared" si="1"/>
        <v>0.80155831783194686</v>
      </c>
      <c r="E32" s="17">
        <f t="shared" si="1"/>
        <v>0.81100476427432311</v>
      </c>
      <c r="F32" s="17">
        <f>F5/F$28*100</f>
        <v>0.75655804125569126</v>
      </c>
    </row>
    <row r="33" spans="1:6" x14ac:dyDescent="0.3">
      <c r="A33" t="str">
        <f>$A$6</f>
        <v>Mining and quarrying</v>
      </c>
      <c r="B33" s="17">
        <f t="shared" ref="B33:F53" si="2">B6/B$28*100</f>
        <v>7.978325657671273E-2</v>
      </c>
      <c r="C33" s="17">
        <f t="shared" si="2"/>
        <v>6.0615452637432315E-2</v>
      </c>
      <c r="D33" s="17">
        <f t="shared" si="2"/>
        <v>8.6919757846698989E-2</v>
      </c>
      <c r="E33" s="17">
        <f t="shared" si="2"/>
        <v>6.4110928062275613E-2</v>
      </c>
      <c r="F33" s="17">
        <f t="shared" si="2"/>
        <v>4.0618032838468786E-2</v>
      </c>
    </row>
    <row r="34" spans="1:6" x14ac:dyDescent="0.3">
      <c r="A34" t="str">
        <f>$A$7</f>
        <v>Food drink and tobacco</v>
      </c>
      <c r="B34" s="17">
        <f t="shared" si="2"/>
        <v>1.0781866097027193</v>
      </c>
      <c r="C34" s="17">
        <f t="shared" si="2"/>
        <v>1.1087888352875959</v>
      </c>
      <c r="D34" s="17">
        <f t="shared" si="2"/>
        <v>1.0804954457694642</v>
      </c>
      <c r="E34" s="17">
        <f t="shared" si="2"/>
        <v>1.1253708556709732</v>
      </c>
      <c r="F34" s="17">
        <f t="shared" si="2"/>
        <v>1.1397147098620319</v>
      </c>
    </row>
    <row r="35" spans="1:6" x14ac:dyDescent="0.3">
      <c r="A35" t="str">
        <f>$A$8</f>
        <v>Engineering</v>
      </c>
      <c r="B35" s="17">
        <f t="shared" si="2"/>
        <v>1.4738304046157658</v>
      </c>
      <c r="C35" s="17">
        <f t="shared" si="2"/>
        <v>1.3780037622719803</v>
      </c>
      <c r="D35" s="17">
        <f t="shared" si="2"/>
        <v>1.3218167016960503</v>
      </c>
      <c r="E35" s="17">
        <f t="shared" si="2"/>
        <v>1.2723107858852918</v>
      </c>
      <c r="F35" s="17">
        <f t="shared" si="2"/>
        <v>1.027615907290405</v>
      </c>
    </row>
    <row r="36" spans="1:6" x14ac:dyDescent="0.3">
      <c r="A36" t="str">
        <f>$A$9</f>
        <v>Rest of manufacturing</v>
      </c>
      <c r="B36" s="17">
        <f t="shared" si="2"/>
        <v>4.8160223628693908</v>
      </c>
      <c r="C36" s="17">
        <f t="shared" si="2"/>
        <v>4.6148814054314666</v>
      </c>
      <c r="D36" s="17">
        <f t="shared" si="2"/>
        <v>4.5487481538577264</v>
      </c>
      <c r="E36" s="17">
        <f t="shared" si="2"/>
        <v>4.0768209271991083</v>
      </c>
      <c r="F36" s="17">
        <f t="shared" si="2"/>
        <v>3.5011060357233066</v>
      </c>
    </row>
    <row r="37" spans="1:6" x14ac:dyDescent="0.3">
      <c r="A37" t="str">
        <f>$A$10</f>
        <v>Electricity and gas</v>
      </c>
      <c r="B37" s="17">
        <f t="shared" si="2"/>
        <v>0.22832148529003063</v>
      </c>
      <c r="C37" s="17">
        <f t="shared" si="2"/>
        <v>0.22503174983698271</v>
      </c>
      <c r="D37" s="17">
        <f t="shared" si="2"/>
        <v>0.1868191968208418</v>
      </c>
      <c r="E37" s="17">
        <f t="shared" si="2"/>
        <v>0.1685236378181377</v>
      </c>
      <c r="F37" s="17">
        <f t="shared" si="2"/>
        <v>0.15350074311413492</v>
      </c>
    </row>
    <row r="38" spans="1:6" x14ac:dyDescent="0.3">
      <c r="A38" t="str">
        <f>$A$11</f>
        <v>Water and sewerage</v>
      </c>
      <c r="B38" s="17">
        <f t="shared" si="2"/>
        <v>0.72263079234356464</v>
      </c>
      <c r="C38" s="17">
        <f t="shared" si="2"/>
        <v>0.79411231881334232</v>
      </c>
      <c r="D38" s="17">
        <f t="shared" si="2"/>
        <v>0.6745653697074252</v>
      </c>
      <c r="E38" s="17">
        <f t="shared" si="2"/>
        <v>0.69311748000400897</v>
      </c>
      <c r="F38" s="17">
        <f t="shared" si="2"/>
        <v>0.72279194247790401</v>
      </c>
    </row>
    <row r="39" spans="1:6" x14ac:dyDescent="0.3">
      <c r="A39" t="str">
        <f>$A$12</f>
        <v>Construction</v>
      </c>
      <c r="B39" s="17">
        <f t="shared" si="2"/>
        <v>7.966119277503501</v>
      </c>
      <c r="C39" s="17">
        <f t="shared" si="2"/>
        <v>7.4966098688490241</v>
      </c>
      <c r="D39" s="17">
        <f t="shared" si="2"/>
        <v>8.6136566407523585</v>
      </c>
      <c r="E39" s="17">
        <f t="shared" si="2"/>
        <v>9.0760709845890748</v>
      </c>
      <c r="F39" s="17">
        <f t="shared" si="2"/>
        <v>9.5578092739936196</v>
      </c>
    </row>
    <row r="40" spans="1:6" x14ac:dyDescent="0.3">
      <c r="A40" t="str">
        <f>$A$13</f>
        <v>Wholesale and retail trade</v>
      </c>
      <c r="B40" s="17">
        <f t="shared" si="2"/>
        <v>16.311519910592136</v>
      </c>
      <c r="C40" s="17">
        <f t="shared" si="2"/>
        <v>15.082334431028634</v>
      </c>
      <c r="D40" s="17">
        <f t="shared" si="2"/>
        <v>14.866870057037861</v>
      </c>
      <c r="E40" s="17">
        <f t="shared" si="2"/>
        <v>14.613938197729514</v>
      </c>
      <c r="F40" s="17">
        <f t="shared" si="2"/>
        <v>14.143233874801359</v>
      </c>
    </row>
    <row r="41" spans="1:6" x14ac:dyDescent="0.3">
      <c r="A41" t="str">
        <f>$A$14</f>
        <v>Transport and storage</v>
      </c>
      <c r="B41" s="17">
        <f t="shared" si="2"/>
        <v>4.5062813770451164</v>
      </c>
      <c r="C41" s="17">
        <f t="shared" si="2"/>
        <v>5.4226820903268989</v>
      </c>
      <c r="D41" s="17">
        <f t="shared" si="2"/>
        <v>5.2287952335901746</v>
      </c>
      <c r="E41" s="17">
        <f t="shared" si="2"/>
        <v>5.4740306538722265</v>
      </c>
      <c r="F41" s="17">
        <f t="shared" si="2"/>
        <v>5.3511282320150633</v>
      </c>
    </row>
    <row r="42" spans="1:6" x14ac:dyDescent="0.3">
      <c r="A42" t="str">
        <f>$A$15</f>
        <v>Accommodation and food</v>
      </c>
      <c r="B42" s="17">
        <f t="shared" si="2"/>
        <v>6.1232176804413552</v>
      </c>
      <c r="C42" s="17">
        <f t="shared" si="2"/>
        <v>6.2278947699378513</v>
      </c>
      <c r="D42" s="17">
        <f t="shared" si="2"/>
        <v>6.3856880743085611</v>
      </c>
      <c r="E42" s="17">
        <f t="shared" si="2"/>
        <v>6.3526216889447973</v>
      </c>
      <c r="F42" s="17">
        <f t="shared" si="2"/>
        <v>6.7944184609313787</v>
      </c>
    </row>
    <row r="43" spans="1:6" x14ac:dyDescent="0.3">
      <c r="A43" t="str">
        <f>$A$16</f>
        <v>Media</v>
      </c>
      <c r="B43" s="17">
        <f t="shared" si="2"/>
        <v>1.1961598008244474</v>
      </c>
      <c r="C43" s="17">
        <f t="shared" si="2"/>
        <v>0.90655024175674337</v>
      </c>
      <c r="D43" s="17">
        <f t="shared" si="2"/>
        <v>0.98179316184975574</v>
      </c>
      <c r="E43" s="17">
        <f t="shared" si="2"/>
        <v>0.91840504937961076</v>
      </c>
      <c r="F43" s="17">
        <f t="shared" si="2"/>
        <v>0.8622694476632059</v>
      </c>
    </row>
    <row r="44" spans="1:6" x14ac:dyDescent="0.3">
      <c r="A44" t="str">
        <f>$A$17</f>
        <v>Information technology</v>
      </c>
      <c r="B44" s="17">
        <f t="shared" si="2"/>
        <v>2.7230045104419305</v>
      </c>
      <c r="C44" s="17">
        <f t="shared" si="2"/>
        <v>2.6364292010231916</v>
      </c>
      <c r="D44" s="17">
        <f t="shared" si="2"/>
        <v>2.6348122608560409</v>
      </c>
      <c r="E44" s="17">
        <f t="shared" si="2"/>
        <v>2.6584542894795407</v>
      </c>
      <c r="F44" s="17">
        <f t="shared" si="2"/>
        <v>2.6568664653501295</v>
      </c>
    </row>
    <row r="45" spans="1:6" x14ac:dyDescent="0.3">
      <c r="A45" t="str">
        <f>$A$18</f>
        <v>Finance and insurance</v>
      </c>
      <c r="B45" s="17">
        <f t="shared" si="2"/>
        <v>2.4387889307326724</v>
      </c>
      <c r="C45" s="17">
        <f t="shared" si="2"/>
        <v>2.362474794207313</v>
      </c>
      <c r="D45" s="17">
        <f t="shared" si="2"/>
        <v>2.4627684777586816</v>
      </c>
      <c r="E45" s="17">
        <f t="shared" si="2"/>
        <v>2.3020487450565339</v>
      </c>
      <c r="F45" s="17">
        <f t="shared" si="2"/>
        <v>1.9853478938788343</v>
      </c>
    </row>
    <row r="46" spans="1:6" x14ac:dyDescent="0.3">
      <c r="A46" t="str">
        <f>$A$19</f>
        <v>Real estate</v>
      </c>
      <c r="B46" s="17">
        <f t="shared" si="2"/>
        <v>1.4688562229125712</v>
      </c>
      <c r="C46" s="17">
        <f t="shared" si="2"/>
        <v>1.5808036099875011</v>
      </c>
      <c r="D46" s="17">
        <f t="shared" si="2"/>
        <v>1.637739620025324</v>
      </c>
      <c r="E46" s="17">
        <f t="shared" si="2"/>
        <v>1.6202413717091797</v>
      </c>
      <c r="F46" s="17">
        <f t="shared" si="2"/>
        <v>1.766027936720175</v>
      </c>
    </row>
    <row r="47" spans="1:6" x14ac:dyDescent="0.3">
      <c r="A47" s="10" t="str">
        <f>$A$20</f>
        <v>Professional services</v>
      </c>
      <c r="B47" s="17">
        <f t="shared" si="2"/>
        <v>9.079452407948418</v>
      </c>
      <c r="C47" s="17">
        <f t="shared" si="2"/>
        <v>10.314791885244999</v>
      </c>
      <c r="D47" s="17">
        <f t="shared" si="2"/>
        <v>9.724206979257243</v>
      </c>
      <c r="E47" s="17">
        <f t="shared" si="2"/>
        <v>9.916921017087617</v>
      </c>
      <c r="F47" s="17">
        <f t="shared" si="2"/>
        <v>10.224537298438145</v>
      </c>
    </row>
    <row r="48" spans="1:6" x14ac:dyDescent="0.3">
      <c r="A48" s="10" t="str">
        <f>$A$21</f>
        <v>Support services</v>
      </c>
      <c r="B48" s="17">
        <f t="shared" si="2"/>
        <v>9.9037266766463219</v>
      </c>
      <c r="C48" s="17">
        <f t="shared" si="2"/>
        <v>9.6514206123958015</v>
      </c>
      <c r="D48" s="17">
        <f t="shared" si="2"/>
        <v>9.1681599600664807</v>
      </c>
      <c r="E48" s="17">
        <f t="shared" si="2"/>
        <v>9.4209530244277619</v>
      </c>
      <c r="F48" s="17">
        <f t="shared" si="2"/>
        <v>9.6519362665855439</v>
      </c>
    </row>
    <row r="49" spans="1:6" x14ac:dyDescent="0.3">
      <c r="A49" s="10" t="str">
        <f>$A$22</f>
        <v>Public admin. and defence</v>
      </c>
      <c r="B49" s="17">
        <f t="shared" si="2"/>
        <v>3.0489770366037554</v>
      </c>
      <c r="C49" s="17">
        <f t="shared" si="2"/>
        <v>2.7144123528092932</v>
      </c>
      <c r="D49" s="17">
        <f t="shared" si="2"/>
        <v>2.8147320640928344</v>
      </c>
      <c r="E49" s="17">
        <f t="shared" si="2"/>
        <v>2.9023989620445243</v>
      </c>
      <c r="F49" s="17">
        <f t="shared" si="2"/>
        <v>2.9304502562611874</v>
      </c>
    </row>
    <row r="50" spans="1:6" x14ac:dyDescent="0.3">
      <c r="A50" s="10" t="str">
        <f>$A$23</f>
        <v>Education</v>
      </c>
      <c r="B50" s="17">
        <f t="shared" si="2"/>
        <v>8.6118466026828244</v>
      </c>
      <c r="C50" s="17">
        <f t="shared" si="2"/>
        <v>8.7740244075865288</v>
      </c>
      <c r="D50" s="17">
        <f t="shared" si="2"/>
        <v>8.9230582146120732</v>
      </c>
      <c r="E50" s="17">
        <f t="shared" si="2"/>
        <v>8.5100778837456446</v>
      </c>
      <c r="F50" s="17">
        <f t="shared" si="2"/>
        <v>8.2386377659080132</v>
      </c>
    </row>
    <row r="51" spans="1:6" x14ac:dyDescent="0.3">
      <c r="A51" s="10" t="str">
        <f>$A$24</f>
        <v>Health and social work</v>
      </c>
      <c r="B51" s="17">
        <f t="shared" si="2"/>
        <v>11.179440659653725</v>
      </c>
      <c r="C51" s="17">
        <f t="shared" si="2"/>
        <v>11.859394599877929</v>
      </c>
      <c r="D51" s="17">
        <f t="shared" si="2"/>
        <v>11.563194664977715</v>
      </c>
      <c r="E51" s="17">
        <f t="shared" si="2"/>
        <v>12.099466748142135</v>
      </c>
      <c r="F51" s="17">
        <f t="shared" si="2"/>
        <v>12.733709744482862</v>
      </c>
    </row>
    <row r="52" spans="1:6" x14ac:dyDescent="0.3">
      <c r="A52" s="10" t="str">
        <f>$A$25</f>
        <v>Arts and entertainment</v>
      </c>
      <c r="B52" s="17">
        <f t="shared" si="2"/>
        <v>2.4465447272307763</v>
      </c>
      <c r="C52" s="17">
        <f t="shared" si="2"/>
        <v>2.7150983301760658</v>
      </c>
      <c r="D52" s="17">
        <f t="shared" si="2"/>
        <v>3.2353430416472104</v>
      </c>
      <c r="E52" s="17">
        <f t="shared" si="2"/>
        <v>2.9659916372734521</v>
      </c>
      <c r="F52" s="17">
        <f t="shared" si="2"/>
        <v>2.9292598779159449</v>
      </c>
    </row>
    <row r="53" spans="1:6" x14ac:dyDescent="0.3">
      <c r="A53" s="10" t="str">
        <f>$A$26</f>
        <v>Other services</v>
      </c>
      <c r="B53" s="17">
        <f t="shared" si="2"/>
        <v>3.2617542040997738</v>
      </c>
      <c r="C53" s="17">
        <f t="shared" si="2"/>
        <v>2.7268223066188488</v>
      </c>
      <c r="D53" s="17">
        <f t="shared" si="2"/>
        <v>3.0582586056375369</v>
      </c>
      <c r="E53" s="17">
        <f t="shared" si="2"/>
        <v>2.9571203676042837</v>
      </c>
      <c r="F53" s="17">
        <f t="shared" si="2"/>
        <v>2.8324617924925954</v>
      </c>
    </row>
    <row r="54" spans="1:6" x14ac:dyDescent="0.3">
      <c r="B54" s="17"/>
      <c r="C54" s="17"/>
      <c r="D54" s="17"/>
      <c r="E54" s="17"/>
      <c r="F54" s="17"/>
    </row>
    <row r="55" spans="1:6" x14ac:dyDescent="0.3">
      <c r="A55" s="23" t="str">
        <f>$A$28</f>
        <v>All industries</v>
      </c>
      <c r="B55" s="25">
        <f>B28/B$28*100</f>
        <v>100</v>
      </c>
      <c r="C55" s="25">
        <f>C28/C$28*100</f>
        <v>100</v>
      </c>
      <c r="D55" s="25">
        <f>D28/D$28*100</f>
        <v>100</v>
      </c>
      <c r="E55" s="25">
        <f>E28/E$28*100</f>
        <v>100</v>
      </c>
      <c r="F55" s="25">
        <f>F28/F$28*100</f>
        <v>100</v>
      </c>
    </row>
    <row r="56" spans="1:6" x14ac:dyDescent="0.3">
      <c r="B56" s="17"/>
      <c r="C56" s="17"/>
      <c r="D56" s="17"/>
      <c r="E56" s="17"/>
      <c r="F56" s="17"/>
    </row>
    <row r="57" spans="1:6" x14ac:dyDescent="0.3">
      <c r="B57" s="17"/>
      <c r="C57" s="17"/>
      <c r="D57" s="17"/>
      <c r="E57" s="17"/>
      <c r="F57" s="17"/>
    </row>
    <row r="58" spans="1:6" x14ac:dyDescent="0.3">
      <c r="B58" s="17"/>
      <c r="C58" s="17"/>
      <c r="D58" s="17"/>
      <c r="E58" s="17"/>
      <c r="F58" s="17"/>
    </row>
    <row r="59" spans="1:6" ht="15.45" x14ac:dyDescent="0.4">
      <c r="A59" s="18" t="str">
        <f>CONCATENATE(A1," (Continued)")</f>
        <v>Industry Table 2  Employment by Industry Group (SIC 2007), 2015-2035, East (Continued)</v>
      </c>
      <c r="B59" s="17"/>
      <c r="C59" s="17"/>
      <c r="D59" s="17"/>
      <c r="E59" s="17"/>
      <c r="F59" s="17"/>
    </row>
    <row r="61" spans="1:6" x14ac:dyDescent="0.3">
      <c r="A61" s="21"/>
      <c r="B61" s="24" t="str">
        <f>CONCATENATE(B$3,"-",C$3)</f>
        <v>2015-2019</v>
      </c>
      <c r="C61" s="24" t="str">
        <f>CONCATENATE(C$3,"-",D$3)</f>
        <v>2019-2020</v>
      </c>
      <c r="D61" s="24" t="str">
        <f>CONCATENATE(D$3,"-",E$3)</f>
        <v>2020-2025</v>
      </c>
      <c r="E61" s="24" t="str">
        <f>CONCATENATE(E$3,"-",F$3)</f>
        <v>2025-2035</v>
      </c>
      <c r="F61" s="24" t="str">
        <f>CONCATENATE(D$3,"-",F$3)</f>
        <v>2020-2035</v>
      </c>
    </row>
    <row r="62" spans="1:6" x14ac:dyDescent="0.3">
      <c r="A62" s="27" t="s">
        <v>14</v>
      </c>
    </row>
    <row r="63" spans="1:6" x14ac:dyDescent="0.3">
      <c r="A63" t="str">
        <f>$A$5</f>
        <v>Agriculture</v>
      </c>
      <c r="B63" s="17">
        <f>IF(AND(C$3-B$3 &lt;&gt; 0,B5&lt;&gt;0,C5&lt;&gt;0),(EXP(LN(C5/B5)/(C$3-B$3))-1)*100,0)</f>
        <v>1.4288605977128777</v>
      </c>
      <c r="C63" s="17">
        <f>IF(AND(D$3-C$3 &lt;&gt; 0,C5&lt;&gt;0,D5&lt;&gt;0),(EXP(LN(D5/C5)/(D$3-C$3))-1)*100,0)</f>
        <v>-41.095985554279281</v>
      </c>
      <c r="D63" s="17">
        <f t="shared" ref="B63:E78" si="3">IF(AND(E$3-D$3 &lt;&gt; 0,D5&lt;&gt;0,E5&lt;&gt;0),(EXP(LN(E5/D5)/(E$3-D$3))-1)*100,0)</f>
        <v>0.8956538964909333</v>
      </c>
      <c r="E63" s="17">
        <f t="shared" si="3"/>
        <v>-0.20677760601148787</v>
      </c>
      <c r="F63" s="17">
        <f>IF(AND(F$3-D$3 &lt;&gt; 0,D5&lt;&gt;0,F5&lt;&gt;0),(EXP(LN(F5/D5)/(F$3-D$3))-1)*100,0)</f>
        <v>0.15935461299412257</v>
      </c>
    </row>
    <row r="64" spans="1:6" x14ac:dyDescent="0.3">
      <c r="A64" t="str">
        <f>$A$6</f>
        <v>Mining and quarrying</v>
      </c>
      <c r="B64" s="17">
        <f t="shared" si="3"/>
        <v>-5.5035181473753418</v>
      </c>
      <c r="C64" s="17">
        <f t="shared" ref="C64:C78" si="4">IF(AND(D$3-C$3 &lt;&gt; 0,C6&lt;&gt;0,D6&lt;&gt;0),(EXP(LN(D6/C6)/(D$3-C$3))-1)*100,0)</f>
        <v>41.923868312306169</v>
      </c>
      <c r="D64" s="17">
        <f t="shared" si="3"/>
        <v>-5.2852724279804146</v>
      </c>
      <c r="E64" s="17">
        <f t="shared" si="3"/>
        <v>-3.9941174757813003</v>
      </c>
      <c r="F64" s="17">
        <f t="shared" ref="F64:F86" si="5">IF(AND(F$3-D$3 &lt;&gt; 0,D6&lt;&gt;0,F6&lt;&gt;0),(EXP(LN(F6/D6)/(F$3-D$3))-1)*100,0)</f>
        <v>-4.4264463795055553</v>
      </c>
    </row>
    <row r="65" spans="1:6" x14ac:dyDescent="0.3">
      <c r="A65" t="str">
        <f>$A$7</f>
        <v>Food drink and tobacco</v>
      </c>
      <c r="B65" s="17">
        <f t="shared" si="3"/>
        <v>1.9263492415136918</v>
      </c>
      <c r="C65" s="17">
        <f t="shared" si="4"/>
        <v>-3.5517435325872704</v>
      </c>
      <c r="D65" s="17">
        <f t="shared" si="3"/>
        <v>1.4820771549508338</v>
      </c>
      <c r="E65" s="17">
        <f t="shared" si="3"/>
        <v>0.61650111483522174</v>
      </c>
      <c r="F65" s="17">
        <f t="shared" si="5"/>
        <v>0.90420302521347917</v>
      </c>
    </row>
    <row r="66" spans="1:6" x14ac:dyDescent="0.3">
      <c r="A66" t="str">
        <f>$A$8</f>
        <v>Engineering</v>
      </c>
      <c r="B66" s="17">
        <f t="shared" si="3"/>
        <v>-0.47126954603142757</v>
      </c>
      <c r="C66" s="17">
        <f t="shared" si="4"/>
        <v>-5.0617730914603758</v>
      </c>
      <c r="D66" s="17">
        <f t="shared" si="3"/>
        <v>-0.10604731001052636</v>
      </c>
      <c r="E66" s="17">
        <f t="shared" si="3"/>
        <v>-1.6344730421167575</v>
      </c>
      <c r="F66" s="17">
        <f t="shared" si="5"/>
        <v>-1.1276140329146811</v>
      </c>
    </row>
    <row r="67" spans="1:6" x14ac:dyDescent="0.3">
      <c r="A67" t="str">
        <f>$A$9</f>
        <v>Rest of manufacturing</v>
      </c>
      <c r="B67" s="17">
        <f t="shared" si="3"/>
        <v>0.14188316024179581</v>
      </c>
      <c r="C67" s="17">
        <f t="shared" si="4"/>
        <v>-2.4445285263448358</v>
      </c>
      <c r="D67" s="17">
        <f t="shared" si="3"/>
        <v>-1.5216526065494063</v>
      </c>
      <c r="E67" s="17">
        <f t="shared" si="3"/>
        <v>-1.0290988170286619</v>
      </c>
      <c r="F67" s="17">
        <f t="shared" si="5"/>
        <v>-1.1935565378666024</v>
      </c>
    </row>
    <row r="68" spans="1:6" x14ac:dyDescent="0.3">
      <c r="A68" t="str">
        <f>$A$10</f>
        <v>Electricity and gas</v>
      </c>
      <c r="B68" s="17">
        <f t="shared" si="3"/>
        <v>0.84909274445483796</v>
      </c>
      <c r="C68" s="17">
        <f t="shared" si="4"/>
        <v>-17.83289455490381</v>
      </c>
      <c r="D68" s="17">
        <f t="shared" si="3"/>
        <v>-1.3941529380936402</v>
      </c>
      <c r="E68" s="17">
        <f t="shared" si="3"/>
        <v>-0.44475909652818002</v>
      </c>
      <c r="F68" s="17">
        <f t="shared" si="5"/>
        <v>-0.76223504679517884</v>
      </c>
    </row>
    <row r="69" spans="1:6" x14ac:dyDescent="0.3">
      <c r="A69" t="str">
        <f>$A$11</f>
        <v>Water and sewerage</v>
      </c>
      <c r="B69" s="17">
        <f t="shared" si="3"/>
        <v>3.6308615913820841</v>
      </c>
      <c r="C69" s="17">
        <f t="shared" si="4"/>
        <v>-15.925867755627444</v>
      </c>
      <c r="D69" s="17">
        <f t="shared" si="3"/>
        <v>1.2071895945479971</v>
      </c>
      <c r="E69" s="17">
        <f t="shared" si="3"/>
        <v>0.91130138263051386</v>
      </c>
      <c r="F69" s="17">
        <f t="shared" si="5"/>
        <v>1.0098345442218992</v>
      </c>
    </row>
    <row r="70" spans="1:6" x14ac:dyDescent="0.3">
      <c r="A70" t="str">
        <f>$A$12</f>
        <v>Construction</v>
      </c>
      <c r="B70" s="17">
        <f t="shared" si="3"/>
        <v>-0.30984577422111803</v>
      </c>
      <c r="C70" s="17">
        <f t="shared" si="4"/>
        <v>13.721591852638193</v>
      </c>
      <c r="D70" s="17">
        <f t="shared" si="3"/>
        <v>1.7177790067413934</v>
      </c>
      <c r="E70" s="17">
        <f t="shared" si="3"/>
        <v>1.0101950018486017</v>
      </c>
      <c r="F70" s="17">
        <f t="shared" si="5"/>
        <v>1.2455077280584037</v>
      </c>
    </row>
    <row r="71" spans="1:6" x14ac:dyDescent="0.3">
      <c r="A71" t="str">
        <f>$A$13</f>
        <v>Wholesale and retail trade</v>
      </c>
      <c r="B71" s="17">
        <f t="shared" si="3"/>
        <v>-0.74754095810608545</v>
      </c>
      <c r="C71" s="17">
        <f t="shared" si="4"/>
        <v>-2.4401185857664487</v>
      </c>
      <c r="D71" s="17">
        <f t="shared" si="3"/>
        <v>0.31464657838333743</v>
      </c>
      <c r="E71" s="17">
        <f t="shared" si="3"/>
        <v>0.16068997142020258</v>
      </c>
      <c r="F71" s="17">
        <f t="shared" si="5"/>
        <v>0.21198256882719591</v>
      </c>
    </row>
    <row r="72" spans="1:6" x14ac:dyDescent="0.3">
      <c r="A72" t="str">
        <f>$A$14</f>
        <v>Transport and storage</v>
      </c>
      <c r="B72" s="17">
        <f t="shared" si="3"/>
        <v>6.0099674271038461</v>
      </c>
      <c r="C72" s="17">
        <f t="shared" si="4"/>
        <v>-4.5649786375577488</v>
      </c>
      <c r="D72" s="17">
        <f t="shared" si="3"/>
        <v>1.5864821455125133</v>
      </c>
      <c r="E72" s="17">
        <f t="shared" si="3"/>
        <v>0.2612177709061303</v>
      </c>
      <c r="F72" s="17">
        <f t="shared" si="5"/>
        <v>0.70104034215838773</v>
      </c>
    </row>
    <row r="73" spans="1:6" x14ac:dyDescent="0.3">
      <c r="A73" t="str">
        <f>$A$15</f>
        <v>Accommodation and food</v>
      </c>
      <c r="B73" s="17">
        <f t="shared" si="3"/>
        <v>1.6454945542164756</v>
      </c>
      <c r="C73" s="17">
        <f t="shared" si="4"/>
        <v>1.4814629364349408</v>
      </c>
      <c r="D73" s="17">
        <f t="shared" si="3"/>
        <v>0.55504431846196134</v>
      </c>
      <c r="E73" s="17">
        <f t="shared" si="3"/>
        <v>1.1670512665995281</v>
      </c>
      <c r="F73" s="17">
        <f t="shared" si="5"/>
        <v>0.96263619385150712</v>
      </c>
    </row>
    <row r="74" spans="1:6" x14ac:dyDescent="0.3">
      <c r="A74" t="str">
        <f>$A$16</f>
        <v>Media</v>
      </c>
      <c r="B74" s="17">
        <f t="shared" si="3"/>
        <v>-5.5616457249345945</v>
      </c>
      <c r="C74" s="17">
        <f t="shared" si="4"/>
        <v>7.1885533469866925</v>
      </c>
      <c r="D74" s="17">
        <f t="shared" si="3"/>
        <v>-0.67521006693416208</v>
      </c>
      <c r="E74" s="17">
        <f t="shared" si="3"/>
        <v>-0.14265026847698481</v>
      </c>
      <c r="F74" s="17">
        <f t="shared" si="5"/>
        <v>-0.32048672311942861</v>
      </c>
    </row>
    <row r="75" spans="1:6" x14ac:dyDescent="0.3">
      <c r="A75" t="str">
        <f>$A$17</f>
        <v>Information technology</v>
      </c>
      <c r="B75" s="17">
        <f t="shared" si="3"/>
        <v>0.40137941871507543</v>
      </c>
      <c r="C75" s="17">
        <f t="shared" si="4"/>
        <v>-1.0868922448519336</v>
      </c>
      <c r="D75" s="17">
        <f t="shared" si="3"/>
        <v>0.83950555842371433</v>
      </c>
      <c r="E75" s="17">
        <f t="shared" si="3"/>
        <v>0.48314393952513246</v>
      </c>
      <c r="F75" s="17">
        <f t="shared" si="5"/>
        <v>0.60179099630182087</v>
      </c>
    </row>
    <row r="76" spans="1:6" x14ac:dyDescent="0.3">
      <c r="A76" t="str">
        <f>$A$18</f>
        <v>Finance and insurance</v>
      </c>
      <c r="B76" s="17">
        <f t="shared" si="3"/>
        <v>0.41439677092671712</v>
      </c>
      <c r="C76" s="17">
        <f t="shared" si="4"/>
        <v>3.1755249650852191</v>
      </c>
      <c r="D76" s="17">
        <f t="shared" si="3"/>
        <v>-0.68999835437819623</v>
      </c>
      <c r="E76" s="17">
        <f t="shared" si="3"/>
        <v>-0.98719312648641866</v>
      </c>
      <c r="F76" s="17">
        <f t="shared" si="5"/>
        <v>-0.88822715456692292</v>
      </c>
    </row>
    <row r="77" spans="1:6" x14ac:dyDescent="0.3">
      <c r="A77" t="str">
        <f>$A$19</f>
        <v>Real estate</v>
      </c>
      <c r="B77" s="17">
        <f t="shared" si="3"/>
        <v>3.0913909614871837</v>
      </c>
      <c r="C77" s="17">
        <f t="shared" si="4"/>
        <v>2.5385616782858555</v>
      </c>
      <c r="D77" s="17">
        <f t="shared" si="3"/>
        <v>0.44348568615768524</v>
      </c>
      <c r="E77" s="17">
        <f t="shared" si="3"/>
        <v>1.3586802441962753</v>
      </c>
      <c r="F77" s="17">
        <f t="shared" si="5"/>
        <v>1.0526925871850112</v>
      </c>
    </row>
    <row r="78" spans="1:6" x14ac:dyDescent="0.3">
      <c r="A78" t="str">
        <f>$A$20</f>
        <v>Professional services</v>
      </c>
      <c r="B78" s="17">
        <f t="shared" si="3"/>
        <v>4.4955857760738294</v>
      </c>
      <c r="C78" s="17">
        <f t="shared" si="4"/>
        <v>-6.6930466789364207</v>
      </c>
      <c r="D78" s="17">
        <f t="shared" si="3"/>
        <v>1.055355747144282</v>
      </c>
      <c r="E78" s="17">
        <f t="shared" si="3"/>
        <v>0.79659066921049515</v>
      </c>
      <c r="F78" s="17">
        <f t="shared" si="5"/>
        <v>0.88277198895900799</v>
      </c>
    </row>
    <row r="79" spans="1:6" x14ac:dyDescent="0.3">
      <c r="A79" s="10" t="str">
        <f>$A$21</f>
        <v>Support services</v>
      </c>
      <c r="B79" s="17">
        <f t="shared" ref="B79:B84" si="6">IF(AND(C$3-B$3 &lt;&gt; 0,B21&lt;&gt;0,C21&lt;&gt;0),(EXP(LN(C21/B21)/(C$3-B$3))-1)*100,0)</f>
        <v>0.56477601630542384</v>
      </c>
      <c r="C79" s="17">
        <f t="shared" ref="C79:C84" si="7">IF(AND(D$3-C$3 &lt;&gt; 0,C21&lt;&gt;0,D21&lt;&gt;0),(EXP(LN(D21/C21)/(D$3-C$3))-1)*100,0)</f>
        <v>-5.9819533432708294</v>
      </c>
      <c r="D79" s="17">
        <f t="shared" ref="D79:D84" si="8">IF(AND(E$3-D$3 &lt;&gt; 0,D21&lt;&gt;0,E21&lt;&gt;0),(EXP(LN(E21/D21)/(E$3-D$3))-1)*100,0)</f>
        <v>1.2085806855028247</v>
      </c>
      <c r="E79" s="17">
        <f t="shared" ref="E79:E84" si="9">IF(AND(F$3-E$3 &lt;&gt; 0,E21&lt;&gt;0,F21&lt;&gt;0),(EXP(LN(F21/E21)/(F$3-E$3))-1)*100,0)</f>
        <v>0.7328502714468943</v>
      </c>
      <c r="F79" s="17">
        <f t="shared" si="5"/>
        <v>0.89117809248573376</v>
      </c>
    </row>
    <row r="80" spans="1:6" x14ac:dyDescent="0.3">
      <c r="A80" s="10" t="str">
        <f>$A$22</f>
        <v>Public admin. and defence</v>
      </c>
      <c r="B80" s="17">
        <f t="shared" si="6"/>
        <v>-1.6831039817547966</v>
      </c>
      <c r="C80" s="17">
        <f t="shared" si="7"/>
        <v>2.6316998651089163</v>
      </c>
      <c r="D80" s="17">
        <f t="shared" si="8"/>
        <v>1.2788620781638782</v>
      </c>
      <c r="E80" s="17">
        <f t="shared" si="9"/>
        <v>0.58584907604237735</v>
      </c>
      <c r="F80" s="17">
        <f t="shared" si="5"/>
        <v>0.81632490948853054</v>
      </c>
    </row>
    <row r="81" spans="1:6" x14ac:dyDescent="0.3">
      <c r="A81" s="10" t="str">
        <f>$A$23</f>
        <v>Education</v>
      </c>
      <c r="B81" s="17">
        <f t="shared" si="6"/>
        <v>1.6888602519428142</v>
      </c>
      <c r="C81" s="17">
        <f t="shared" si="7"/>
        <v>0.65495821030743251</v>
      </c>
      <c r="D81" s="17">
        <f t="shared" si="8"/>
        <v>-0.28998882753159538</v>
      </c>
      <c r="E81" s="17">
        <f t="shared" si="9"/>
        <v>0.16392843983084049</v>
      </c>
      <c r="F81" s="17">
        <f t="shared" si="5"/>
        <v>1.2393547226130508E-2</v>
      </c>
    </row>
    <row r="82" spans="1:6" x14ac:dyDescent="0.3">
      <c r="A82" s="10" t="str">
        <f>$A$24</f>
        <v>Health and social work</v>
      </c>
      <c r="B82" s="17">
        <f t="shared" si="6"/>
        <v>2.720790443227572</v>
      </c>
      <c r="C82" s="17">
        <f t="shared" si="7"/>
        <v>-3.4981582399460587</v>
      </c>
      <c r="D82" s="17">
        <f t="shared" si="8"/>
        <v>1.5763216736531582</v>
      </c>
      <c r="E82" s="17">
        <f t="shared" si="9"/>
        <v>1.0038744767301599</v>
      </c>
      <c r="F82" s="17">
        <f t="shared" si="5"/>
        <v>1.1943308522234908</v>
      </c>
    </row>
    <row r="83" spans="1:6" x14ac:dyDescent="0.3">
      <c r="A83" s="10" t="str">
        <f>$A$25</f>
        <v>Arts and entertainment</v>
      </c>
      <c r="B83" s="17">
        <f>IF(AND(C$3-B$3 &lt;&gt; 0,B25&lt;&gt;0,C25&lt;&gt;0),(EXP(LN(C25/B25)/(C$3-B$3))-1)*100,0)</f>
        <v>3.8857171586723638</v>
      </c>
      <c r="C83" s="17">
        <f t="shared" si="7"/>
        <v>17.9383527039519</v>
      </c>
      <c r="D83" s="17">
        <f t="shared" si="8"/>
        <v>-1.0753048530512954</v>
      </c>
      <c r="E83" s="17">
        <f t="shared" si="9"/>
        <v>0.36399959442086072</v>
      </c>
      <c r="F83" s="17">
        <f t="shared" si="5"/>
        <v>-0.11808043003224133</v>
      </c>
    </row>
    <row r="84" spans="1:6" x14ac:dyDescent="0.3">
      <c r="A84" s="10" t="str">
        <f>$A$26</f>
        <v>Other services</v>
      </c>
      <c r="B84" s="17">
        <f t="shared" si="6"/>
        <v>-3.2169858631856729</v>
      </c>
      <c r="C84" s="17">
        <f t="shared" si="7"/>
        <v>11.003750627991572</v>
      </c>
      <c r="D84" s="17">
        <f t="shared" si="8"/>
        <v>-1.525059448563848E-2</v>
      </c>
      <c r="E84" s="17">
        <f t="shared" si="9"/>
        <v>5.7274247426541969E-2</v>
      </c>
      <c r="F84" s="17">
        <f t="shared" si="5"/>
        <v>3.3093456833865886E-2</v>
      </c>
    </row>
    <row r="85" spans="1:6" x14ac:dyDescent="0.3">
      <c r="B85" s="17"/>
      <c r="C85" s="17"/>
      <c r="D85" s="17"/>
      <c r="E85" s="17"/>
      <c r="F85" s="17"/>
    </row>
    <row r="86" spans="1:6" x14ac:dyDescent="0.3">
      <c r="A86" t="str">
        <f>$A$28</f>
        <v>All industries</v>
      </c>
      <c r="B86" s="17">
        <f>IF(AND(C$3-B$3 &lt;&gt; 0,B28&lt;&gt;0,C28&lt;&gt;0),(EXP(LN(C28/B28)/(C$3-B$3))-1)*100,0)</f>
        <v>1.2156670242623902</v>
      </c>
      <c r="C86" s="17">
        <f>IF(AND(D$3-C$3 &lt;&gt; 0,C28&lt;&gt;0,D28&lt;&gt;0),(EXP(LN(D28/C28)/(D$3-C$3))-1)*100,0)</f>
        <v>-1.0261909268251657</v>
      </c>
      <c r="D86" s="17">
        <f>IF(AND(E$3-D$3 &lt;&gt; 0,D28&lt;&gt;0,E28&lt;&gt;0),(EXP(LN(E28/D28)/(E$3-D$3))-1)*100,0)</f>
        <v>0.65950797804075201</v>
      </c>
      <c r="E86" s="17">
        <f>IF(AND(F$3-E$3 &lt;&gt; 0,E28&lt;&gt;0,F28&lt;&gt;0),(EXP(LN(F28/E28)/(F$3-E$3))-1)*100,0)</f>
        <v>0.48914750314454913</v>
      </c>
      <c r="F86" s="17">
        <f t="shared" si="5"/>
        <v>0.54590226783473028</v>
      </c>
    </row>
    <row r="89" spans="1:6" x14ac:dyDescent="0.3">
      <c r="A89" s="1" t="s">
        <v>15</v>
      </c>
      <c r="B89" s="19" t="str">
        <f>CONCATENATE(B$3,"-",C$3)</f>
        <v>2015-2019</v>
      </c>
      <c r="C89" s="19" t="str">
        <f>CONCATENATE(C$3,"-",D$3)</f>
        <v>2019-2020</v>
      </c>
      <c r="D89" s="19" t="str">
        <f>CONCATENATE(D$3,"-",E$3)</f>
        <v>2020-2025</v>
      </c>
      <c r="E89" s="19" t="str">
        <f>CONCATENATE(E$3,"-",F$3)</f>
        <v>2025-2035</v>
      </c>
      <c r="F89" s="19" t="str">
        <f>CONCATENATE(D$3,"-",F$3)</f>
        <v>2020-2035</v>
      </c>
    </row>
    <row r="90" spans="1:6" x14ac:dyDescent="0.3">
      <c r="A90" t="str">
        <f>$A$5</f>
        <v>Agriculture</v>
      </c>
      <c r="B90" s="26">
        <f t="shared" ref="B90:E105" si="10">C5-B5</f>
        <v>2.3830000002447989</v>
      </c>
      <c r="C90" s="26">
        <f>D5-C5</f>
        <v>-17.751000000495946</v>
      </c>
      <c r="D90" s="26">
        <f t="shared" si="10"/>
        <v>1.1600000002603998</v>
      </c>
      <c r="E90" s="26">
        <f t="shared" si="10"/>
        <v>-0.54500000011693217</v>
      </c>
      <c r="F90" s="26">
        <f>F5-D5</f>
        <v>0.61500000014346767</v>
      </c>
    </row>
    <row r="91" spans="1:6" x14ac:dyDescent="0.3">
      <c r="A91" t="str">
        <f>$A$6</f>
        <v>Mining and quarrying</v>
      </c>
      <c r="B91" s="26">
        <f t="shared" si="10"/>
        <v>-0.49399999998926436</v>
      </c>
      <c r="C91" s="26">
        <f t="shared" ref="C91:C105" si="11">D6-C6</f>
        <v>0.81499999999024775</v>
      </c>
      <c r="D91" s="26">
        <f t="shared" si="10"/>
        <v>-0.65600000000654113</v>
      </c>
      <c r="E91" s="26">
        <f t="shared" si="10"/>
        <v>-0.70399999999241469</v>
      </c>
      <c r="F91" s="26">
        <f t="shared" ref="F91:F113" si="12">F6-D6</f>
        <v>-1.3599999999989558</v>
      </c>
    </row>
    <row r="92" spans="1:6" x14ac:dyDescent="0.3">
      <c r="A92" t="str">
        <f>$A$7</f>
        <v>Food drink and tobacco</v>
      </c>
      <c r="B92" s="26">
        <f t="shared" si="10"/>
        <v>2.6130000000525229</v>
      </c>
      <c r="C92" s="26">
        <f t="shared" si="11"/>
        <v>-1.2630000001935358</v>
      </c>
      <c r="D92" s="26">
        <f t="shared" si="10"/>
        <v>2.6180000006028692</v>
      </c>
      <c r="E92" s="26">
        <f t="shared" si="10"/>
        <v>2.3399999996890912</v>
      </c>
      <c r="F92" s="26">
        <f t="shared" si="12"/>
        <v>4.9580000002919604</v>
      </c>
    </row>
    <row r="93" spans="1:6" x14ac:dyDescent="0.3">
      <c r="A93" t="str">
        <f>$A$8</f>
        <v>Engineering</v>
      </c>
      <c r="B93" s="26">
        <f t="shared" si="10"/>
        <v>-0.84299999994200903</v>
      </c>
      <c r="C93" s="26">
        <f t="shared" si="11"/>
        <v>-2.237000000035664</v>
      </c>
      <c r="D93" s="26">
        <f t="shared" si="10"/>
        <v>-0.22199999966068162</v>
      </c>
      <c r="E93" s="26">
        <f t="shared" si="10"/>
        <v>-6.3410000001404612</v>
      </c>
      <c r="F93" s="26">
        <f t="shared" si="12"/>
        <v>-6.5629999998011428</v>
      </c>
    </row>
    <row r="94" spans="1:6" x14ac:dyDescent="0.3">
      <c r="A94" t="str">
        <f>$A$9</f>
        <v>Rest of manufacturing</v>
      </c>
      <c r="B94" s="26">
        <f t="shared" si="10"/>
        <v>0.83700000011407383</v>
      </c>
      <c r="C94" s="26">
        <f t="shared" si="11"/>
        <v>-3.6180000001303654</v>
      </c>
      <c r="D94" s="26">
        <f t="shared" si="10"/>
        <v>-10.655999998959373</v>
      </c>
      <c r="E94" s="26">
        <f t="shared" si="10"/>
        <v>-13.142000000549231</v>
      </c>
      <c r="F94" s="26">
        <f t="shared" si="12"/>
        <v>-23.797999999508605</v>
      </c>
    </row>
    <row r="95" spans="1:6" x14ac:dyDescent="0.3">
      <c r="A95" t="str">
        <f>$A$10</f>
        <v>Electricity and gas</v>
      </c>
      <c r="B95" s="26">
        <f t="shared" si="10"/>
        <v>0.23999999999085642</v>
      </c>
      <c r="C95" s="26">
        <f t="shared" si="11"/>
        <v>-1.2870000000221626</v>
      </c>
      <c r="D95" s="26">
        <f t="shared" si="10"/>
        <v>-0.40199999994619962</v>
      </c>
      <c r="E95" s="26">
        <f t="shared" si="10"/>
        <v>-0.24100000005162947</v>
      </c>
      <c r="F95" s="26">
        <f t="shared" si="12"/>
        <v>-0.64299999999782909</v>
      </c>
    </row>
    <row r="96" spans="1:6" x14ac:dyDescent="0.3">
      <c r="A96" t="str">
        <f>$A$11</f>
        <v>Water and sewerage</v>
      </c>
      <c r="B96" s="26">
        <f t="shared" si="10"/>
        <v>3.3860000000541959</v>
      </c>
      <c r="C96" s="26">
        <f t="shared" si="11"/>
        <v>-4.0560000000062111</v>
      </c>
      <c r="D96" s="26">
        <f t="shared" si="10"/>
        <v>1.3240000001684145</v>
      </c>
      <c r="E96" s="26">
        <f t="shared" si="10"/>
        <v>2.1589999999399119</v>
      </c>
      <c r="F96" s="26">
        <f t="shared" si="12"/>
        <v>3.4830000001083263</v>
      </c>
    </row>
    <row r="97" spans="1:6" x14ac:dyDescent="0.3">
      <c r="A97" t="str">
        <f>$A$12</f>
        <v>Construction</v>
      </c>
      <c r="B97" s="26">
        <f t="shared" si="10"/>
        <v>-3.0029999948376371</v>
      </c>
      <c r="C97" s="26">
        <f t="shared" si="11"/>
        <v>32.989999996065023</v>
      </c>
      <c r="D97" s="26">
        <f t="shared" si="10"/>
        <v>24.30399999531096</v>
      </c>
      <c r="E97" s="26">
        <f t="shared" si="10"/>
        <v>31.480000002981683</v>
      </c>
      <c r="F97" s="26">
        <f t="shared" si="12"/>
        <v>55.783999998292643</v>
      </c>
    </row>
    <row r="98" spans="1:6" x14ac:dyDescent="0.3">
      <c r="A98" t="str">
        <f>$A$13</f>
        <v>Wholesale and retail trade</v>
      </c>
      <c r="B98" s="26">
        <f t="shared" si="10"/>
        <v>-14.738000001314788</v>
      </c>
      <c r="C98" s="26">
        <f t="shared" si="11"/>
        <v>-11.803000006645561</v>
      </c>
      <c r="D98" s="26">
        <f t="shared" si="10"/>
        <v>7.4710000091336042</v>
      </c>
      <c r="E98" s="26">
        <f t="shared" si="10"/>
        <v>7.7589999899403779</v>
      </c>
      <c r="F98" s="26">
        <f t="shared" si="12"/>
        <v>15.229999999073982</v>
      </c>
    </row>
    <row r="99" spans="1:6" x14ac:dyDescent="0.3">
      <c r="A99" t="str">
        <f>$A$14</f>
        <v>Transport and storage</v>
      </c>
      <c r="B99" s="26">
        <f t="shared" si="10"/>
        <v>36.208999998612114</v>
      </c>
      <c r="C99" s="26">
        <f t="shared" si="11"/>
        <v>-7.9389999983286259</v>
      </c>
      <c r="D99" s="26">
        <f t="shared" si="10"/>
        <v>13.590000003340037</v>
      </c>
      <c r="E99" s="26">
        <f t="shared" si="10"/>
        <v>4.7459999991259849</v>
      </c>
      <c r="F99" s="26">
        <f t="shared" si="12"/>
        <v>18.336000002466022</v>
      </c>
    </row>
    <row r="100" spans="1:6" x14ac:dyDescent="0.3">
      <c r="A100" t="str">
        <f>$A$15</f>
        <v>Accommodation and food</v>
      </c>
      <c r="B100" s="26">
        <f t="shared" si="10"/>
        <v>12.623000000231144</v>
      </c>
      <c r="C100" s="26">
        <f t="shared" si="11"/>
        <v>2.958999996138914</v>
      </c>
      <c r="D100" s="26">
        <f t="shared" si="10"/>
        <v>5.6880000044915278</v>
      </c>
      <c r="E100" s="26">
        <f t="shared" si="10"/>
        <v>25.63699999453263</v>
      </c>
      <c r="F100" s="26">
        <f t="shared" si="12"/>
        <v>31.324999999024158</v>
      </c>
    </row>
    <row r="101" spans="1:6" x14ac:dyDescent="0.3">
      <c r="A101" t="str">
        <f>$A$16</f>
        <v>Media</v>
      </c>
      <c r="B101" s="26">
        <f t="shared" si="10"/>
        <v>-7.4780000001569178</v>
      </c>
      <c r="C101" s="26">
        <f t="shared" si="11"/>
        <v>2.0900000000937489</v>
      </c>
      <c r="D101" s="26">
        <f t="shared" si="10"/>
        <v>-1.037999999590582</v>
      </c>
      <c r="E101" s="26">
        <f t="shared" si="10"/>
        <v>-0.42700000033611829</v>
      </c>
      <c r="F101" s="26">
        <f t="shared" si="12"/>
        <v>-1.4649999999267003</v>
      </c>
    </row>
    <row r="102" spans="1:6" x14ac:dyDescent="0.3">
      <c r="A102" t="str">
        <f>$A$17</f>
        <v>Information technology</v>
      </c>
      <c r="B102" s="26">
        <f t="shared" si="10"/>
        <v>1.3439999997224987</v>
      </c>
      <c r="C102" s="26">
        <f t="shared" si="11"/>
        <v>-0.91899999977711389</v>
      </c>
      <c r="D102" s="26">
        <f t="shared" si="10"/>
        <v>3.5700000006691113</v>
      </c>
      <c r="E102" s="26">
        <f t="shared" si="10"/>
        <v>4.3059999989610702</v>
      </c>
      <c r="F102" s="26">
        <f t="shared" si="12"/>
        <v>7.8759999996301815</v>
      </c>
    </row>
    <row r="103" spans="1:6" x14ac:dyDescent="0.3">
      <c r="A103" t="str">
        <f>$A$18</f>
        <v>Finance and insurance</v>
      </c>
      <c r="B103" s="26">
        <f t="shared" si="10"/>
        <v>1.242999999585237</v>
      </c>
      <c r="C103" s="26">
        <f t="shared" si="11"/>
        <v>2.4060000002715611</v>
      </c>
      <c r="D103" s="26">
        <f t="shared" si="10"/>
        <v>-2.659999998806498</v>
      </c>
      <c r="E103" s="26">
        <f t="shared" si="10"/>
        <v>-7.1320000010069151</v>
      </c>
      <c r="F103" s="26">
        <f t="shared" si="12"/>
        <v>-9.7919999998134131</v>
      </c>
    </row>
    <row r="104" spans="1:6" x14ac:dyDescent="0.3">
      <c r="A104" t="str">
        <f>$A$19</f>
        <v>Real estate</v>
      </c>
      <c r="B104" s="26">
        <f t="shared" si="10"/>
        <v>5.8130000000425284</v>
      </c>
      <c r="C104" s="26">
        <f t="shared" si="11"/>
        <v>1.2869999996571266</v>
      </c>
      <c r="D104" s="26">
        <f t="shared" si="10"/>
        <v>1.1630000006698467</v>
      </c>
      <c r="E104" s="26">
        <f t="shared" si="10"/>
        <v>7.6789999993487683</v>
      </c>
      <c r="F104" s="26">
        <f t="shared" si="12"/>
        <v>8.842000000018615</v>
      </c>
    </row>
    <row r="105" spans="1:6" x14ac:dyDescent="0.3">
      <c r="A105" t="str">
        <f>$A$20</f>
        <v>Professional services</v>
      </c>
      <c r="B105" s="26">
        <f t="shared" si="10"/>
        <v>53.357999998237858</v>
      </c>
      <c r="C105" s="26">
        <f t="shared" si="11"/>
        <v>-22.140999996406208</v>
      </c>
      <c r="D105" s="26">
        <f t="shared" si="10"/>
        <v>16.635000002567836</v>
      </c>
      <c r="E105" s="26">
        <f t="shared" si="10"/>
        <v>26.861999997112264</v>
      </c>
      <c r="F105" s="26">
        <f t="shared" si="12"/>
        <v>43.496999999680099</v>
      </c>
    </row>
    <row r="106" spans="1:6" x14ac:dyDescent="0.3">
      <c r="A106" s="10" t="str">
        <f>$A$21</f>
        <v>Support services</v>
      </c>
      <c r="B106" s="26">
        <f t="shared" ref="B106:B111" si="13">C21-B21</f>
        <v>6.8950000002941465</v>
      </c>
      <c r="C106" s="26">
        <f t="shared" ref="C106:C111" si="14">D21-C21</f>
        <v>-18.516000003115266</v>
      </c>
      <c r="D106" s="26">
        <f t="shared" ref="D106:D111" si="15">E21-D21</f>
        <v>18.016000003365775</v>
      </c>
      <c r="E106" s="26">
        <f t="shared" ref="E106:E111" si="16">F21-E21</f>
        <v>23.408999997785315</v>
      </c>
      <c r="F106" s="26">
        <f t="shared" si="12"/>
        <v>41.425000001151091</v>
      </c>
    </row>
    <row r="107" spans="1:6" x14ac:dyDescent="0.3">
      <c r="A107" s="10" t="str">
        <f>$A$22</f>
        <v>Public admin. and defence</v>
      </c>
      <c r="B107" s="26">
        <f t="shared" si="13"/>
        <v>-6.1160000000731713</v>
      </c>
      <c r="C107" s="26">
        <f t="shared" si="14"/>
        <v>2.2910000005527564</v>
      </c>
      <c r="D107" s="26">
        <f t="shared" si="15"/>
        <v>5.8610000006202938</v>
      </c>
      <c r="E107" s="26">
        <f t="shared" si="16"/>
        <v>5.7269999993540779</v>
      </c>
      <c r="F107" s="26">
        <f t="shared" si="12"/>
        <v>11.587999999974372</v>
      </c>
    </row>
    <row r="108" spans="1:6" x14ac:dyDescent="0.3">
      <c r="A108" s="10" t="str">
        <f>$A$23</f>
        <v>Education</v>
      </c>
      <c r="B108" s="26">
        <f t="shared" si="13"/>
        <v>18.232999999339256</v>
      </c>
      <c r="C108" s="26">
        <f t="shared" si="14"/>
        <v>1.8430000071240329</v>
      </c>
      <c r="D108" s="26">
        <f t="shared" si="15"/>
        <v>-4.0830000202919337</v>
      </c>
      <c r="E108" s="26">
        <f t="shared" si="16"/>
        <v>4.6100000194519453</v>
      </c>
      <c r="F108" s="26">
        <f t="shared" si="12"/>
        <v>0.52699999916001161</v>
      </c>
    </row>
    <row r="109" spans="1:6" x14ac:dyDescent="0.3">
      <c r="A109" s="10" t="str">
        <f>$A$24</f>
        <v>Health and social work</v>
      </c>
      <c r="B109" s="26">
        <f t="shared" si="13"/>
        <v>38.723999999218393</v>
      </c>
      <c r="C109" s="26">
        <f t="shared" si="14"/>
        <v>-13.304999994359491</v>
      </c>
      <c r="D109" s="26">
        <f t="shared" si="15"/>
        <v>29.854999995303444</v>
      </c>
      <c r="E109" s="26">
        <f t="shared" si="16"/>
        <v>41.692000003031353</v>
      </c>
      <c r="F109" s="26">
        <f t="shared" si="12"/>
        <v>71.546999998334798</v>
      </c>
    </row>
    <row r="110" spans="1:6" x14ac:dyDescent="0.3">
      <c r="A110" s="10" t="str">
        <f>$A$25</f>
        <v>Arts and entertainment</v>
      </c>
      <c r="B110" s="26">
        <f t="shared" si="13"/>
        <v>12.314999999667492</v>
      </c>
      <c r="C110" s="26">
        <f t="shared" si="14"/>
        <v>15.620000000489725</v>
      </c>
      <c r="D110" s="26">
        <f t="shared" si="15"/>
        <v>-5.4039999989753511</v>
      </c>
      <c r="E110" s="26">
        <f t="shared" si="16"/>
        <v>3.5999999993228329</v>
      </c>
      <c r="F110" s="26">
        <f t="shared" si="12"/>
        <v>-1.8039999996525182</v>
      </c>
    </row>
    <row r="111" spans="1:6" x14ac:dyDescent="0.3">
      <c r="A111" s="10" t="str">
        <f>$A$26</f>
        <v>Other services</v>
      </c>
      <c r="B111" s="26">
        <f t="shared" si="13"/>
        <v>-12.220000000285623</v>
      </c>
      <c r="C111" s="26">
        <f t="shared" si="14"/>
        <v>9.6229999992128086</v>
      </c>
      <c r="D111" s="26">
        <f t="shared" si="15"/>
        <v>-7.3999998662316102E-2</v>
      </c>
      <c r="E111" s="26">
        <f t="shared" si="16"/>
        <v>0.55699999951126244</v>
      </c>
      <c r="F111" s="26">
        <f t="shared" si="12"/>
        <v>0.48300000084894634</v>
      </c>
    </row>
    <row r="112" spans="1:6" x14ac:dyDescent="0.3">
      <c r="B112" s="26"/>
      <c r="C112" s="26"/>
      <c r="D112" s="26"/>
      <c r="E112" s="26"/>
      <c r="F112" s="26"/>
    </row>
    <row r="113" spans="1:6" x14ac:dyDescent="0.3">
      <c r="A113" s="23" t="str">
        <f>$A$28</f>
        <v>All industries</v>
      </c>
      <c r="B113" s="28">
        <f>C28-B28</f>
        <v>151.32399999880818</v>
      </c>
      <c r="C113" s="28">
        <f>D28-C28</f>
        <v>-32.910999999920477</v>
      </c>
      <c r="D113" s="28">
        <f>E28-D28</f>
        <v>106.06000000160429</v>
      </c>
      <c r="E113" s="28">
        <f>F28-E28</f>
        <v>164.03099999789538</v>
      </c>
      <c r="F113" s="28">
        <f t="shared" si="12"/>
        <v>270.09099999949967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G333"/>
  <sheetViews>
    <sheetView showGridLines="0" zoomScale="85" zoomScaleNormal="85" workbookViewId="0"/>
  </sheetViews>
  <sheetFormatPr defaultColWidth="9.15234375" defaultRowHeight="12.45" x14ac:dyDescent="0.3"/>
  <cols>
    <col min="1" max="1" width="26.69140625" customWidth="1"/>
    <col min="2" max="6" width="11.69140625" customWidth="1"/>
  </cols>
  <sheetData>
    <row r="1" spans="1:7" ht="15.45" x14ac:dyDescent="0.4">
      <c r="A1" s="18" t="str">
        <f>CONCATENATE("Industry Table 3  Employment by Industry (SIC 2007), ",B$3,"-",F$3,", ",Info!B5)</f>
        <v>Industry Table 3  Employment by Industry (SIC 2007), 2015-2035, East</v>
      </c>
    </row>
    <row r="2" spans="1:7" x14ac:dyDescent="0.3">
      <c r="A2" s="1" t="s">
        <v>535</v>
      </c>
    </row>
    <row r="3" spans="1:7" x14ac:dyDescent="0.3">
      <c r="A3" s="21"/>
      <c r="B3" s="22">
        <v>2015</v>
      </c>
      <c r="C3" s="22">
        <v>2019</v>
      </c>
      <c r="D3" s="22">
        <v>2020</v>
      </c>
      <c r="E3" s="22">
        <v>2025</v>
      </c>
      <c r="F3" s="22">
        <v>2035</v>
      </c>
    </row>
    <row r="4" spans="1:7" x14ac:dyDescent="0.3">
      <c r="A4" s="1" t="s">
        <v>13</v>
      </c>
    </row>
    <row r="5" spans="1:7" x14ac:dyDescent="0.3">
      <c r="A5" t="str">
        <f>name!A4</f>
        <v>Agriculture, etc</v>
      </c>
      <c r="B5" s="11">
        <v>40.811000000194547</v>
      </c>
      <c r="C5" s="11">
        <v>43.194000000439345</v>
      </c>
      <c r="D5" s="11">
        <v>25.4429999999434</v>
      </c>
      <c r="E5" s="11">
        <v>26.603000000203799</v>
      </c>
      <c r="F5" s="11">
        <v>26.058000000086867</v>
      </c>
      <c r="G5" s="10"/>
    </row>
    <row r="6" spans="1:7" x14ac:dyDescent="0.3">
      <c r="A6" t="str">
        <f>name!A5</f>
        <v>Coal, oil &amp; gas; Mining &amp; related</v>
      </c>
      <c r="B6" s="11">
        <v>2.4379999999869169</v>
      </c>
      <c r="C6" s="11">
        <v>1.9439999999976525</v>
      </c>
      <c r="D6" s="11">
        <v>2.7589999999879002</v>
      </c>
      <c r="E6" s="11">
        <v>2.1029999999813591</v>
      </c>
      <c r="F6" s="11">
        <v>1.3989999999889444</v>
      </c>
    </row>
    <row r="7" spans="1:7" x14ac:dyDescent="0.3">
      <c r="A7" t="str">
        <f>name!A6</f>
        <v>Food products</v>
      </c>
      <c r="B7" s="11">
        <v>28.654000000095564</v>
      </c>
      <c r="C7" s="11">
        <v>31.56800000014168</v>
      </c>
      <c r="D7" s="11">
        <v>30.259999999959962</v>
      </c>
      <c r="E7" s="11">
        <v>32.586000000523242</v>
      </c>
      <c r="F7" s="11">
        <v>34.670000000241039</v>
      </c>
      <c r="G7" s="11"/>
    </row>
    <row r="8" spans="1:7" x14ac:dyDescent="0.3">
      <c r="A8" t="str">
        <f>name!A7</f>
        <v>Beverages and tobacco</v>
      </c>
      <c r="B8" s="11">
        <v>4.2930000000068311</v>
      </c>
      <c r="C8" s="11">
        <v>3.9920000000132378</v>
      </c>
      <c r="D8" s="11">
        <v>4.0370000000014192</v>
      </c>
      <c r="E8" s="11">
        <v>4.3290000000410096</v>
      </c>
      <c r="F8" s="11">
        <v>4.5850000000123021</v>
      </c>
      <c r="G8" s="11"/>
    </row>
    <row r="9" spans="1:7" x14ac:dyDescent="0.3">
      <c r="A9" t="str">
        <f>name!A8</f>
        <v>Textiles</v>
      </c>
      <c r="B9" s="11">
        <v>3.3500000000076944</v>
      </c>
      <c r="C9" s="11">
        <v>5.5879999999948113</v>
      </c>
      <c r="D9" s="11">
        <v>5.2969999999900939</v>
      </c>
      <c r="E9" s="11">
        <v>4.6770000000677801</v>
      </c>
      <c r="F9" s="11">
        <v>4.0460000000269973</v>
      </c>
      <c r="G9" s="11"/>
    </row>
    <row r="10" spans="1:7" x14ac:dyDescent="0.3">
      <c r="A10" t="str">
        <f>name!A9</f>
        <v>Wearing apparel; Leather, etc</v>
      </c>
      <c r="B10" s="11">
        <v>1.8900000000103534</v>
      </c>
      <c r="C10" s="11">
        <v>2.989000000008883</v>
      </c>
      <c r="D10" s="11">
        <v>3.0530000000044284</v>
      </c>
      <c r="E10" s="11">
        <v>2.7000000000265296</v>
      </c>
      <c r="F10" s="11">
        <v>2.3510000000204103</v>
      </c>
      <c r="G10" s="11"/>
    </row>
    <row r="11" spans="1:7" x14ac:dyDescent="0.3">
      <c r="A11" t="str">
        <f>name!A10</f>
        <v xml:space="preserve">Wood and cork </v>
      </c>
      <c r="B11" s="11">
        <v>7.4759999999874953</v>
      </c>
      <c r="C11" s="11">
        <v>11.78200000005126</v>
      </c>
      <c r="D11" s="11">
        <v>12.125000000016655</v>
      </c>
      <c r="E11" s="11">
        <v>11.354000000031217</v>
      </c>
      <c r="F11" s="11">
        <v>10.318000000060062</v>
      </c>
      <c r="G11" s="11"/>
    </row>
    <row r="12" spans="1:7" x14ac:dyDescent="0.3">
      <c r="A12" t="str">
        <f>name!A11</f>
        <v>Paper, etc</v>
      </c>
      <c r="B12" s="11">
        <v>5.1450000000010601</v>
      </c>
      <c r="C12" s="11">
        <v>4.9299999999959203</v>
      </c>
      <c r="D12" s="11">
        <v>4.4359999999965414</v>
      </c>
      <c r="E12" s="11">
        <v>4.2030000000301273</v>
      </c>
      <c r="F12" s="11">
        <v>3.8600000000099799</v>
      </c>
      <c r="G12" s="11"/>
    </row>
    <row r="13" spans="1:7" x14ac:dyDescent="0.3">
      <c r="A13" t="str">
        <f>name!A12</f>
        <v>Printing and recording</v>
      </c>
      <c r="B13" s="11">
        <v>10.969999999983939</v>
      </c>
      <c r="C13" s="11">
        <v>10.590999999975509</v>
      </c>
      <c r="D13" s="11">
        <v>9.8859999999880799</v>
      </c>
      <c r="E13" s="11">
        <v>9.5770000000781863</v>
      </c>
      <c r="F13" s="11">
        <v>8.8160000000218766</v>
      </c>
      <c r="G13" s="11"/>
    </row>
    <row r="14" spans="1:7" x14ac:dyDescent="0.3">
      <c r="A14" t="str">
        <f>name!A13</f>
        <v>Coke and petroleum; Chemicals, etc</v>
      </c>
      <c r="B14" s="11">
        <v>8.7119999999777704</v>
      </c>
      <c r="C14" s="11">
        <v>9.9609999999664502</v>
      </c>
      <c r="D14" s="11">
        <v>9.3999999999576733</v>
      </c>
      <c r="E14" s="11">
        <v>8.9500000000495117</v>
      </c>
      <c r="F14" s="11">
        <v>7.8109999999800976</v>
      </c>
      <c r="G14" s="11"/>
    </row>
    <row r="15" spans="1:7" x14ac:dyDescent="0.3">
      <c r="A15" t="str">
        <f>name!A14</f>
        <v>Pharmaceuticals</v>
      </c>
      <c r="B15" s="11">
        <v>5.7589999999932671</v>
      </c>
      <c r="C15" s="11">
        <v>5.1799999999689765</v>
      </c>
      <c r="D15" s="11">
        <v>5.3179999999958856</v>
      </c>
      <c r="E15" s="11">
        <v>6.1130000000161102</v>
      </c>
      <c r="F15" s="11">
        <v>6.2469999999906936</v>
      </c>
      <c r="G15" s="11"/>
    </row>
    <row r="16" spans="1:7" x14ac:dyDescent="0.3">
      <c r="A16" t="str">
        <f>name!A15</f>
        <v>Rubber and plastic</v>
      </c>
      <c r="B16" s="11">
        <v>18.91199999997826</v>
      </c>
      <c r="C16" s="11">
        <v>15.999000000017036</v>
      </c>
      <c r="D16" s="11">
        <v>16.751999999980313</v>
      </c>
      <c r="E16" s="11">
        <v>16.707000000146351</v>
      </c>
      <c r="F16" s="11">
        <v>15.736000000062644</v>
      </c>
      <c r="G16" s="11"/>
    </row>
    <row r="17" spans="1:7" x14ac:dyDescent="0.3">
      <c r="A17" t="str">
        <f>name!A16</f>
        <v>Other non-metallic</v>
      </c>
      <c r="B17" s="11">
        <v>5.8010000000220145</v>
      </c>
      <c r="C17" s="11">
        <v>5.8310000000131215</v>
      </c>
      <c r="D17" s="11">
        <v>5.5580000000049683</v>
      </c>
      <c r="E17" s="11">
        <v>5.5620000000487257</v>
      </c>
      <c r="F17" s="11">
        <v>5.2590000000253863</v>
      </c>
      <c r="G17" s="11"/>
    </row>
    <row r="18" spans="1:7" x14ac:dyDescent="0.3">
      <c r="A18" t="str">
        <f>name!A17</f>
        <v>Basic metals</v>
      </c>
      <c r="B18" s="11">
        <v>2.2069999999969214</v>
      </c>
      <c r="C18" s="11">
        <v>2.4980000000049434</v>
      </c>
      <c r="D18" s="11">
        <v>2.2330000000001333</v>
      </c>
      <c r="E18" s="11">
        <v>2.1580000000150843</v>
      </c>
      <c r="F18" s="11">
        <v>1.8990000000103338</v>
      </c>
      <c r="G18" s="11"/>
    </row>
    <row r="19" spans="1:7" x14ac:dyDescent="0.3">
      <c r="A19" t="str">
        <f>name!A18</f>
        <v>Metal products</v>
      </c>
      <c r="B19" s="11">
        <v>27.114999999966482</v>
      </c>
      <c r="C19" s="11">
        <v>24.701000000006001</v>
      </c>
      <c r="D19" s="11">
        <v>21.621999999981554</v>
      </c>
      <c r="E19" s="11">
        <v>20.873000000138664</v>
      </c>
      <c r="F19" s="11">
        <v>18.313000000074695</v>
      </c>
      <c r="G19" s="11"/>
    </row>
    <row r="20" spans="1:7" x14ac:dyDescent="0.3">
      <c r="A20" t="str">
        <f>name!A19</f>
        <v>Computer, etc</v>
      </c>
      <c r="B20" s="11">
        <v>17.695999999943488</v>
      </c>
      <c r="C20" s="11">
        <v>15.108999999947418</v>
      </c>
      <c r="D20" s="11">
        <v>15.485999999946833</v>
      </c>
      <c r="E20" s="11">
        <v>15.258000000079964</v>
      </c>
      <c r="F20" s="11">
        <v>12.284000000009673</v>
      </c>
      <c r="G20" s="11"/>
    </row>
    <row r="21" spans="1:7" x14ac:dyDescent="0.3">
      <c r="A21" t="str">
        <f>name!A20</f>
        <v>Electrical equipment</v>
      </c>
      <c r="B21" s="11">
        <v>6.3839999999783128</v>
      </c>
      <c r="C21" s="11">
        <v>6.2389999999943404</v>
      </c>
      <c r="D21" s="11">
        <v>5.5349999999778294</v>
      </c>
      <c r="E21" s="11">
        <v>5.4750000000282677</v>
      </c>
      <c r="F21" s="11">
        <v>4.9940000000008213</v>
      </c>
      <c r="G21" s="11"/>
    </row>
    <row r="22" spans="1:7" x14ac:dyDescent="0.3">
      <c r="A22" t="str">
        <f>name!A21</f>
        <v>Machinery n.e.c.</v>
      </c>
      <c r="B22" s="11">
        <v>20.956999999934599</v>
      </c>
      <c r="C22" s="11">
        <v>22.845999999972641</v>
      </c>
      <c r="D22" s="11">
        <v>20.935999999954074</v>
      </c>
      <c r="E22" s="11">
        <v>21.002000000109817</v>
      </c>
      <c r="F22" s="11">
        <v>18.116000000067096</v>
      </c>
      <c r="G22" s="11"/>
    </row>
    <row r="23" spans="1:7" x14ac:dyDescent="0.3">
      <c r="A23" t="str">
        <f>name!A22</f>
        <v>Motor vehicles, etc</v>
      </c>
      <c r="B23" s="11">
        <v>8.6279999999893899</v>
      </c>
      <c r="C23" s="11">
        <v>5.4009999999913827</v>
      </c>
      <c r="D23" s="11">
        <v>4.840999999994926</v>
      </c>
      <c r="E23" s="11">
        <v>4.5590000000298128</v>
      </c>
      <c r="F23" s="11">
        <v>4.1250000000113198</v>
      </c>
      <c r="G23" s="11"/>
    </row>
    <row r="24" spans="1:7" x14ac:dyDescent="0.3">
      <c r="A24" t="str">
        <f>name!A23</f>
        <v>Other transport equipment</v>
      </c>
      <c r="B24" s="11">
        <v>9.3929999999549576</v>
      </c>
      <c r="C24" s="11">
        <v>8.2379999999697056</v>
      </c>
      <c r="D24" s="11">
        <v>8.157999999964856</v>
      </c>
      <c r="E24" s="11">
        <v>6.591999999998273</v>
      </c>
      <c r="F24" s="11">
        <v>6.4659999999708937</v>
      </c>
      <c r="G24" s="11"/>
    </row>
    <row r="25" spans="1:7" x14ac:dyDescent="0.3">
      <c r="A25" t="str">
        <f>name!A24</f>
        <v>Furniture</v>
      </c>
      <c r="B25" s="11">
        <v>8.1719999999997448</v>
      </c>
      <c r="C25" s="11">
        <v>8.9130000000322998</v>
      </c>
      <c r="D25" s="11">
        <v>9.2520000000111562</v>
      </c>
      <c r="E25" s="11">
        <v>7.6820000000595776</v>
      </c>
      <c r="F25" s="11">
        <v>6.4820000000388891</v>
      </c>
      <c r="G25" s="11"/>
    </row>
    <row r="26" spans="1:7" x14ac:dyDescent="0.3">
      <c r="A26" t="str">
        <f>name!A25</f>
        <v>Other manufacturing</v>
      </c>
      <c r="B26" s="11">
        <v>11.754999999991487</v>
      </c>
      <c r="C26" s="11">
        <v>7.2849999999886785</v>
      </c>
      <c r="D26" s="11">
        <v>7.2749999999918042</v>
      </c>
      <c r="E26" s="11">
        <v>6.0090000000641082</v>
      </c>
      <c r="F26" s="11">
        <v>5.0580000000262402</v>
      </c>
      <c r="G26" s="11"/>
    </row>
    <row r="27" spans="1:7" x14ac:dyDescent="0.3">
      <c r="A27" t="str">
        <f>name!A26</f>
        <v>Repair and installation</v>
      </c>
      <c r="B27" s="11">
        <v>11.881999999982261</v>
      </c>
      <c r="C27" s="11">
        <v>18.116999999972201</v>
      </c>
      <c r="D27" s="11">
        <v>19.179999999947778</v>
      </c>
      <c r="E27" s="11">
        <v>16.014000000067401</v>
      </c>
      <c r="F27" s="11">
        <v>13.800999999987694</v>
      </c>
      <c r="G27" s="11"/>
    </row>
    <row r="28" spans="1:7" x14ac:dyDescent="0.3">
      <c r="A28" t="str">
        <f>name!A27</f>
        <v>Electricity, gas, etc</v>
      </c>
      <c r="B28" s="11">
        <v>6.9769999999797303</v>
      </c>
      <c r="C28" s="11">
        <v>7.2169999999705867</v>
      </c>
      <c r="D28" s="11">
        <v>5.9299999999484241</v>
      </c>
      <c r="E28" s="11">
        <v>5.5280000000022245</v>
      </c>
      <c r="F28" s="11">
        <v>5.286999999950595</v>
      </c>
      <c r="G28" s="11"/>
    </row>
    <row r="29" spans="1:7" x14ac:dyDescent="0.3">
      <c r="A29" t="str">
        <f>name!A28</f>
        <v>Water</v>
      </c>
      <c r="B29" s="11">
        <v>4.4409999999781311</v>
      </c>
      <c r="C29" s="11">
        <v>6.0449999999748947</v>
      </c>
      <c r="D29" s="11">
        <v>5.4109999999683183</v>
      </c>
      <c r="E29" s="11">
        <v>5.743000000008891</v>
      </c>
      <c r="F29" s="11">
        <v>6.2839999999523277</v>
      </c>
      <c r="G29" s="11"/>
    </row>
    <row r="30" spans="1:7" x14ac:dyDescent="0.3">
      <c r="A30" t="str">
        <f>name!A29</f>
        <v>Sewerage</v>
      </c>
      <c r="B30" s="11">
        <v>5.8179999999935621</v>
      </c>
      <c r="C30" s="11">
        <v>3.16200000000212</v>
      </c>
      <c r="D30" s="11">
        <v>2.7940000000086376</v>
      </c>
      <c r="E30" s="11">
        <v>2.9880000000379834</v>
      </c>
      <c r="F30" s="11">
        <v>3.3160000000360834</v>
      </c>
      <c r="G30" s="11"/>
    </row>
    <row r="31" spans="1:7" x14ac:dyDescent="0.3">
      <c r="A31" t="str">
        <f>name!A30</f>
        <v>Waste management</v>
      </c>
      <c r="B31" s="11">
        <v>11.822999999993039</v>
      </c>
      <c r="C31" s="11">
        <v>16.261000000041911</v>
      </c>
      <c r="D31" s="11">
        <v>13.207000000035759</v>
      </c>
      <c r="E31" s="11">
        <v>14.005000000134256</v>
      </c>
      <c r="F31" s="11">
        <v>15.29500000013263</v>
      </c>
      <c r="G31" s="11"/>
    </row>
    <row r="32" spans="1:7" x14ac:dyDescent="0.3">
      <c r="A32" t="str">
        <f>name!A31</f>
        <v>Construction</v>
      </c>
      <c r="B32" s="11">
        <v>80.079999999021084</v>
      </c>
      <c r="C32" s="11">
        <v>72.168000000492498</v>
      </c>
      <c r="D32" s="11">
        <v>83.303999999433771</v>
      </c>
      <c r="E32" s="11">
        <v>90.741999998377324</v>
      </c>
      <c r="F32" s="11">
        <v>100.58799999905213</v>
      </c>
      <c r="G32" s="11"/>
    </row>
    <row r="33" spans="1:7" x14ac:dyDescent="0.3">
      <c r="A33" t="str">
        <f>name!A32</f>
        <v>Civil engineering</v>
      </c>
      <c r="B33" s="11">
        <v>37.281999999473221</v>
      </c>
      <c r="C33" s="11">
        <v>36.080000000334323</v>
      </c>
      <c r="D33" s="11">
        <v>40.44699999971661</v>
      </c>
      <c r="E33" s="11">
        <v>44.024999998861674</v>
      </c>
      <c r="F33" s="11">
        <v>48.584999999411934</v>
      </c>
      <c r="G33" s="11"/>
    </row>
    <row r="34" spans="1:7" x14ac:dyDescent="0.3">
      <c r="A34" t="str">
        <f>name!A33</f>
        <v>Specialised construction</v>
      </c>
      <c r="B34" s="11">
        <v>126.06499999837052</v>
      </c>
      <c r="C34" s="11">
        <v>132.17600000120035</v>
      </c>
      <c r="D34" s="11">
        <v>149.66299999894181</v>
      </c>
      <c r="E34" s="11">
        <v>162.95099999616417</v>
      </c>
      <c r="F34" s="11">
        <v>180.02499999792082</v>
      </c>
      <c r="G34" s="11"/>
    </row>
    <row r="35" spans="1:7" x14ac:dyDescent="0.3">
      <c r="A35" t="str">
        <f>name!A34</f>
        <v>Motor vehicle trade</v>
      </c>
      <c r="B35" s="11">
        <v>73.048000000318368</v>
      </c>
      <c r="C35" s="11">
        <v>78.416000000711406</v>
      </c>
      <c r="D35" s="11">
        <v>70.215000000131297</v>
      </c>
      <c r="E35" s="11">
        <v>75.307000000716783</v>
      </c>
      <c r="F35" s="11">
        <v>80.97000000058452</v>
      </c>
      <c r="G35" s="11"/>
    </row>
    <row r="36" spans="1:7" x14ac:dyDescent="0.3">
      <c r="A36" t="str">
        <f>name!A35</f>
        <v>Wholesale trade</v>
      </c>
      <c r="B36" s="11">
        <v>121.52700000061138</v>
      </c>
      <c r="C36" s="11">
        <v>129.34400000065227</v>
      </c>
      <c r="D36" s="11">
        <v>125.14399999961606</v>
      </c>
      <c r="E36" s="11">
        <v>127.75400000171109</v>
      </c>
      <c r="F36" s="11">
        <v>129.09600000025193</v>
      </c>
      <c r="G36" s="11"/>
    </row>
    <row r="37" spans="1:7" x14ac:dyDescent="0.3">
      <c r="A37" t="str">
        <f>name!A36</f>
        <v>Retail trade</v>
      </c>
      <c r="B37" s="11">
        <v>303.86900000768389</v>
      </c>
      <c r="C37" s="11">
        <v>275.94600000593522</v>
      </c>
      <c r="D37" s="11">
        <v>276.54400000090595</v>
      </c>
      <c r="E37" s="11">
        <v>276.31300000735905</v>
      </c>
      <c r="F37" s="11">
        <v>277.06699999889088</v>
      </c>
      <c r="G37" s="11"/>
    </row>
    <row r="38" spans="1:7" x14ac:dyDescent="0.3">
      <c r="A38" t="str">
        <f>name!A37</f>
        <v>Land transport, etc</v>
      </c>
      <c r="B38" s="11">
        <v>63.831000000281541</v>
      </c>
      <c r="C38" s="11">
        <v>83.354999998770182</v>
      </c>
      <c r="D38" s="11">
        <v>77.322000000795811</v>
      </c>
      <c r="E38" s="11">
        <v>85.876000002858035</v>
      </c>
      <c r="F38" s="11">
        <v>88.515000002591989</v>
      </c>
      <c r="G38" s="11"/>
    </row>
    <row r="39" spans="1:7" x14ac:dyDescent="0.3">
      <c r="A39" t="str">
        <f>name!A38</f>
        <v>Water transport</v>
      </c>
      <c r="B39" s="11">
        <v>0.80300000000327609</v>
      </c>
      <c r="C39" s="11">
        <v>0.85700000000301668</v>
      </c>
      <c r="D39" s="11">
        <v>0.92700000000212113</v>
      </c>
      <c r="E39" s="11">
        <v>0.78800000001111947</v>
      </c>
      <c r="F39" s="11">
        <v>0.76200000000498014</v>
      </c>
      <c r="G39" s="11"/>
    </row>
    <row r="40" spans="1:7" x14ac:dyDescent="0.3">
      <c r="A40" t="str">
        <f>name!A39</f>
        <v>Air transport</v>
      </c>
      <c r="B40" s="11">
        <v>4.5799999999981607</v>
      </c>
      <c r="C40" s="11">
        <v>6.8050000000046822</v>
      </c>
      <c r="D40" s="11">
        <v>5.6019999999846117</v>
      </c>
      <c r="E40" s="11">
        <v>7.7210000001077495</v>
      </c>
      <c r="F40" s="11">
        <v>8.2460000000112039</v>
      </c>
      <c r="G40" s="11"/>
    </row>
    <row r="41" spans="1:7" x14ac:dyDescent="0.3">
      <c r="A41" t="str">
        <f>name!A40</f>
        <v>Warehousing, etc</v>
      </c>
      <c r="B41" s="11">
        <v>43.69000000017445</v>
      </c>
      <c r="C41" s="11">
        <v>57.177000000301589</v>
      </c>
      <c r="D41" s="11">
        <v>55.847000000221172</v>
      </c>
      <c r="E41" s="11">
        <v>57.820000000810452</v>
      </c>
      <c r="F41" s="11">
        <v>58.696000000610447</v>
      </c>
      <c r="G41" s="11"/>
    </row>
    <row r="42" spans="1:7" x14ac:dyDescent="0.3">
      <c r="A42" t="str">
        <f>name!A41</f>
        <v>Postal and courier</v>
      </c>
      <c r="B42" s="11">
        <v>24.798000000176032</v>
      </c>
      <c r="C42" s="11">
        <v>25.717000000166113</v>
      </c>
      <c r="D42" s="11">
        <v>26.273999999913233</v>
      </c>
      <c r="E42" s="11">
        <v>27.357000000469629</v>
      </c>
      <c r="F42" s="11">
        <v>28.089000000164354</v>
      </c>
      <c r="G42" s="11"/>
    </row>
    <row r="43" spans="1:7" x14ac:dyDescent="0.3">
      <c r="A43" t="str">
        <f>name!A42</f>
        <v>Accommodation</v>
      </c>
      <c r="B43" s="11">
        <v>36.196000000532273</v>
      </c>
      <c r="C43" s="11">
        <v>38.798000000662221</v>
      </c>
      <c r="D43" s="11">
        <v>38.587999999875862</v>
      </c>
      <c r="E43" s="11">
        <v>44.584000000899486</v>
      </c>
      <c r="F43" s="11">
        <v>47.137999999680986</v>
      </c>
      <c r="G43" s="11"/>
    </row>
    <row r="44" spans="1:7" x14ac:dyDescent="0.3">
      <c r="A44" t="str">
        <f>name!A43</f>
        <v>Food and beverage services</v>
      </c>
      <c r="B44" s="11">
        <v>150.91600000265186</v>
      </c>
      <c r="C44" s="11">
        <v>160.93700000275305</v>
      </c>
      <c r="D44" s="11">
        <v>164.10599999967832</v>
      </c>
      <c r="E44" s="11">
        <v>163.79800000314623</v>
      </c>
      <c r="F44" s="11">
        <v>186.88099999889735</v>
      </c>
      <c r="G44" s="11"/>
    </row>
    <row r="45" spans="1:7" x14ac:dyDescent="0.3">
      <c r="A45" t="str">
        <f>name!A44</f>
        <v>Publishing activities</v>
      </c>
      <c r="B45" s="11">
        <v>21.547999999938838</v>
      </c>
      <c r="C45" s="11">
        <v>19.003999999867727</v>
      </c>
      <c r="D45" s="11">
        <v>20.36599999994943</v>
      </c>
      <c r="E45" s="11">
        <v>19.669000000213764</v>
      </c>
      <c r="F45" s="11">
        <v>19.370999999984807</v>
      </c>
      <c r="G45" s="11"/>
    </row>
    <row r="46" spans="1:7" x14ac:dyDescent="0.3">
      <c r="A46" t="str">
        <f>name!A45</f>
        <v>Film and music</v>
      </c>
      <c r="B46" s="11">
        <v>14.828000000090441</v>
      </c>
      <c r="C46" s="11">
        <v>7.5530000000187041</v>
      </c>
      <c r="D46" s="11">
        <v>8.219000000018724</v>
      </c>
      <c r="E46" s="11">
        <v>7.984000000135083</v>
      </c>
      <c r="F46" s="11">
        <v>7.9260000000500144</v>
      </c>
      <c r="G46" s="11"/>
    </row>
    <row r="47" spans="1:7" x14ac:dyDescent="0.3">
      <c r="A47" t="str">
        <f>name!A46</f>
        <v>Broadcasting</v>
      </c>
      <c r="B47" s="11">
        <v>0.1760000000001696</v>
      </c>
      <c r="C47" s="11">
        <v>2.5169999999861066</v>
      </c>
      <c r="D47" s="11">
        <v>2.5789999999981283</v>
      </c>
      <c r="E47" s="11">
        <v>2.4730000000268548</v>
      </c>
      <c r="F47" s="11">
        <v>2.4020000000047608</v>
      </c>
      <c r="G47" s="11"/>
    </row>
    <row r="48" spans="1:7" x14ac:dyDescent="0.3">
      <c r="A48" t="str">
        <f>name!A47</f>
        <v>Telecommunications</v>
      </c>
      <c r="B48" s="11">
        <v>15.153999999874662</v>
      </c>
      <c r="C48" s="11">
        <v>18.98599999979184</v>
      </c>
      <c r="D48" s="11">
        <v>17.95899999977976</v>
      </c>
      <c r="E48" s="11">
        <v>18.673999999929716</v>
      </c>
      <c r="F48" s="11">
        <v>19.516999999702769</v>
      </c>
      <c r="G48" s="11"/>
    </row>
    <row r="49" spans="1:7" x14ac:dyDescent="0.3">
      <c r="A49" t="str">
        <f>name!A48</f>
        <v>Computing services</v>
      </c>
      <c r="B49" s="11">
        <v>61.457999999290251</v>
      </c>
      <c r="C49" s="11">
        <v>62.880999999066653</v>
      </c>
      <c r="D49" s="11">
        <v>62.97399999931131</v>
      </c>
      <c r="E49" s="11">
        <v>65.714999999804292</v>
      </c>
      <c r="F49" s="11">
        <v>69.038999999017946</v>
      </c>
      <c r="G49" s="11"/>
    </row>
    <row r="50" spans="1:7" x14ac:dyDescent="0.3">
      <c r="A50" t="str">
        <f>name!A49</f>
        <v>Information services</v>
      </c>
      <c r="B50" s="11">
        <v>6.596999999959114</v>
      </c>
      <c r="C50" s="11">
        <v>2.6859999999880246</v>
      </c>
      <c r="D50" s="11">
        <v>2.7009999999783307</v>
      </c>
      <c r="E50" s="11">
        <v>2.8150000000044959</v>
      </c>
      <c r="F50" s="11">
        <v>2.9539999999788669</v>
      </c>
      <c r="G50" s="11"/>
    </row>
    <row r="51" spans="1:7" x14ac:dyDescent="0.3">
      <c r="A51" t="str">
        <f>name!A50</f>
        <v>Financial services</v>
      </c>
      <c r="B51" s="11">
        <v>26.159999999910454</v>
      </c>
      <c r="C51" s="11">
        <v>16.864999999842478</v>
      </c>
      <c r="D51" s="11">
        <v>16.862999999889229</v>
      </c>
      <c r="E51" s="11">
        <v>16.161000000151446</v>
      </c>
      <c r="F51" s="11">
        <v>14.591999999923038</v>
      </c>
      <c r="G51" s="11"/>
    </row>
    <row r="52" spans="1:7" x14ac:dyDescent="0.3">
      <c r="A52" t="str">
        <f>name!A51</f>
        <v>Insurance and pensions</v>
      </c>
      <c r="B52" s="11">
        <v>8.8519999999524686</v>
      </c>
      <c r="C52" s="11">
        <v>13.438999999856019</v>
      </c>
      <c r="D52" s="11">
        <v>13.545999999914272</v>
      </c>
      <c r="E52" s="11">
        <v>12.968000000101457</v>
      </c>
      <c r="F52" s="11">
        <v>11.649999999934021</v>
      </c>
      <c r="G52" s="11"/>
    </row>
    <row r="53" spans="1:7" x14ac:dyDescent="0.3">
      <c r="A53" t="str">
        <f>name!A52</f>
        <v>Auxiliary financial services</v>
      </c>
      <c r="B53" s="11">
        <v>39.511999999778709</v>
      </c>
      <c r="C53" s="11">
        <v>45.462999999528371</v>
      </c>
      <c r="D53" s="11">
        <v>47.763999999694931</v>
      </c>
      <c r="E53" s="11">
        <v>46.384000000439038</v>
      </c>
      <c r="F53" s="11">
        <v>42.138999999827959</v>
      </c>
      <c r="G53" s="11"/>
    </row>
    <row r="54" spans="1:7" x14ac:dyDescent="0.3">
      <c r="A54" t="str">
        <f>name!A53</f>
        <v>Real estate</v>
      </c>
      <c r="B54" s="11">
        <v>44.884999999948363</v>
      </c>
      <c r="C54" s="11">
        <v>50.697999999990891</v>
      </c>
      <c r="D54" s="11">
        <v>51.984999999648018</v>
      </c>
      <c r="E54" s="11">
        <v>53.148000000317865</v>
      </c>
      <c r="F54" s="11">
        <v>60.826999999666633</v>
      </c>
      <c r="G54" s="11"/>
    </row>
    <row r="55" spans="1:7" x14ac:dyDescent="0.3">
      <c r="A55" t="str">
        <f>name!A54</f>
        <v>Legal and accounting</v>
      </c>
      <c r="B55" s="11">
        <v>62.670999999284795</v>
      </c>
      <c r="C55" s="11">
        <v>72.332999998943805</v>
      </c>
      <c r="D55" s="11">
        <v>65.929999999861622</v>
      </c>
      <c r="E55" s="11">
        <v>70.950000000643982</v>
      </c>
      <c r="F55" s="11">
        <v>77.011999999874774</v>
      </c>
      <c r="G55" s="11"/>
    </row>
    <row r="56" spans="1:7" x14ac:dyDescent="0.3">
      <c r="A56" t="str">
        <f>name!A55</f>
        <v>Head offices, etc</v>
      </c>
      <c r="B56" s="11">
        <v>75.738999999070003</v>
      </c>
      <c r="C56" s="11">
        <v>76.605999998794928</v>
      </c>
      <c r="D56" s="11">
        <v>74.593999999510601</v>
      </c>
      <c r="E56" s="11">
        <v>77.305000000287748</v>
      </c>
      <c r="F56" s="11">
        <v>80.127999999472863</v>
      </c>
      <c r="G56" s="11"/>
    </row>
    <row r="57" spans="1:7" x14ac:dyDescent="0.3">
      <c r="A57" t="str">
        <f>name!A56</f>
        <v>Architectural and related</v>
      </c>
      <c r="B57" s="11">
        <v>47.5449999994322</v>
      </c>
      <c r="C57" s="11">
        <v>64.30299999897494</v>
      </c>
      <c r="D57" s="11">
        <v>64.035999999304209</v>
      </c>
      <c r="E57" s="11">
        <v>65.275999999978239</v>
      </c>
      <c r="F57" s="11">
        <v>68.769999999201744</v>
      </c>
      <c r="G57" s="11"/>
    </row>
    <row r="58" spans="1:7" x14ac:dyDescent="0.3">
      <c r="A58" t="str">
        <f>name!A57</f>
        <v>Scientific research and development</v>
      </c>
      <c r="B58" s="11">
        <v>38.425999999750147</v>
      </c>
      <c r="C58" s="11">
        <v>49.650999999352337</v>
      </c>
      <c r="D58" s="11">
        <v>43.868000000025894</v>
      </c>
      <c r="E58" s="11">
        <v>47.057999999834806</v>
      </c>
      <c r="F58" s="11">
        <v>53.018999999806155</v>
      </c>
      <c r="G58" s="11"/>
    </row>
    <row r="59" spans="1:7" x14ac:dyDescent="0.3">
      <c r="A59" t="str">
        <f>name!A58</f>
        <v>Advertising, etc</v>
      </c>
      <c r="B59" s="11">
        <v>15.757999999822331</v>
      </c>
      <c r="C59" s="11">
        <v>14.878999999785171</v>
      </c>
      <c r="D59" s="11">
        <v>13.231000000009438</v>
      </c>
      <c r="E59" s="11">
        <v>14.209000000203787</v>
      </c>
      <c r="F59" s="11">
        <v>16.072000000049979</v>
      </c>
      <c r="G59" s="11"/>
    </row>
    <row r="60" spans="1:7" x14ac:dyDescent="0.3">
      <c r="A60" t="str">
        <f>name!A59</f>
        <v>Other professional</v>
      </c>
      <c r="B60" s="11">
        <v>27.289999999910464</v>
      </c>
      <c r="C60" s="11">
        <v>37.647999999720987</v>
      </c>
      <c r="D60" s="11">
        <v>33.10399999999305</v>
      </c>
      <c r="E60" s="11">
        <v>35.541000000516796</v>
      </c>
      <c r="F60" s="11">
        <v>40.16000000012729</v>
      </c>
      <c r="G60" s="11"/>
    </row>
    <row r="61" spans="1:7" x14ac:dyDescent="0.3">
      <c r="A61" t="str">
        <f>name!A60</f>
        <v>Veterinary</v>
      </c>
      <c r="B61" s="11">
        <v>10.018999999767734</v>
      </c>
      <c r="C61" s="11">
        <v>15.38599999970346</v>
      </c>
      <c r="D61" s="11">
        <v>13.902000000164589</v>
      </c>
      <c r="E61" s="11">
        <v>14.960999999971873</v>
      </c>
      <c r="F61" s="11">
        <v>17.001000000016713</v>
      </c>
      <c r="G61" s="11"/>
    </row>
    <row r="62" spans="1:7" x14ac:dyDescent="0.3">
      <c r="A62" t="str">
        <f>name!A61</f>
        <v>Rental and leasing</v>
      </c>
      <c r="B62" s="11">
        <v>26.50800000001778</v>
      </c>
      <c r="C62" s="11">
        <v>13.76800000001305</v>
      </c>
      <c r="D62" s="11">
        <v>13.277999999992041</v>
      </c>
      <c r="E62" s="11">
        <v>14.110000000094272</v>
      </c>
      <c r="F62" s="11">
        <v>15.219999999991206</v>
      </c>
      <c r="G62" s="11"/>
    </row>
    <row r="63" spans="1:7" x14ac:dyDescent="0.3">
      <c r="A63" t="str">
        <f>name!A62</f>
        <v>Employment activities</v>
      </c>
      <c r="B63" s="11">
        <v>119.71900000092816</v>
      </c>
      <c r="C63" s="11">
        <v>121.4010000010848</v>
      </c>
      <c r="D63" s="11">
        <v>113.64900000008154</v>
      </c>
      <c r="E63" s="11">
        <v>120.63100000114285</v>
      </c>
      <c r="F63" s="11">
        <v>129.6810000006445</v>
      </c>
      <c r="G63" s="11"/>
    </row>
    <row r="64" spans="1:7" x14ac:dyDescent="0.3">
      <c r="A64" t="str">
        <f>name!A63</f>
        <v>Travel, etc</v>
      </c>
      <c r="B64" s="11">
        <v>6.2380000000406408</v>
      </c>
      <c r="C64" s="11">
        <v>6.34200000004427</v>
      </c>
      <c r="D64" s="11">
        <v>5.9679999999913074</v>
      </c>
      <c r="E64" s="11">
        <v>6.3460000000692673</v>
      </c>
      <c r="F64" s="11">
        <v>6.8500000000351404</v>
      </c>
      <c r="G64" s="11"/>
    </row>
    <row r="65" spans="1:7" x14ac:dyDescent="0.3">
      <c r="A65" t="str">
        <f>name!A64</f>
        <v>Security, etc</v>
      </c>
      <c r="B65" s="11">
        <v>12.372000000081066</v>
      </c>
      <c r="C65" s="11">
        <v>19.176000000150733</v>
      </c>
      <c r="D65" s="11">
        <v>18.379000000010389</v>
      </c>
      <c r="E65" s="11">
        <v>19.5170000001843</v>
      </c>
      <c r="F65" s="11">
        <v>21.014000000090643</v>
      </c>
      <c r="G65" s="11"/>
    </row>
    <row r="66" spans="1:7" x14ac:dyDescent="0.3">
      <c r="A66" t="str">
        <f>name!A65</f>
        <v>Services to buildings</v>
      </c>
      <c r="B66" s="11">
        <v>97.532000001078174</v>
      </c>
      <c r="C66" s="11">
        <v>104.41900000105231</v>
      </c>
      <c r="D66" s="11">
        <v>97.226999999465306</v>
      </c>
      <c r="E66" s="11">
        <v>103.17600000098943</v>
      </c>
      <c r="F66" s="11">
        <v>110.77899999975561</v>
      </c>
      <c r="G66" s="11"/>
    </row>
    <row r="67" spans="1:7" x14ac:dyDescent="0.3">
      <c r="A67" t="str">
        <f>name!A66</f>
        <v>Office administrative</v>
      </c>
      <c r="B67" s="11">
        <v>40.267000000161971</v>
      </c>
      <c r="C67" s="11">
        <v>44.425000000256752</v>
      </c>
      <c r="D67" s="11">
        <v>42.513999999946094</v>
      </c>
      <c r="E67" s="11">
        <v>45.251000000372287</v>
      </c>
      <c r="F67" s="11">
        <v>48.896000000120644</v>
      </c>
      <c r="G67" s="11"/>
    </row>
    <row r="68" spans="1:7" x14ac:dyDescent="0.3">
      <c r="A68" t="str">
        <f>name!A67</f>
        <v>Public administration and defence</v>
      </c>
      <c r="B68" s="11">
        <v>93.169999999344981</v>
      </c>
      <c r="C68" s="11">
        <v>87.053999999271809</v>
      </c>
      <c r="D68" s="11">
        <v>89.344999999824566</v>
      </c>
      <c r="E68" s="11">
        <v>95.20600000044486</v>
      </c>
      <c r="F68" s="11">
        <v>100.93299999979894</v>
      </c>
      <c r="G68" s="11"/>
    </row>
    <row r="69" spans="1:7" x14ac:dyDescent="0.3">
      <c r="A69" t="str">
        <f>name!A68</f>
        <v xml:space="preserve">Education </v>
      </c>
      <c r="B69" s="11">
        <v>263.15899999695313</v>
      </c>
      <c r="C69" s="11">
        <v>281.39199999629238</v>
      </c>
      <c r="D69" s="11">
        <v>283.23500000341642</v>
      </c>
      <c r="E69" s="11">
        <v>279.15199998312448</v>
      </c>
      <c r="F69" s="11">
        <v>283.76200000257643</v>
      </c>
      <c r="G69" s="11"/>
    </row>
    <row r="70" spans="1:7" x14ac:dyDescent="0.3">
      <c r="A70" t="str">
        <f>name!A69</f>
        <v>Health</v>
      </c>
      <c r="B70" s="11">
        <v>176.43799999767455</v>
      </c>
      <c r="C70" s="11">
        <v>208.17699999714551</v>
      </c>
      <c r="D70" s="11">
        <v>207.80499999986665</v>
      </c>
      <c r="E70" s="11">
        <v>228.8169999973793</v>
      </c>
      <c r="F70" s="11">
        <v>261.66599999896152</v>
      </c>
      <c r="G70" s="11"/>
    </row>
    <row r="71" spans="1:7" x14ac:dyDescent="0.3">
      <c r="A71" t="str">
        <f>name!A70</f>
        <v>Residential care</v>
      </c>
      <c r="B71" s="11">
        <v>74.966999998840791</v>
      </c>
      <c r="C71" s="11">
        <v>82.208999998655514</v>
      </c>
      <c r="D71" s="11">
        <v>75.758000000174079</v>
      </c>
      <c r="E71" s="11">
        <v>80.443999999135599</v>
      </c>
      <c r="F71" s="11">
        <v>85.710999999696071</v>
      </c>
      <c r="G71" s="11"/>
    </row>
    <row r="72" spans="1:7" x14ac:dyDescent="0.3">
      <c r="A72" t="str">
        <f>name!A71</f>
        <v>Social work</v>
      </c>
      <c r="B72" s="11">
        <v>90.213999998590054</v>
      </c>
      <c r="C72" s="11">
        <v>89.956999998522747</v>
      </c>
      <c r="D72" s="11">
        <v>83.47499999992354</v>
      </c>
      <c r="E72" s="11">
        <v>87.631999998752875</v>
      </c>
      <c r="F72" s="11">
        <v>91.207999999641515</v>
      </c>
      <c r="G72" s="11"/>
    </row>
    <row r="73" spans="1:7" x14ac:dyDescent="0.3">
      <c r="A73" t="str">
        <f>name!A72</f>
        <v>Arts and entertainment</v>
      </c>
      <c r="B73" s="11">
        <v>5.0240000000589635</v>
      </c>
      <c r="C73" s="11">
        <v>14.899999999974193</v>
      </c>
      <c r="D73" s="11">
        <v>20.478000000163675</v>
      </c>
      <c r="E73" s="11">
        <v>17.293000000404295</v>
      </c>
      <c r="F73" s="11">
        <v>17.071000000270857</v>
      </c>
      <c r="G73" s="11"/>
    </row>
    <row r="74" spans="1:7" x14ac:dyDescent="0.3">
      <c r="A74" t="str">
        <f>name!A73</f>
        <v>Libraries, etc</v>
      </c>
      <c r="B74" s="11">
        <v>15.315000000106163</v>
      </c>
      <c r="C74" s="11">
        <v>14.561999999989569</v>
      </c>
      <c r="D74" s="11">
        <v>20.487000000131033</v>
      </c>
      <c r="E74" s="11">
        <v>17.446000000342469</v>
      </c>
      <c r="F74" s="11">
        <v>17.401000000217142</v>
      </c>
      <c r="G74" s="11"/>
    </row>
    <row r="75" spans="1:7" x14ac:dyDescent="0.3">
      <c r="A75" t="str">
        <f>name!A74</f>
        <v>Gambling and betting</v>
      </c>
      <c r="B75" s="11">
        <v>9.9330000000049701</v>
      </c>
      <c r="C75" s="11">
        <v>6.0849999999961151</v>
      </c>
      <c r="D75" s="11">
        <v>6.8300000000101306</v>
      </c>
      <c r="E75" s="11">
        <v>6.9360000000574136</v>
      </c>
      <c r="F75" s="11">
        <v>7.4010000000249985</v>
      </c>
      <c r="G75" s="11"/>
    </row>
    <row r="76" spans="1:7" x14ac:dyDescent="0.3">
      <c r="A76" t="str">
        <f>name!A75</f>
        <v>Sport and recreation</v>
      </c>
      <c r="B76" s="11">
        <v>44.489000000143299</v>
      </c>
      <c r="C76" s="11">
        <v>51.529000000021007</v>
      </c>
      <c r="D76" s="11">
        <v>54.90100000016578</v>
      </c>
      <c r="E76" s="11">
        <v>55.6170000006911</v>
      </c>
      <c r="F76" s="11">
        <v>59.019000000305105</v>
      </c>
      <c r="G76" s="11"/>
    </row>
    <row r="77" spans="1:7" x14ac:dyDescent="0.3">
      <c r="A77" t="str">
        <f>name!A76</f>
        <v>Membership organisations</v>
      </c>
      <c r="B77" s="11">
        <v>37.273999999818749</v>
      </c>
      <c r="C77" s="11">
        <v>29.313999999747296</v>
      </c>
      <c r="D77" s="11">
        <v>31.21300000012328</v>
      </c>
      <c r="E77" s="11">
        <v>31.036000000295239</v>
      </c>
      <c r="F77" s="11">
        <v>31.048000000155277</v>
      </c>
      <c r="G77" s="11"/>
    </row>
    <row r="78" spans="1:7" x14ac:dyDescent="0.3">
      <c r="A78" t="str">
        <f>name!A77</f>
        <v>Repair of goods</v>
      </c>
      <c r="B78" s="11">
        <v>16.545000000107976</v>
      </c>
      <c r="C78" s="11">
        <v>9.2299999999824305</v>
      </c>
      <c r="D78" s="11">
        <v>10.354999999942979</v>
      </c>
      <c r="E78" s="11">
        <v>10.572000000084309</v>
      </c>
      <c r="F78" s="11">
        <v>10.889999999968586</v>
      </c>
      <c r="G78" s="11"/>
    </row>
    <row r="79" spans="1:7" x14ac:dyDescent="0.3">
      <c r="A79" t="str">
        <f>name!A78</f>
        <v>Other personal service</v>
      </c>
      <c r="B79" s="11">
        <v>45.853000000555376</v>
      </c>
      <c r="C79" s="11">
        <v>48.90800000046675</v>
      </c>
      <c r="D79" s="11">
        <v>55.506999999343023</v>
      </c>
      <c r="E79" s="11">
        <v>55.393000000367422</v>
      </c>
      <c r="F79" s="11">
        <v>55.620000000134375</v>
      </c>
      <c r="G79" s="11"/>
    </row>
    <row r="80" spans="1:7" x14ac:dyDescent="0.3">
      <c r="B80" s="11"/>
      <c r="C80" s="11"/>
      <c r="D80" s="11"/>
      <c r="E80" s="11"/>
      <c r="F80" s="11"/>
      <c r="G80" s="11"/>
    </row>
    <row r="81" spans="1:7" x14ac:dyDescent="0.3">
      <c r="A81" s="23" t="str">
        <f>name!A3</f>
        <v>All industries</v>
      </c>
      <c r="B81" s="33">
        <f>SUM(B5:B79)</f>
        <v>3055.7789999995116</v>
      </c>
      <c r="C81" s="33">
        <f t="shared" ref="C81:F81" si="0">SUM(C5:C79)</f>
        <v>3207.1029999983189</v>
      </c>
      <c r="D81" s="33">
        <f t="shared" si="0"/>
        <v>3174.1919999983998</v>
      </c>
      <c r="E81" s="33">
        <f t="shared" si="0"/>
        <v>3280.2520000000031</v>
      </c>
      <c r="F81" s="33">
        <f t="shared" si="0"/>
        <v>3444.2829999978981</v>
      </c>
      <c r="G81" s="11"/>
    </row>
    <row r="82" spans="1:7" x14ac:dyDescent="0.3">
      <c r="B82" s="11"/>
      <c r="C82" s="11"/>
      <c r="D82" s="11"/>
      <c r="E82" s="11"/>
      <c r="F82" s="11"/>
      <c r="G82" s="11"/>
    </row>
    <row r="83" spans="1:7" x14ac:dyDescent="0.3">
      <c r="B83" s="11"/>
      <c r="C83" s="11"/>
      <c r="D83" s="11"/>
      <c r="E83" s="11"/>
      <c r="F83" s="11"/>
      <c r="G83" s="11"/>
    </row>
    <row r="84" spans="1:7" x14ac:dyDescent="0.3">
      <c r="B84" s="11"/>
      <c r="C84" s="11"/>
      <c r="D84" s="11"/>
      <c r="E84" s="11"/>
      <c r="F84" s="11"/>
      <c r="G84" s="11"/>
    </row>
    <row r="85" spans="1:7" ht="15.45" x14ac:dyDescent="0.4">
      <c r="A85" s="18" t="str">
        <f>CONCATENATE($A$1," (Continued)")</f>
        <v>Industry Table 3  Employment by Industry (SIC 2007), 2015-2035, East (Continued)</v>
      </c>
      <c r="B85" s="17"/>
      <c r="C85" s="17"/>
      <c r="D85" s="17"/>
      <c r="E85" s="17"/>
      <c r="F85" s="17"/>
      <c r="G85" s="11"/>
    </row>
    <row r="87" spans="1:7" x14ac:dyDescent="0.3">
      <c r="A87" s="35"/>
      <c r="B87" s="22">
        <f>B$3</f>
        <v>2015</v>
      </c>
      <c r="C87" s="22">
        <f>C$3</f>
        <v>2019</v>
      </c>
      <c r="D87" s="22">
        <f>D$3</f>
        <v>2020</v>
      </c>
      <c r="E87" s="22">
        <f>E$3</f>
        <v>2025</v>
      </c>
      <c r="F87" s="22">
        <f>F$3</f>
        <v>2035</v>
      </c>
      <c r="G87" s="11"/>
    </row>
    <row r="88" spans="1:7" x14ac:dyDescent="0.3">
      <c r="A88" s="27" t="s">
        <v>463</v>
      </c>
    </row>
    <row r="89" spans="1:7" x14ac:dyDescent="0.3">
      <c r="A89" t="str">
        <f>$A$5</f>
        <v>Agriculture, etc</v>
      </c>
      <c r="B89" s="17">
        <f t="shared" ref="B89:F98" si="1">B5/B$81*100</f>
        <v>1.3355350632425012</v>
      </c>
      <c r="C89" s="17">
        <f t="shared" si="1"/>
        <v>1.3468229738945705</v>
      </c>
      <c r="D89" s="17">
        <f t="shared" si="1"/>
        <v>0.80155831783194664</v>
      </c>
      <c r="E89" s="17">
        <f t="shared" si="1"/>
        <v>0.81100476427432322</v>
      </c>
      <c r="F89" s="17">
        <f t="shared" si="1"/>
        <v>0.75655804125569159</v>
      </c>
    </row>
    <row r="90" spans="1:7" x14ac:dyDescent="0.3">
      <c r="A90" t="str">
        <f>$A$6</f>
        <v>Coal, oil &amp; gas; Mining &amp; related</v>
      </c>
      <c r="B90" s="17">
        <f t="shared" si="1"/>
        <v>7.978325657671273E-2</v>
      </c>
      <c r="C90" s="17">
        <f t="shared" si="1"/>
        <v>6.0615452637432336E-2</v>
      </c>
      <c r="D90" s="17">
        <f t="shared" si="1"/>
        <v>8.6919757846698975E-2</v>
      </c>
      <c r="E90" s="17">
        <f t="shared" si="1"/>
        <v>6.4110928062275613E-2</v>
      </c>
      <c r="F90" s="17">
        <f t="shared" si="1"/>
        <v>4.0618032838468793E-2</v>
      </c>
    </row>
    <row r="91" spans="1:7" x14ac:dyDescent="0.3">
      <c r="A91" t="str">
        <f>$A$7</f>
        <v>Food products</v>
      </c>
      <c r="B91" s="17">
        <f t="shared" si="1"/>
        <v>0.93769870138187827</v>
      </c>
      <c r="C91" s="17">
        <f t="shared" si="1"/>
        <v>0.98431512801921939</v>
      </c>
      <c r="D91" s="17">
        <f t="shared" si="1"/>
        <v>0.95331347316026316</v>
      </c>
      <c r="E91" s="17">
        <f t="shared" si="1"/>
        <v>0.99339928763165797</v>
      </c>
      <c r="F91" s="17">
        <f t="shared" si="1"/>
        <v>1.0065955672127465</v>
      </c>
    </row>
    <row r="92" spans="1:7" x14ac:dyDescent="0.3">
      <c r="A92" t="str">
        <f>$A$8</f>
        <v>Beverages and tobacco</v>
      </c>
      <c r="B92" s="17">
        <f t="shared" si="1"/>
        <v>0.14048790832084115</v>
      </c>
      <c r="C92" s="17">
        <f t="shared" si="1"/>
        <v>0.1244737072683768</v>
      </c>
      <c r="D92" s="17">
        <f t="shared" si="1"/>
        <v>0.12718197260920117</v>
      </c>
      <c r="E92" s="17">
        <f t="shared" si="1"/>
        <v>0.13197156803931542</v>
      </c>
      <c r="F92" s="17">
        <f t="shared" si="1"/>
        <v>0.13311914264928579</v>
      </c>
    </row>
    <row r="93" spans="1:7" x14ac:dyDescent="0.3">
      <c r="A93" t="str">
        <f>$A$9</f>
        <v>Textiles</v>
      </c>
      <c r="B93" s="17">
        <f t="shared" si="1"/>
        <v>0.10962834681461683</v>
      </c>
      <c r="C93" s="17">
        <f t="shared" si="1"/>
        <v>0.17423824554427284</v>
      </c>
      <c r="D93" s="17">
        <f t="shared" si="1"/>
        <v>0.16687711392356747</v>
      </c>
      <c r="E93" s="17">
        <f t="shared" si="1"/>
        <v>0.14258050906051656</v>
      </c>
      <c r="F93" s="17">
        <f t="shared" si="1"/>
        <v>0.11747002206350252</v>
      </c>
    </row>
    <row r="94" spans="1:7" x14ac:dyDescent="0.3">
      <c r="A94" t="str">
        <f>$A$10</f>
        <v>Wearing apparel; Leather, etc</v>
      </c>
      <c r="B94" s="17">
        <f t="shared" si="1"/>
        <v>6.1850022531428329E-2</v>
      </c>
      <c r="C94" s="17">
        <f t="shared" si="1"/>
        <v>9.3199376509281118E-2</v>
      </c>
      <c r="D94" s="17">
        <f t="shared" si="1"/>
        <v>9.6181957487321737E-2</v>
      </c>
      <c r="E94" s="17">
        <f t="shared" si="1"/>
        <v>8.2310749296899355E-2</v>
      </c>
      <c r="F94" s="17">
        <f t="shared" si="1"/>
        <v>6.8258038030610285E-2</v>
      </c>
    </row>
    <row r="95" spans="1:7" x14ac:dyDescent="0.3">
      <c r="A95" t="str">
        <f>$A$11</f>
        <v xml:space="preserve">Wood and cork </v>
      </c>
      <c r="B95" s="17">
        <f t="shared" si="1"/>
        <v>0.24465120023367823</v>
      </c>
      <c r="C95" s="17">
        <f t="shared" si="1"/>
        <v>0.3673720488570974</v>
      </c>
      <c r="D95" s="17">
        <f t="shared" si="1"/>
        <v>0.3819869749537132</v>
      </c>
      <c r="E95" s="17">
        <f t="shared" si="1"/>
        <v>0.34613194352236371</v>
      </c>
      <c r="F95" s="17">
        <f t="shared" si="1"/>
        <v>0.29956887979490532</v>
      </c>
    </row>
    <row r="96" spans="1:7" x14ac:dyDescent="0.3">
      <c r="A96" t="str">
        <f>$A$12</f>
        <v>Paper, etc</v>
      </c>
      <c r="B96" s="17">
        <f t="shared" si="1"/>
        <v>0.16836950577911172</v>
      </c>
      <c r="C96" s="17">
        <f t="shared" si="1"/>
        <v>0.15372128678120114</v>
      </c>
      <c r="D96" s="17">
        <f t="shared" si="1"/>
        <v>0.13975210069204314</v>
      </c>
      <c r="E96" s="17">
        <f t="shared" si="1"/>
        <v>0.12813039973849946</v>
      </c>
      <c r="F96" s="17">
        <f t="shared" si="1"/>
        <v>0.11206976894791559</v>
      </c>
    </row>
    <row r="97" spans="1:6" x14ac:dyDescent="0.3">
      <c r="A97" t="str">
        <f>$A$13</f>
        <v>Printing and recording</v>
      </c>
      <c r="B97" s="17">
        <f t="shared" si="1"/>
        <v>0.35899192971696225</v>
      </c>
      <c r="C97" s="17">
        <f t="shared" si="1"/>
        <v>0.33023572987774513</v>
      </c>
      <c r="D97" s="17">
        <f t="shared" si="1"/>
        <v>0.31144933891815818</v>
      </c>
      <c r="E97" s="17">
        <f t="shared" si="1"/>
        <v>0.29195927630188706</v>
      </c>
      <c r="F97" s="17">
        <f t="shared" si="1"/>
        <v>0.25596038420847694</v>
      </c>
    </row>
    <row r="98" spans="1:6" x14ac:dyDescent="0.3">
      <c r="A98" t="str">
        <f>$A$14</f>
        <v>Coke and petroleum; Chemicals, etc</v>
      </c>
      <c r="B98" s="17">
        <f t="shared" si="1"/>
        <v>0.28509915147591375</v>
      </c>
      <c r="C98" s="17">
        <f t="shared" si="1"/>
        <v>0.31059183318938222</v>
      </c>
      <c r="D98" s="17">
        <f t="shared" si="1"/>
        <v>0.29613835583866421</v>
      </c>
      <c r="E98" s="17">
        <f t="shared" si="1"/>
        <v>0.27284489118669858</v>
      </c>
      <c r="F98" s="17">
        <f t="shared" si="1"/>
        <v>0.22678159721442356</v>
      </c>
    </row>
    <row r="99" spans="1:6" x14ac:dyDescent="0.3">
      <c r="A99" t="str">
        <f>$A$15</f>
        <v>Pharmaceuticals</v>
      </c>
      <c r="B99" s="17">
        <f t="shared" ref="B99:F108" si="2">B15/B$81*100</f>
        <v>0.18846258188154927</v>
      </c>
      <c r="C99" s="17">
        <f t="shared" si="2"/>
        <v>0.16151648387880563</v>
      </c>
      <c r="D99" s="17">
        <f t="shared" si="2"/>
        <v>0.16753869961232865</v>
      </c>
      <c r="E99" s="17">
        <f t="shared" si="2"/>
        <v>0.18635763349938067</v>
      </c>
      <c r="F99" s="17">
        <f t="shared" si="2"/>
        <v>0.1813730172577139</v>
      </c>
    </row>
    <row r="100" spans="1:6" x14ac:dyDescent="0.3">
      <c r="A100" t="str">
        <f>$A$16</f>
        <v>Rubber and plastic</v>
      </c>
      <c r="B100" s="17">
        <f t="shared" si="2"/>
        <v>0.61889292386593675</v>
      </c>
      <c r="C100" s="17">
        <f t="shared" si="2"/>
        <v>0.49886143351259449</v>
      </c>
      <c r="D100" s="17">
        <f t="shared" si="2"/>
        <v>0.52775635500274587</v>
      </c>
      <c r="E100" s="17">
        <f t="shared" si="2"/>
        <v>0.50932062537104883</v>
      </c>
      <c r="F100" s="17">
        <f t="shared" si="2"/>
        <v>0.45687302698623328</v>
      </c>
    </row>
    <row r="101" spans="1:6" x14ac:dyDescent="0.3">
      <c r="A101" t="str">
        <f>$A$17</f>
        <v>Other non-metallic</v>
      </c>
      <c r="B101" s="17">
        <f t="shared" si="2"/>
        <v>0.18983702682762535</v>
      </c>
      <c r="C101" s="17">
        <f t="shared" si="2"/>
        <v>0.18181517712453196</v>
      </c>
      <c r="D101" s="17">
        <f t="shared" si="2"/>
        <v>0.17509967891065728</v>
      </c>
      <c r="E101" s="17">
        <f t="shared" si="2"/>
        <v>0.16956014355143204</v>
      </c>
      <c r="F101" s="17">
        <f t="shared" si="2"/>
        <v>0.15268780178715266</v>
      </c>
    </row>
    <row r="102" spans="1:6" x14ac:dyDescent="0.3">
      <c r="A102" t="str">
        <f>$A$18</f>
        <v>Basic metals</v>
      </c>
      <c r="B102" s="17">
        <f t="shared" si="2"/>
        <v>7.2223809378795856E-2</v>
      </c>
      <c r="C102" s="17">
        <f t="shared" si="2"/>
        <v>7.7889609407813004E-2</v>
      </c>
      <c r="D102" s="17">
        <f t="shared" si="2"/>
        <v>7.0348611552207896E-2</v>
      </c>
      <c r="E102" s="17">
        <f t="shared" si="2"/>
        <v>6.5787628511927806E-2</v>
      </c>
      <c r="F102" s="17">
        <f t="shared" si="2"/>
        <v>5.5134842288264138E-2</v>
      </c>
    </row>
    <row r="103" spans="1:6" x14ac:dyDescent="0.3">
      <c r="A103" t="str">
        <f>$A$19</f>
        <v>Metal products</v>
      </c>
      <c r="B103" s="17">
        <f t="shared" si="2"/>
        <v>0.88733511160233813</v>
      </c>
      <c r="C103" s="17">
        <f t="shared" si="2"/>
        <v>0.77019665411491145</v>
      </c>
      <c r="D103" s="17">
        <f t="shared" si="2"/>
        <v>0.68118122659223057</v>
      </c>
      <c r="E103" s="17">
        <f t="shared" si="2"/>
        <v>0.63632306298841201</v>
      </c>
      <c r="F103" s="17">
        <f t="shared" si="2"/>
        <v>0.53169266288762773</v>
      </c>
    </row>
    <row r="104" spans="1:6" x14ac:dyDescent="0.3">
      <c r="A104" t="str">
        <f>$A$20</f>
        <v>Computer, etc</v>
      </c>
      <c r="B104" s="17">
        <f t="shared" si="2"/>
        <v>0.57909947021516661</v>
      </c>
      <c r="C104" s="17">
        <f t="shared" si="2"/>
        <v>0.47111053183996082</v>
      </c>
      <c r="D104" s="17">
        <f t="shared" si="2"/>
        <v>0.48787218920451692</v>
      </c>
      <c r="E104" s="17">
        <f t="shared" si="2"/>
        <v>0.46514718991345627</v>
      </c>
      <c r="F104" s="17">
        <f t="shared" si="2"/>
        <v>0.35664897454759581</v>
      </c>
    </row>
    <row r="105" spans="1:6" x14ac:dyDescent="0.3">
      <c r="A105" t="str">
        <f>$A$21</f>
        <v>Electrical equipment</v>
      </c>
      <c r="B105" s="17">
        <f t="shared" si="2"/>
        <v>0.20891563165985932</v>
      </c>
      <c r="C105" s="17">
        <f t="shared" si="2"/>
        <v>0.194536938788608</v>
      </c>
      <c r="D105" s="17">
        <f t="shared" si="2"/>
        <v>0.17437508506040655</v>
      </c>
      <c r="E105" s="17">
        <f t="shared" si="2"/>
        <v>0.16690790829571212</v>
      </c>
      <c r="F105" s="17">
        <f t="shared" si="2"/>
        <v>0.14499389277837707</v>
      </c>
    </row>
    <row r="106" spans="1:6" x14ac:dyDescent="0.3">
      <c r="A106" t="str">
        <f>$A$22</f>
        <v>Machinery n.e.c.</v>
      </c>
      <c r="B106" s="17">
        <f t="shared" si="2"/>
        <v>0.68581530274073976</v>
      </c>
      <c r="C106" s="17">
        <f t="shared" si="2"/>
        <v>0.71235629164341208</v>
      </c>
      <c r="D106" s="17">
        <f t="shared" si="2"/>
        <v>0.65956942743112668</v>
      </c>
      <c r="E106" s="17">
        <f t="shared" si="2"/>
        <v>0.64025568767612362</v>
      </c>
      <c r="F106" s="17">
        <f t="shared" si="2"/>
        <v>0.52597303996443245</v>
      </c>
    </row>
    <row r="107" spans="1:6" x14ac:dyDescent="0.3">
      <c r="A107" t="str">
        <f>$A$23</f>
        <v>Motor vehicles, etc</v>
      </c>
      <c r="B107" s="17">
        <f t="shared" si="2"/>
        <v>0.28235026158602339</v>
      </c>
      <c r="C107" s="17">
        <f t="shared" si="2"/>
        <v>0.16840743811452932</v>
      </c>
      <c r="D107" s="17">
        <f t="shared" si="2"/>
        <v>0.15251125325743894</v>
      </c>
      <c r="E107" s="17">
        <f t="shared" si="2"/>
        <v>0.13898322446049294</v>
      </c>
      <c r="F107" s="17">
        <f t="shared" si="2"/>
        <v>0.1197636779560169</v>
      </c>
    </row>
    <row r="108" spans="1:6" x14ac:dyDescent="0.3">
      <c r="A108" t="str">
        <f>$A$24</f>
        <v>Other transport equipment</v>
      </c>
      <c r="B108" s="17">
        <f t="shared" si="2"/>
        <v>0.30738479451414707</v>
      </c>
      <c r="C108" s="17">
        <f t="shared" si="2"/>
        <v>0.25686733478700324</v>
      </c>
      <c r="D108" s="17">
        <f t="shared" si="2"/>
        <v>0.25701028797152059</v>
      </c>
      <c r="E108" s="17">
        <f t="shared" si="2"/>
        <v>0.2009601701332174</v>
      </c>
      <c r="F108" s="17">
        <f t="shared" si="2"/>
        <v>0.1877313797958774</v>
      </c>
    </row>
    <row r="109" spans="1:6" x14ac:dyDescent="0.3">
      <c r="A109" t="str">
        <f>$A$25</f>
        <v>Furniture</v>
      </c>
      <c r="B109" s="17">
        <f t="shared" ref="B109:F118" si="3">B25/B$81*100</f>
        <v>0.26742771646775015</v>
      </c>
      <c r="C109" s="17">
        <f t="shared" si="3"/>
        <v>0.27791436695475552</v>
      </c>
      <c r="D109" s="17">
        <f t="shared" si="3"/>
        <v>0.29147575193988962</v>
      </c>
      <c r="E109" s="17">
        <f t="shared" si="3"/>
        <v>0.23418932448054508</v>
      </c>
      <c r="F109" s="17">
        <f t="shared" si="3"/>
        <v>0.18819591770022512</v>
      </c>
    </row>
    <row r="110" spans="1:6" x14ac:dyDescent="0.3">
      <c r="A110" t="str">
        <f>$A$26</f>
        <v>Other manufacturing</v>
      </c>
      <c r="B110" s="17">
        <f t="shared" si="3"/>
        <v>0.38468096023938136</v>
      </c>
      <c r="C110" s="17">
        <f t="shared" si="3"/>
        <v>0.22715204344832385</v>
      </c>
      <c r="D110" s="17">
        <f t="shared" si="3"/>
        <v>0.22919218497165489</v>
      </c>
      <c r="E110" s="17">
        <f t="shared" si="3"/>
        <v>0.18318714537980932</v>
      </c>
      <c r="F110" s="17">
        <f t="shared" si="3"/>
        <v>0.14685204438860938</v>
      </c>
    </row>
    <row r="111" spans="1:6" x14ac:dyDescent="0.3">
      <c r="A111" t="str">
        <f>$A$27</f>
        <v>Repair and installation</v>
      </c>
      <c r="B111" s="17">
        <f t="shared" si="3"/>
        <v>0.3888370199541315</v>
      </c>
      <c r="C111" s="17">
        <f t="shared" si="3"/>
        <v>0.56490234332921951</v>
      </c>
      <c r="D111" s="17">
        <f t="shared" si="3"/>
        <v>0.60424826223358408</v>
      </c>
      <c r="E111" s="17">
        <f t="shared" si="3"/>
        <v>0.48819419971597872</v>
      </c>
      <c r="F111" s="17">
        <f t="shared" si="3"/>
        <v>0.40069297441575258</v>
      </c>
    </row>
    <row r="112" spans="1:6" x14ac:dyDescent="0.3">
      <c r="A112" t="str">
        <f>$A$28</f>
        <v>Electricity, gas, etc</v>
      </c>
      <c r="B112" s="17">
        <f t="shared" si="3"/>
        <v>0.22832148529003063</v>
      </c>
      <c r="C112" s="17">
        <f t="shared" si="3"/>
        <v>0.22503174983698279</v>
      </c>
      <c r="D112" s="17">
        <f t="shared" si="3"/>
        <v>0.18681919682084178</v>
      </c>
      <c r="E112" s="17">
        <f t="shared" si="3"/>
        <v>0.16852363781813773</v>
      </c>
      <c r="F112" s="17">
        <f t="shared" si="3"/>
        <v>0.15350074311413497</v>
      </c>
    </row>
    <row r="113" spans="1:6" x14ac:dyDescent="0.3">
      <c r="A113" t="str">
        <f>$A$29</f>
        <v>Water</v>
      </c>
      <c r="B113" s="17">
        <f t="shared" si="3"/>
        <v>0.14533119050752166</v>
      </c>
      <c r="C113" s="17">
        <f t="shared" si="3"/>
        <v>0.18848786583960864</v>
      </c>
      <c r="D113" s="17">
        <f t="shared" si="3"/>
        <v>0.17046857908945162</v>
      </c>
      <c r="E113" s="17">
        <f t="shared" si="3"/>
        <v>0.17507801229932593</v>
      </c>
      <c r="F113" s="17">
        <f t="shared" si="3"/>
        <v>0.1824472611558389</v>
      </c>
    </row>
    <row r="114" spans="1:6" x14ac:dyDescent="0.3">
      <c r="A114" t="str">
        <f>$A$30</f>
        <v>Sewerage</v>
      </c>
      <c r="B114" s="17">
        <f t="shared" si="3"/>
        <v>0.1903933497806776</v>
      </c>
      <c r="C114" s="17">
        <f t="shared" si="3"/>
        <v>9.8593652901193929E-2</v>
      </c>
      <c r="D114" s="17">
        <f t="shared" si="3"/>
        <v>8.8022400661650152E-2</v>
      </c>
      <c r="E114" s="17">
        <f t="shared" si="3"/>
        <v>9.1090562555498189E-2</v>
      </c>
      <c r="F114" s="17">
        <f t="shared" si="3"/>
        <v>9.6275480267971794E-2</v>
      </c>
    </row>
    <row r="115" spans="1:6" x14ac:dyDescent="0.3">
      <c r="A115" t="str">
        <f>$A$31</f>
        <v>Waste management</v>
      </c>
      <c r="B115" s="17">
        <f t="shared" si="3"/>
        <v>0.38690625205536555</v>
      </c>
      <c r="C115" s="17">
        <f t="shared" si="3"/>
        <v>0.50703080007254009</v>
      </c>
      <c r="D115" s="17">
        <f t="shared" si="3"/>
        <v>0.41607438995632329</v>
      </c>
      <c r="E115" s="17">
        <f t="shared" si="3"/>
        <v>0.42694890514918493</v>
      </c>
      <c r="F115" s="17">
        <f t="shared" si="3"/>
        <v>0.44406920105409348</v>
      </c>
    </row>
    <row r="116" spans="1:6" x14ac:dyDescent="0.3">
      <c r="A116" t="str">
        <f>$A$32</f>
        <v>Construction</v>
      </c>
      <c r="B116" s="17">
        <f t="shared" si="3"/>
        <v>2.6206083620259801</v>
      </c>
      <c r="C116" s="17">
        <f t="shared" si="3"/>
        <v>2.2502551368175681</v>
      </c>
      <c r="D116" s="17">
        <f t="shared" si="3"/>
        <v>2.6244159143327108</v>
      </c>
      <c r="E116" s="17">
        <f t="shared" si="3"/>
        <v>2.7663118564786253</v>
      </c>
      <c r="F116" s="17">
        <f t="shared" si="3"/>
        <v>2.9204336577195749</v>
      </c>
    </row>
    <row r="117" spans="1:6" x14ac:dyDescent="0.3">
      <c r="A117" t="str">
        <f>$A$33</f>
        <v>Civil engineering</v>
      </c>
      <c r="B117" s="17">
        <f t="shared" si="3"/>
        <v>1.2200489629478828</v>
      </c>
      <c r="C117" s="17">
        <f t="shared" si="3"/>
        <v>1.125002845257955</v>
      </c>
      <c r="D117" s="17">
        <f t="shared" si="3"/>
        <v>1.2742455402740918</v>
      </c>
      <c r="E117" s="17">
        <f t="shared" si="3"/>
        <v>1.342122495432108</v>
      </c>
      <c r="F117" s="17">
        <f t="shared" si="3"/>
        <v>1.4105983741591961</v>
      </c>
    </row>
    <row r="118" spans="1:6" x14ac:dyDescent="0.3">
      <c r="A118" t="str">
        <f>$A$34</f>
        <v>Specialised construction</v>
      </c>
      <c r="B118" s="17">
        <f t="shared" si="3"/>
        <v>4.1254619525296388</v>
      </c>
      <c r="C118" s="17">
        <f t="shared" si="3"/>
        <v>4.1213518867735033</v>
      </c>
      <c r="D118" s="17">
        <f t="shared" si="3"/>
        <v>4.7149951861455532</v>
      </c>
      <c r="E118" s="17">
        <f t="shared" si="3"/>
        <v>4.9676366326783432</v>
      </c>
      <c r="F118" s="17">
        <f t="shared" si="3"/>
        <v>5.226777242114852</v>
      </c>
    </row>
    <row r="119" spans="1:6" x14ac:dyDescent="0.3">
      <c r="A119" t="str">
        <f>$A$35</f>
        <v>Motor vehicle trade</v>
      </c>
      <c r="B119" s="17">
        <f t="shared" ref="B119:F128" si="4">B35/B$81*100</f>
        <v>2.3904870083972058</v>
      </c>
      <c r="C119" s="17">
        <f t="shared" si="4"/>
        <v>2.4450727027087225</v>
      </c>
      <c r="D119" s="17">
        <f t="shared" si="4"/>
        <v>2.2120590058876934</v>
      </c>
      <c r="E119" s="17">
        <f t="shared" si="4"/>
        <v>2.2957687397406268</v>
      </c>
      <c r="F119" s="17">
        <f t="shared" si="4"/>
        <v>2.3508521222162617</v>
      </c>
    </row>
    <row r="120" spans="1:6" x14ac:dyDescent="0.3">
      <c r="A120" t="str">
        <f>$A$36</f>
        <v>Wholesale trade</v>
      </c>
      <c r="B120" s="17">
        <f t="shared" si="4"/>
        <v>3.9769564487690636</v>
      </c>
      <c r="C120" s="17">
        <f t="shared" si="4"/>
        <v>4.0330478940252332</v>
      </c>
      <c r="D120" s="17">
        <f t="shared" si="4"/>
        <v>3.9425466386305286</v>
      </c>
      <c r="E120" s="17">
        <f t="shared" si="4"/>
        <v>3.8946398021161475</v>
      </c>
      <c r="F120" s="17">
        <f t="shared" si="4"/>
        <v>3.7481240653085335</v>
      </c>
    </row>
    <row r="121" spans="1:6" x14ac:dyDescent="0.3">
      <c r="A121" t="str">
        <f>$A$37</f>
        <v>Retail trade</v>
      </c>
      <c r="B121" s="17">
        <f t="shared" si="4"/>
        <v>9.9440764534258683</v>
      </c>
      <c r="C121" s="17">
        <f t="shared" si="4"/>
        <v>8.6042138342946846</v>
      </c>
      <c r="D121" s="17">
        <f t="shared" si="4"/>
        <v>8.7122644125196391</v>
      </c>
      <c r="E121" s="17">
        <f t="shared" si="4"/>
        <v>8.4235296558727448</v>
      </c>
      <c r="F121" s="17">
        <f t="shared" si="4"/>
        <v>8.0442576872765663</v>
      </c>
    </row>
    <row r="122" spans="1:6" x14ac:dyDescent="0.3">
      <c r="A122" t="str">
        <f>$A$38</f>
        <v>Land transport, etc</v>
      </c>
      <c r="B122" s="17">
        <f t="shared" si="4"/>
        <v>2.0888617926980895</v>
      </c>
      <c r="C122" s="17">
        <f t="shared" si="4"/>
        <v>2.5990746165250656</v>
      </c>
      <c r="D122" s="17">
        <f t="shared" si="4"/>
        <v>2.4359585053719117</v>
      </c>
      <c r="E122" s="17">
        <f t="shared" si="4"/>
        <v>2.6179695951060453</v>
      </c>
      <c r="F122" s="17">
        <f t="shared" si="4"/>
        <v>2.5699107768625868</v>
      </c>
    </row>
    <row r="123" spans="1:6" x14ac:dyDescent="0.3">
      <c r="A123" t="str">
        <f>$A$39</f>
        <v>Water transport</v>
      </c>
      <c r="B123" s="17">
        <f t="shared" si="4"/>
        <v>2.6278078355908736E-2</v>
      </c>
      <c r="C123" s="17">
        <f t="shared" si="4"/>
        <v>2.6721935653562293E-2</v>
      </c>
      <c r="D123" s="17">
        <f t="shared" si="4"/>
        <v>2.9204282538755958E-2</v>
      </c>
      <c r="E123" s="17">
        <f t="shared" si="4"/>
        <v>2.4022544609716531E-2</v>
      </c>
      <c r="F123" s="17">
        <f t="shared" si="4"/>
        <v>2.212361760068627E-2</v>
      </c>
    </row>
    <row r="124" spans="1:6" x14ac:dyDescent="0.3">
      <c r="A124" t="str">
        <f>$A$40</f>
        <v>Air transport</v>
      </c>
      <c r="B124" s="17">
        <f t="shared" si="4"/>
        <v>0.14987994877898214</v>
      </c>
      <c r="C124" s="17">
        <f t="shared" si="4"/>
        <v>0.21218526501980911</v>
      </c>
      <c r="D124" s="17">
        <f t="shared" si="4"/>
        <v>0.17648585844799042</v>
      </c>
      <c r="E124" s="17">
        <f t="shared" si="4"/>
        <v>0.23537825752740163</v>
      </c>
      <c r="F124" s="17">
        <f t="shared" si="4"/>
        <v>0.23941122143610835</v>
      </c>
    </row>
    <row r="125" spans="1:6" x14ac:dyDescent="0.3">
      <c r="A125" t="str">
        <f>$A$41</f>
        <v>Warehousing, etc</v>
      </c>
      <c r="B125" s="17">
        <f t="shared" si="4"/>
        <v>1.4297499917429053</v>
      </c>
      <c r="C125" s="17">
        <f t="shared" si="4"/>
        <v>1.7828239380004809</v>
      </c>
      <c r="D125" s="17">
        <f t="shared" si="4"/>
        <v>1.7594083785810475</v>
      </c>
      <c r="E125" s="17">
        <f t="shared" si="4"/>
        <v>1.7626694534691358</v>
      </c>
      <c r="F125" s="17">
        <f t="shared" si="4"/>
        <v>1.7041572948751966</v>
      </c>
    </row>
    <row r="126" spans="1:6" x14ac:dyDescent="0.3">
      <c r="A126" t="str">
        <f>$A$42</f>
        <v>Postal and courier</v>
      </c>
      <c r="B126" s="17">
        <f t="shared" si="4"/>
        <v>0.81151156546923042</v>
      </c>
      <c r="C126" s="17">
        <f t="shared" si="4"/>
        <v>0.80187633512798295</v>
      </c>
      <c r="D126" s="17">
        <f t="shared" si="4"/>
        <v>0.82773820865046854</v>
      </c>
      <c r="E126" s="17">
        <f t="shared" si="4"/>
        <v>0.83399080315992802</v>
      </c>
      <c r="F126" s="17">
        <f t="shared" si="4"/>
        <v>0.81552532124048749</v>
      </c>
    </row>
    <row r="127" spans="1:6" x14ac:dyDescent="0.3">
      <c r="A127" t="str">
        <f>$A$43</f>
        <v>Accommodation</v>
      </c>
      <c r="B127" s="17">
        <f t="shared" si="4"/>
        <v>1.1845097436868981</v>
      </c>
      <c r="C127" s="17">
        <f t="shared" si="4"/>
        <v>1.2097522281224693</v>
      </c>
      <c r="D127" s="17">
        <f t="shared" si="4"/>
        <v>1.2156794547996881</v>
      </c>
      <c r="E127" s="17">
        <f t="shared" si="4"/>
        <v>1.3591638691447927</v>
      </c>
      <c r="F127" s="17">
        <f t="shared" si="4"/>
        <v>1.3685867276210972</v>
      </c>
    </row>
    <row r="128" spans="1:6" x14ac:dyDescent="0.3">
      <c r="A128" t="str">
        <f>$A$44</f>
        <v>Food and beverage services</v>
      </c>
      <c r="B128" s="17">
        <f t="shared" si="4"/>
        <v>4.9387079367544571</v>
      </c>
      <c r="C128" s="17">
        <f t="shared" si="4"/>
        <v>5.0181425418153829</v>
      </c>
      <c r="D128" s="17">
        <f t="shared" si="4"/>
        <v>5.1700086195088719</v>
      </c>
      <c r="E128" s="17">
        <f t="shared" si="4"/>
        <v>4.993457819800005</v>
      </c>
      <c r="F128" s="17">
        <f t="shared" si="4"/>
        <v>5.4258317333102823</v>
      </c>
    </row>
    <row r="129" spans="1:6" x14ac:dyDescent="0.3">
      <c r="A129" t="str">
        <f>$A$45</f>
        <v>Publishing activities</v>
      </c>
      <c r="B129" s="17">
        <f t="shared" ref="B129:F129" si="5">B45/B$81*100</f>
        <v>0.70515570661171112</v>
      </c>
      <c r="C129" s="17">
        <f t="shared" si="5"/>
        <v>0.59255970263124347</v>
      </c>
      <c r="D129" s="17">
        <f t="shared" si="5"/>
        <v>0.64161210159812943</v>
      </c>
      <c r="E129" s="17">
        <f t="shared" si="5"/>
        <v>0.59961856589718543</v>
      </c>
      <c r="F129" s="17">
        <f t="shared" si="5"/>
        <v>0.5624102316794708</v>
      </c>
    </row>
    <row r="130" spans="1:6" x14ac:dyDescent="0.3">
      <c r="A130" t="str">
        <f>$A$46</f>
        <v>Film and music</v>
      </c>
      <c r="B130" s="17">
        <f t="shared" ref="B130:B154" si="6">B46/B$81*100</f>
        <v>0.48524451539502073</v>
      </c>
      <c r="C130" s="17">
        <f t="shared" ref="C130:F130" si="7">C46/C$81*100</f>
        <v>0.23550849473879271</v>
      </c>
      <c r="D130" s="17">
        <f t="shared" si="7"/>
        <v>0.25893203687813676</v>
      </c>
      <c r="E130" s="17">
        <f t="shared" si="7"/>
        <v>0.24339593421892816</v>
      </c>
      <c r="F130" s="17">
        <f t="shared" si="7"/>
        <v>0.23012046338976361</v>
      </c>
    </row>
    <row r="131" spans="1:6" x14ac:dyDescent="0.3">
      <c r="A131" t="str">
        <f>$A$47</f>
        <v>Broadcasting</v>
      </c>
      <c r="B131" s="17">
        <f t="shared" si="6"/>
        <v>5.7595788177154739E-3</v>
      </c>
      <c r="C131" s="17">
        <f t="shared" ref="C131:F131" si="8">C47/C$81*100</f>
        <v>7.8482044386707431E-2</v>
      </c>
      <c r="D131" s="17">
        <f t="shared" si="8"/>
        <v>8.1249023373489326E-2</v>
      </c>
      <c r="E131" s="17">
        <f t="shared" si="8"/>
        <v>7.5390549263497211E-2</v>
      </c>
      <c r="F131" s="17">
        <f t="shared" si="8"/>
        <v>6.9738752593971706E-2</v>
      </c>
    </row>
    <row r="132" spans="1:6" x14ac:dyDescent="0.3">
      <c r="A132" t="str">
        <f>$A$48</f>
        <v>Telecommunications</v>
      </c>
      <c r="B132" s="17">
        <f t="shared" si="6"/>
        <v>0.49591282615258114</v>
      </c>
      <c r="C132" s="17">
        <f t="shared" ref="C132:F132" si="9">C48/C$81*100</f>
        <v>0.59199844843778926</v>
      </c>
      <c r="D132" s="17">
        <f t="shared" si="9"/>
        <v>0.56578178004949964</v>
      </c>
      <c r="E132" s="17">
        <f t="shared" si="9"/>
        <v>0.5692855304997817</v>
      </c>
      <c r="F132" s="17">
        <f t="shared" si="9"/>
        <v>0.56664914003044109</v>
      </c>
    </row>
    <row r="133" spans="1:6" x14ac:dyDescent="0.3">
      <c r="A133" t="str">
        <f>$A$49</f>
        <v>Computing services</v>
      </c>
      <c r="B133" s="17">
        <f t="shared" si="6"/>
        <v>2.0112056532655038</v>
      </c>
      <c r="C133" s="17">
        <f t="shared" ref="C133:F133" si="10">C49/C$81*100</f>
        <v>1.9606791549600873</v>
      </c>
      <c r="D133" s="17">
        <f t="shared" si="10"/>
        <v>1.9839379596238369</v>
      </c>
      <c r="E133" s="17">
        <f t="shared" si="10"/>
        <v>2.0033521814727719</v>
      </c>
      <c r="F133" s="17">
        <f t="shared" si="10"/>
        <v>2.0044520150945808</v>
      </c>
    </row>
    <row r="134" spans="1:6" x14ac:dyDescent="0.3">
      <c r="A134" t="str">
        <f>$A$50</f>
        <v>Information services</v>
      </c>
      <c r="B134" s="17">
        <f t="shared" si="6"/>
        <v>0.21588603102384593</v>
      </c>
      <c r="C134" s="17">
        <f t="shared" ref="C134:F134" si="11">C50/C$81*100</f>
        <v>8.3751597625315824E-2</v>
      </c>
      <c r="D134" s="17">
        <f t="shared" si="11"/>
        <v>8.5092521182703898E-2</v>
      </c>
      <c r="E134" s="17">
        <f t="shared" si="11"/>
        <v>8.5816577506987068E-2</v>
      </c>
      <c r="F134" s="17">
        <f t="shared" si="11"/>
        <v>8.5765310225108374E-2</v>
      </c>
    </row>
    <row r="135" spans="1:6" x14ac:dyDescent="0.3">
      <c r="A135" t="str">
        <f>$A$51</f>
        <v>Financial services</v>
      </c>
      <c r="B135" s="17">
        <f t="shared" si="6"/>
        <v>0.85608285153849906</v>
      </c>
      <c r="C135" s="17">
        <f t="shared" ref="C135:F135" si="12">C51/C$81*100</f>
        <v>0.52586399625616387</v>
      </c>
      <c r="D135" s="17">
        <f t="shared" si="12"/>
        <v>0.53125330792522107</v>
      </c>
      <c r="E135" s="17">
        <f t="shared" si="12"/>
        <v>0.49267556273577245</v>
      </c>
      <c r="F135" s="17">
        <f t="shared" si="12"/>
        <v>0.42365856696246917</v>
      </c>
    </row>
    <row r="136" spans="1:6" x14ac:dyDescent="0.3">
      <c r="A136" t="str">
        <f>$A$52</f>
        <v>Insurance and pensions</v>
      </c>
      <c r="B136" s="17">
        <f t="shared" si="6"/>
        <v>0.28968063462553684</v>
      </c>
      <c r="C136" s="17">
        <f t="shared" ref="C136:F136" si="13">C52/C$81*100</f>
        <v>0.41903861521950075</v>
      </c>
      <c r="D136" s="17">
        <f t="shared" si="13"/>
        <v>0.42675427321098092</v>
      </c>
      <c r="E136" s="17">
        <f t="shared" si="13"/>
        <v>0.39533548032594579</v>
      </c>
      <c r="F136" s="17">
        <f t="shared" si="13"/>
        <v>0.33824166016384632</v>
      </c>
    </row>
    <row r="137" spans="1:6" x14ac:dyDescent="0.3">
      <c r="A137" t="str">
        <f>$A$53</f>
        <v>Auxiliary financial services</v>
      </c>
      <c r="B137" s="17">
        <f t="shared" si="6"/>
        <v>1.2930254445686362</v>
      </c>
      <c r="C137" s="17">
        <f t="shared" ref="C137:F137" si="14">C53/C$81*100</f>
        <v>1.4175721827316492</v>
      </c>
      <c r="D137" s="17">
        <f t="shared" si="14"/>
        <v>1.5047608966224792</v>
      </c>
      <c r="E137" s="17">
        <f t="shared" si="14"/>
        <v>1.414037701994816</v>
      </c>
      <c r="F137" s="17">
        <f t="shared" si="14"/>
        <v>1.2234476667525191</v>
      </c>
    </row>
    <row r="138" spans="1:6" x14ac:dyDescent="0.3">
      <c r="A138" t="str">
        <f>$A$54</f>
        <v>Real estate</v>
      </c>
      <c r="B138" s="17">
        <f t="shared" si="6"/>
        <v>1.4688562229125712</v>
      </c>
      <c r="C138" s="17">
        <f t="shared" ref="C138:F138" si="15">C54/C$81*100</f>
        <v>1.5808036099875016</v>
      </c>
      <c r="D138" s="17">
        <f t="shared" si="15"/>
        <v>1.6377396200253236</v>
      </c>
      <c r="E138" s="17">
        <f t="shared" si="15"/>
        <v>1.6202413717091801</v>
      </c>
      <c r="F138" s="17">
        <f t="shared" si="15"/>
        <v>1.7660279367201752</v>
      </c>
    </row>
    <row r="139" spans="1:6" x14ac:dyDescent="0.3">
      <c r="A139" t="str">
        <f>$A$55</f>
        <v>Legal and accounting</v>
      </c>
      <c r="B139" s="17">
        <f t="shared" si="6"/>
        <v>2.050900932276019</v>
      </c>
      <c r="C139" s="17">
        <f t="shared" ref="C139:F139" si="16">C55/C$81*100</f>
        <v>2.2553999668542524</v>
      </c>
      <c r="D139" s="17">
        <f t="shared" si="16"/>
        <v>2.0770640213287304</v>
      </c>
      <c r="E139" s="17">
        <f t="shared" si="16"/>
        <v>2.1629435787446791</v>
      </c>
      <c r="F139" s="17">
        <f t="shared" si="16"/>
        <v>2.2359370585959915</v>
      </c>
    </row>
    <row r="140" spans="1:6" x14ac:dyDescent="0.3">
      <c r="A140" t="str">
        <f>$A$56</f>
        <v>Head offices, etc</v>
      </c>
      <c r="B140" s="17">
        <f t="shared" si="6"/>
        <v>2.478549659483952</v>
      </c>
      <c r="C140" s="17">
        <f t="shared" ref="C140:F140" si="17">C56/C$81*100</f>
        <v>2.3886354756562254</v>
      </c>
      <c r="D140" s="17">
        <f t="shared" si="17"/>
        <v>2.3500153739770062</v>
      </c>
      <c r="E140" s="17">
        <f t="shared" si="17"/>
        <v>2.3566786942066544</v>
      </c>
      <c r="F140" s="17">
        <f t="shared" si="17"/>
        <v>2.3264058150715772</v>
      </c>
    </row>
    <row r="141" spans="1:6" x14ac:dyDescent="0.3">
      <c r="A141" t="str">
        <f>$A$57</f>
        <v>Architectural and related</v>
      </c>
      <c r="B141" s="17">
        <f t="shared" si="6"/>
        <v>1.5559044027542501</v>
      </c>
      <c r="C141" s="17">
        <f t="shared" ref="C141:F141" si="18">C57/C$81*100</f>
        <v>2.0050182360531807</v>
      </c>
      <c r="D141" s="17">
        <f t="shared" si="18"/>
        <v>2.0173952930174512</v>
      </c>
      <c r="E141" s="17">
        <f t="shared" si="18"/>
        <v>1.9899690633517844</v>
      </c>
      <c r="F141" s="17">
        <f t="shared" si="18"/>
        <v>1.9966419716162611</v>
      </c>
    </row>
    <row r="142" spans="1:6" x14ac:dyDescent="0.3">
      <c r="A142" t="str">
        <f>$A$58</f>
        <v>Scientific research and development</v>
      </c>
      <c r="B142" s="17">
        <f t="shared" si="6"/>
        <v>1.2574862252720596</v>
      </c>
      <c r="C142" s="17">
        <f t="shared" ref="C142:F142" si="19">C58/C$81*100</f>
        <v>1.5481573245193048</v>
      </c>
      <c r="D142" s="17">
        <f t="shared" si="19"/>
        <v>1.3820209993613495</v>
      </c>
      <c r="E142" s="17">
        <f t="shared" si="19"/>
        <v>1.4345849038377161</v>
      </c>
      <c r="F142" s="17">
        <f t="shared" si="19"/>
        <v>1.5393334403659198</v>
      </c>
    </row>
    <row r="143" spans="1:6" x14ac:dyDescent="0.3">
      <c r="A143" t="str">
        <f>$A$59</f>
        <v>Advertising, etc</v>
      </c>
      <c r="B143" s="17">
        <f t="shared" si="6"/>
        <v>0.51567865345710051</v>
      </c>
      <c r="C143" s="17">
        <f t="shared" ref="C143:F143" si="20">C59/C$81*100</f>
        <v>0.46393895050433276</v>
      </c>
      <c r="D143" s="17">
        <f t="shared" si="20"/>
        <v>0.41683048788529831</v>
      </c>
      <c r="E143" s="17">
        <f t="shared" si="20"/>
        <v>0.43316793954256483</v>
      </c>
      <c r="F143" s="17">
        <f t="shared" si="20"/>
        <v>0.46662832293571072</v>
      </c>
    </row>
    <row r="144" spans="1:6" x14ac:dyDescent="0.3">
      <c r="A144" t="str">
        <f>$A$60</f>
        <v>Other professional</v>
      </c>
      <c r="B144" s="17">
        <f t="shared" si="6"/>
        <v>0.89306196553856887</v>
      </c>
      <c r="C144" s="17">
        <f t="shared" ref="C144:F144" si="21">C60/C$81*100</f>
        <v>1.1738943214402755</v>
      </c>
      <c r="D144" s="17">
        <f t="shared" si="21"/>
        <v>1.042911077843109</v>
      </c>
      <c r="E144" s="17">
        <f t="shared" si="21"/>
        <v>1.0834838299166272</v>
      </c>
      <c r="F144" s="17">
        <f t="shared" si="21"/>
        <v>1.1659901349613779</v>
      </c>
    </row>
    <row r="145" spans="1:6" x14ac:dyDescent="0.3">
      <c r="A145" t="str">
        <f>$A$61</f>
        <v>Veterinary</v>
      </c>
      <c r="B145" s="17">
        <f t="shared" si="6"/>
        <v>0.32787056916646579</v>
      </c>
      <c r="C145" s="17">
        <f t="shared" ref="C145:F145" si="22">C61/C$81*100</f>
        <v>0.47974761021743068</v>
      </c>
      <c r="D145" s="17">
        <f t="shared" si="22"/>
        <v>0.43796972584429666</v>
      </c>
      <c r="E145" s="17">
        <f t="shared" si="22"/>
        <v>0.45609300748759113</v>
      </c>
      <c r="F145" s="17">
        <f t="shared" si="22"/>
        <v>0.49360055489131088</v>
      </c>
    </row>
    <row r="146" spans="1:6" x14ac:dyDescent="0.3">
      <c r="A146" t="str">
        <f>$A$62</f>
        <v>Rental and leasing</v>
      </c>
      <c r="B146" s="17">
        <f t="shared" si="6"/>
        <v>0.86747110965884699</v>
      </c>
      <c r="C146" s="17">
        <f t="shared" ref="C146:F146" si="23">C62/C$81*100</f>
        <v>0.42929709460595017</v>
      </c>
      <c r="D146" s="17">
        <f t="shared" si="23"/>
        <v>0.41831117966395026</v>
      </c>
      <c r="E146" s="17">
        <f t="shared" si="23"/>
        <v>0.43014987873170291</v>
      </c>
      <c r="F146" s="17">
        <f t="shared" si="23"/>
        <v>0.44189167963261128</v>
      </c>
    </row>
    <row r="147" spans="1:6" x14ac:dyDescent="0.3">
      <c r="A147" t="str">
        <f>$A$63</f>
        <v>Employment activities</v>
      </c>
      <c r="B147" s="17">
        <f t="shared" si="6"/>
        <v>3.9177898663793189</v>
      </c>
      <c r="C147" s="17">
        <f t="shared" ref="C147:F147" si="24">C63/C$81*100</f>
        <v>3.7853788918269364</v>
      </c>
      <c r="D147" s="17">
        <f t="shared" si="24"/>
        <v>3.5804072343493663</v>
      </c>
      <c r="E147" s="17">
        <f t="shared" si="24"/>
        <v>3.6774918512706569</v>
      </c>
      <c r="F147" s="17">
        <f t="shared" si="24"/>
        <v>3.7651087323754653</v>
      </c>
    </row>
    <row r="148" spans="1:6" x14ac:dyDescent="0.3">
      <c r="A148" t="str">
        <f>$A$64</f>
        <v>Travel, etc</v>
      </c>
      <c r="B148" s="17">
        <f t="shared" si="6"/>
        <v>0.20413779923357145</v>
      </c>
      <c r="C148" s="17">
        <f t="shared" ref="C148:F148" si="25">C64/C$81*100</f>
        <v>0.19774855999472404</v>
      </c>
      <c r="D148" s="17">
        <f t="shared" si="25"/>
        <v>0.18801635187771618</v>
      </c>
      <c r="E148" s="17">
        <f t="shared" si="25"/>
        <v>0.19346074631062679</v>
      </c>
      <c r="F148" s="17">
        <f t="shared" si="25"/>
        <v>0.19888028945470856</v>
      </c>
    </row>
    <row r="149" spans="1:6" x14ac:dyDescent="0.3">
      <c r="A149" t="str">
        <f>$A$65</f>
        <v>Security, etc</v>
      </c>
      <c r="B149" s="17">
        <f t="shared" si="6"/>
        <v>0.40487221098394366</v>
      </c>
      <c r="C149" s="17">
        <f t="shared" ref="C149:F149" si="26">C65/C$81*100</f>
        <v>0.59792279824379779</v>
      </c>
      <c r="D149" s="17">
        <f t="shared" si="26"/>
        <v>0.57901349382833978</v>
      </c>
      <c r="E149" s="17">
        <f t="shared" si="26"/>
        <v>0.59498477556554441</v>
      </c>
      <c r="F149" s="17">
        <f t="shared" si="26"/>
        <v>0.61011246753253046</v>
      </c>
    </row>
    <row r="150" spans="1:6" x14ac:dyDescent="0.3">
      <c r="A150" t="str">
        <f>$A$66</f>
        <v>Services to buildings</v>
      </c>
      <c r="B150" s="17">
        <f t="shared" si="6"/>
        <v>3.1917229616766711</v>
      </c>
      <c r="C150" s="17">
        <f t="shared" ref="C150:F150" si="27">C66/C$81*100</f>
        <v>3.2558667433227759</v>
      </c>
      <c r="D150" s="17">
        <f t="shared" si="27"/>
        <v>3.063047225861395</v>
      </c>
      <c r="E150" s="17">
        <f t="shared" si="27"/>
        <v>3.1453680997981048</v>
      </c>
      <c r="F150" s="17">
        <f t="shared" si="27"/>
        <v>3.2163152679330711</v>
      </c>
    </row>
    <row r="151" spans="1:6" x14ac:dyDescent="0.3">
      <c r="A151" t="str">
        <f>$A$67</f>
        <v>Office administrative</v>
      </c>
      <c r="B151" s="17">
        <f t="shared" si="6"/>
        <v>1.3177327287139682</v>
      </c>
      <c r="C151" s="17">
        <f t="shared" ref="C151:F151" si="28">C67/C$81*100</f>
        <v>1.3852065244016185</v>
      </c>
      <c r="D151" s="17">
        <f t="shared" si="28"/>
        <v>1.3393644744857125</v>
      </c>
      <c r="E151" s="17">
        <f t="shared" si="28"/>
        <v>1.3794976727511252</v>
      </c>
      <c r="F151" s="17">
        <f t="shared" si="28"/>
        <v>1.4196278296571589</v>
      </c>
    </row>
    <row r="152" spans="1:6" x14ac:dyDescent="0.3">
      <c r="A152" t="str">
        <f>$A$68</f>
        <v>Public administration and defence</v>
      </c>
      <c r="B152" s="17">
        <f t="shared" si="6"/>
        <v>3.0489770366037554</v>
      </c>
      <c r="C152" s="17">
        <f t="shared" ref="C152:F152" si="29">C68/C$81*100</f>
        <v>2.7144123528092936</v>
      </c>
      <c r="D152" s="17">
        <f t="shared" si="29"/>
        <v>2.8147320640928339</v>
      </c>
      <c r="E152" s="17">
        <f t="shared" si="29"/>
        <v>2.9023989620445247</v>
      </c>
      <c r="F152" s="17">
        <f t="shared" si="29"/>
        <v>2.9304502562611878</v>
      </c>
    </row>
    <row r="153" spans="1:6" x14ac:dyDescent="0.3">
      <c r="A153" t="str">
        <f>$A$69</f>
        <v xml:space="preserve">Education </v>
      </c>
      <c r="B153" s="17">
        <f t="shared" si="6"/>
        <v>8.6118466026828244</v>
      </c>
      <c r="C153" s="17">
        <f t="shared" ref="C153:F153" si="30">C69/C$81*100</f>
        <v>8.7740244075865323</v>
      </c>
      <c r="D153" s="17">
        <f t="shared" si="30"/>
        <v>8.9230582146120714</v>
      </c>
      <c r="E153" s="17">
        <f t="shared" si="30"/>
        <v>8.5100778837456446</v>
      </c>
      <c r="F153" s="17">
        <f t="shared" si="30"/>
        <v>8.2386377659080168</v>
      </c>
    </row>
    <row r="154" spans="1:6" x14ac:dyDescent="0.3">
      <c r="A154" t="str">
        <f>$A$70</f>
        <v>Health</v>
      </c>
      <c r="B154" s="17">
        <f t="shared" si="6"/>
        <v>5.7739123149188059</v>
      </c>
      <c r="C154" s="17">
        <f t="shared" ref="C154:F154" si="31">C70/C$81*100</f>
        <v>6.4911229853626349</v>
      </c>
      <c r="D154" s="17">
        <f t="shared" si="31"/>
        <v>6.5467054292863009</v>
      </c>
      <c r="E154" s="17">
        <f t="shared" si="31"/>
        <v>6.9755921190621653</v>
      </c>
      <c r="F154" s="17">
        <f t="shared" si="31"/>
        <v>7.5971109226251503</v>
      </c>
    </row>
    <row r="155" spans="1:6" x14ac:dyDescent="0.3">
      <c r="A155" t="str">
        <f>$A$71</f>
        <v>Residential care</v>
      </c>
      <c r="B155" s="17">
        <f t="shared" ref="B155:F155" si="32">B71/B$81*100</f>
        <v>2.4532860523896778</v>
      </c>
      <c r="C155" s="17">
        <f t="shared" si="32"/>
        <v>2.5633414330222202</v>
      </c>
      <c r="D155" s="17">
        <f t="shared" si="32"/>
        <v>2.3866861235934143</v>
      </c>
      <c r="E155" s="17">
        <f t="shared" si="32"/>
        <v>2.4523725615939118</v>
      </c>
      <c r="F155" s="17">
        <f t="shared" si="32"/>
        <v>2.4885005093875381</v>
      </c>
    </row>
    <row r="156" spans="1:6" x14ac:dyDescent="0.3">
      <c r="A156" t="str">
        <f>$A$72</f>
        <v>Social work</v>
      </c>
      <c r="B156" s="17">
        <f t="shared" ref="B156:F156" si="33">B72/B$81*100</f>
        <v>2.9522422923452409</v>
      </c>
      <c r="C156" s="17">
        <f t="shared" si="33"/>
        <v>2.8049301814930763</v>
      </c>
      <c r="D156" s="17">
        <f t="shared" si="33"/>
        <v>2.6298031120979961</v>
      </c>
      <c r="E156" s="17">
        <f t="shared" si="33"/>
        <v>2.6715020674860588</v>
      </c>
      <c r="F156" s="17">
        <f t="shared" si="33"/>
        <v>2.6480983124701765</v>
      </c>
    </row>
    <row r="157" spans="1:6" x14ac:dyDescent="0.3">
      <c r="A157" t="str">
        <f>$A$73</f>
        <v>Arts and entertainment</v>
      </c>
      <c r="B157" s="17">
        <f t="shared" ref="B157:F157" si="34">B73/B$81*100</f>
        <v>0.16440979534383102</v>
      </c>
      <c r="C157" s="17">
        <f t="shared" si="34"/>
        <v>0.46459374706649592</v>
      </c>
      <c r="D157" s="17">
        <f t="shared" si="34"/>
        <v>0.64514055861063213</v>
      </c>
      <c r="E157" s="17">
        <f t="shared" si="34"/>
        <v>0.52718510652243422</v>
      </c>
      <c r="F157" s="17">
        <f t="shared" si="34"/>
        <v>0.49563290822157402</v>
      </c>
    </row>
    <row r="158" spans="1:6" x14ac:dyDescent="0.3">
      <c r="A158" t="str">
        <f>$A$74</f>
        <v>Libraries, etc</v>
      </c>
      <c r="B158" s="17">
        <f t="shared" ref="B158:F158" si="35">B74/B$81*100</f>
        <v>0.50118153178317582</v>
      </c>
      <c r="C158" s="17">
        <f t="shared" si="35"/>
        <v>0.45405464058987821</v>
      </c>
      <c r="D158" s="17">
        <f t="shared" si="35"/>
        <v>0.64542409533328038</v>
      </c>
      <c r="E158" s="17">
        <f t="shared" si="35"/>
        <v>0.53184938231399459</v>
      </c>
      <c r="F158" s="17">
        <f t="shared" si="35"/>
        <v>0.50521400245646952</v>
      </c>
    </row>
    <row r="159" spans="1:6" x14ac:dyDescent="0.3">
      <c r="A159" t="str">
        <f>$A$75</f>
        <v>Gambling and betting</v>
      </c>
      <c r="B159" s="17">
        <f t="shared" ref="B159:F159" si="36">B75/B$81*100</f>
        <v>0.32505622952466645</v>
      </c>
      <c r="C159" s="17">
        <f t="shared" si="36"/>
        <v>0.18973509737602143</v>
      </c>
      <c r="D159" s="17">
        <f t="shared" si="36"/>
        <v>0.21517286919044512</v>
      </c>
      <c r="E159" s="17">
        <f t="shared" si="36"/>
        <v>0.21144716930459631</v>
      </c>
      <c r="F159" s="17">
        <f t="shared" si="36"/>
        <v>0.21487781346740423</v>
      </c>
    </row>
    <row r="160" spans="1:6" x14ac:dyDescent="0.3">
      <c r="A160" t="str">
        <f>$A$76</f>
        <v>Sport and recreation</v>
      </c>
      <c r="B160" s="17">
        <f t="shared" ref="B160:F160" si="37">B76/B$81*100</f>
        <v>1.4558971705791031</v>
      </c>
      <c r="C160" s="17">
        <f t="shared" si="37"/>
        <v>1.6067148451436708</v>
      </c>
      <c r="D160" s="17">
        <f t="shared" si="37"/>
        <v>1.7296055185128518</v>
      </c>
      <c r="E160" s="17">
        <f t="shared" si="37"/>
        <v>1.6955099791324277</v>
      </c>
      <c r="F160" s="17">
        <f t="shared" si="37"/>
        <v>1.7135351537704981</v>
      </c>
    </row>
    <row r="161" spans="1:6" x14ac:dyDescent="0.3">
      <c r="A161" t="str">
        <f>$A$77</f>
        <v>Membership organisations</v>
      </c>
      <c r="B161" s="17">
        <f t="shared" ref="B161:F161" si="38">B77/B$81*100</f>
        <v>1.2197871639220215</v>
      </c>
      <c r="C161" s="17">
        <f t="shared" si="38"/>
        <v>0.91403363096734547</v>
      </c>
      <c r="D161" s="17">
        <f t="shared" si="38"/>
        <v>0.98333686179471869</v>
      </c>
      <c r="E161" s="17">
        <f t="shared" si="38"/>
        <v>0.94614682043621057</v>
      </c>
      <c r="F161" s="17">
        <f t="shared" si="38"/>
        <v>0.90143579956043751</v>
      </c>
    </row>
    <row r="162" spans="1:6" x14ac:dyDescent="0.3">
      <c r="A162" t="str">
        <f>$A$78</f>
        <v>Repair of goods</v>
      </c>
      <c r="B162" s="17">
        <f t="shared" ref="B162:F162" si="39">B78/B$81*100</f>
        <v>0.54143313374791247</v>
      </c>
      <c r="C162" s="17">
        <f t="shared" si="39"/>
        <v>0.28779867687402833</v>
      </c>
      <c r="D162" s="17">
        <f t="shared" si="39"/>
        <v>0.32622475262832873</v>
      </c>
      <c r="E162" s="17">
        <f t="shared" si="39"/>
        <v>0.32229231169081823</v>
      </c>
      <c r="F162" s="17">
        <f t="shared" si="39"/>
        <v>0.31617610980210487</v>
      </c>
    </row>
    <row r="163" spans="1:6" x14ac:dyDescent="0.3">
      <c r="A163" t="str">
        <f>$A$79</f>
        <v>Other personal service</v>
      </c>
      <c r="B163" s="17">
        <f>B79/B$81*100</f>
        <v>1.5005339064298402</v>
      </c>
      <c r="C163" s="17">
        <f t="shared" ref="C163:F163" si="40">C79/C$81*100</f>
        <v>1.5249899987774758</v>
      </c>
      <c r="D163" s="17">
        <f t="shared" si="40"/>
        <v>1.748696991214489</v>
      </c>
      <c r="E163" s="17">
        <f t="shared" si="40"/>
        <v>1.6886812354772549</v>
      </c>
      <c r="F163" s="17">
        <f t="shared" si="40"/>
        <v>1.614849883130054</v>
      </c>
    </row>
    <row r="164" spans="1:6" x14ac:dyDescent="0.3">
      <c r="B164" s="17"/>
      <c r="C164" s="17"/>
      <c r="D164" s="17"/>
      <c r="E164" s="17"/>
      <c r="F164" s="17"/>
    </row>
    <row r="165" spans="1:6" x14ac:dyDescent="0.3">
      <c r="A165" s="23" t="str">
        <f>$A$81</f>
        <v>All industries</v>
      </c>
      <c r="B165" s="25">
        <f>B81/B$81*100</f>
        <v>100</v>
      </c>
      <c r="C165" s="25">
        <f>C81/C$81*100</f>
        <v>100</v>
      </c>
      <c r="D165" s="25">
        <f>D81/D$81*100</f>
        <v>100</v>
      </c>
      <c r="E165" s="25">
        <f>E81/E$81*100</f>
        <v>100</v>
      </c>
      <c r="F165" s="25">
        <f>F81/F$81*100</f>
        <v>100</v>
      </c>
    </row>
    <row r="166" spans="1:6" x14ac:dyDescent="0.3">
      <c r="B166" s="17"/>
      <c r="C166" s="17"/>
      <c r="D166" s="17"/>
      <c r="E166" s="17"/>
      <c r="F166" s="17"/>
    </row>
    <row r="167" spans="1:6" x14ac:dyDescent="0.3">
      <c r="B167" s="17"/>
      <c r="C167" s="17"/>
      <c r="D167" s="17"/>
      <c r="E167" s="17"/>
      <c r="F167" s="17"/>
    </row>
    <row r="168" spans="1:6" x14ac:dyDescent="0.3">
      <c r="B168" s="17"/>
      <c r="C168" s="17"/>
      <c r="D168" s="17"/>
      <c r="E168" s="17"/>
      <c r="F168" s="17"/>
    </row>
    <row r="169" spans="1:6" ht="15.45" x14ac:dyDescent="0.4">
      <c r="A169" s="18" t="str">
        <f>CONCATENATE($A$1," (Continued)")</f>
        <v>Industry Table 3  Employment by Industry (SIC 2007), 2015-2035, East (Continued)</v>
      </c>
      <c r="B169" s="17"/>
      <c r="C169" s="17"/>
      <c r="D169" s="17"/>
      <c r="E169" s="17"/>
      <c r="F169" s="17"/>
    </row>
    <row r="171" spans="1:6" x14ac:dyDescent="0.3">
      <c r="A171" s="21"/>
      <c r="B171" s="24" t="str">
        <f>CONCATENATE(B$3,"-",C$3)</f>
        <v>2015-2019</v>
      </c>
      <c r="C171" s="24" t="str">
        <f>CONCATENATE(C$3,"-",D$3)</f>
        <v>2019-2020</v>
      </c>
      <c r="D171" s="24" t="str">
        <f>CONCATENATE(D$3,"-",E$3)</f>
        <v>2020-2025</v>
      </c>
      <c r="E171" s="24" t="str">
        <f>CONCATENATE(E$3,"-",F$3)</f>
        <v>2025-2035</v>
      </c>
      <c r="F171" s="24" t="str">
        <f>CONCATENATE(D$3,"-",F$3)</f>
        <v>2020-2035</v>
      </c>
    </row>
    <row r="172" spans="1:6" x14ac:dyDescent="0.3">
      <c r="A172" s="27" t="s">
        <v>14</v>
      </c>
    </row>
    <row r="173" spans="1:6" x14ac:dyDescent="0.3">
      <c r="A173" t="str">
        <f>$A$5</f>
        <v>Agriculture, etc</v>
      </c>
      <c r="B173" s="17">
        <f t="shared" ref="B173:E192" si="41">IF(AND(C$3-B$3 &lt;&gt; 0,B5&lt;&gt;0,C5&lt;&gt;0),(EXP(LN(C5/B5)/(C$3-B$3))-1)*100,0)</f>
        <v>1.4288605977128777</v>
      </c>
      <c r="C173" s="17">
        <f t="shared" si="41"/>
        <v>-41.095985554279281</v>
      </c>
      <c r="D173" s="17">
        <f t="shared" si="41"/>
        <v>0.8956538964909333</v>
      </c>
      <c r="E173" s="17">
        <f t="shared" si="41"/>
        <v>-0.20677760601148787</v>
      </c>
      <c r="F173" s="17">
        <f>IF(AND(F$3-D$3 &lt;&gt; 0,D5&lt;&gt;0,F5&lt;&gt;0),(EXP(LN(F5/D5)/(F$3-D$3))-1)*100,0)</f>
        <v>0.15935461299412257</v>
      </c>
    </row>
    <row r="174" spans="1:6" x14ac:dyDescent="0.3">
      <c r="A174" t="str">
        <f>$A$6</f>
        <v>Coal, oil &amp; gas; Mining &amp; related</v>
      </c>
      <c r="B174" s="17">
        <f t="shared" si="41"/>
        <v>-5.5035181473753418</v>
      </c>
      <c r="C174" s="17">
        <f t="shared" si="41"/>
        <v>41.923868312306169</v>
      </c>
      <c r="D174" s="17">
        <f t="shared" si="41"/>
        <v>-5.2852724279804146</v>
      </c>
      <c r="E174" s="17">
        <f t="shared" si="41"/>
        <v>-3.9941174757813003</v>
      </c>
      <c r="F174" s="17">
        <f t="shared" ref="F174:F237" si="42">IF(AND(F$3-D$3 &lt;&gt; 0,D6&lt;&gt;0,F6&lt;&gt;0),(EXP(LN(F6/D6)/(F$3-D$3))-1)*100,0)</f>
        <v>-4.4264463795055553</v>
      </c>
    </row>
    <row r="175" spans="1:6" x14ac:dyDescent="0.3">
      <c r="A175" t="str">
        <f>$A$7</f>
        <v>Food products</v>
      </c>
      <c r="B175" s="17">
        <f t="shared" si="41"/>
        <v>2.4508233177088057</v>
      </c>
      <c r="C175" s="17">
        <f t="shared" si="41"/>
        <v>-4.1434363918393498</v>
      </c>
      <c r="D175" s="17">
        <f t="shared" si="41"/>
        <v>1.4921437466829834</v>
      </c>
      <c r="E175" s="17">
        <f t="shared" si="41"/>
        <v>0.62184559556917041</v>
      </c>
      <c r="F175" s="17">
        <f t="shared" si="42"/>
        <v>0.91111259956278001</v>
      </c>
    </row>
    <row r="176" spans="1:6" x14ac:dyDescent="0.3">
      <c r="A176" t="str">
        <f>$A$8</f>
        <v>Beverages and tobacco</v>
      </c>
      <c r="B176" s="17">
        <f t="shared" si="41"/>
        <v>-1.8009218059670151</v>
      </c>
      <c r="C176" s="17">
        <f t="shared" si="41"/>
        <v>1.1272545087182451</v>
      </c>
      <c r="D176" s="17">
        <f t="shared" si="41"/>
        <v>1.4064938792072601</v>
      </c>
      <c r="E176" s="17">
        <f t="shared" si="41"/>
        <v>0.57618899224887166</v>
      </c>
      <c r="F176" s="17">
        <f t="shared" si="42"/>
        <v>0.85219914333105606</v>
      </c>
    </row>
    <row r="177" spans="1:6" x14ac:dyDescent="0.3">
      <c r="A177" t="str">
        <f>$A$9</f>
        <v>Textiles</v>
      </c>
      <c r="B177" s="17">
        <f t="shared" si="41"/>
        <v>13.645671106004009</v>
      </c>
      <c r="C177" s="17">
        <f t="shared" si="41"/>
        <v>-5.2075876879919107</v>
      </c>
      <c r="D177" s="17">
        <f t="shared" si="41"/>
        <v>-2.4589380815330575</v>
      </c>
      <c r="E177" s="17">
        <f t="shared" si="41"/>
        <v>-1.4388298687972534</v>
      </c>
      <c r="F177" s="17">
        <f t="shared" si="42"/>
        <v>-1.7800458566377575</v>
      </c>
    </row>
    <row r="178" spans="1:6" x14ac:dyDescent="0.3">
      <c r="A178" t="str">
        <f>$A$10</f>
        <v>Wearing apparel; Leather, etc</v>
      </c>
      <c r="B178" s="17">
        <f t="shared" si="41"/>
        <v>12.141413965297243</v>
      </c>
      <c r="C178" s="17">
        <f t="shared" si="41"/>
        <v>2.1411843424340882</v>
      </c>
      <c r="D178" s="17">
        <f t="shared" si="41"/>
        <v>-2.4275091308571972</v>
      </c>
      <c r="E178" s="17">
        <f t="shared" si="41"/>
        <v>-1.3745752728205773</v>
      </c>
      <c r="F178" s="17">
        <f t="shared" si="42"/>
        <v>-1.7268097108125935</v>
      </c>
    </row>
    <row r="179" spans="1:6" x14ac:dyDescent="0.3">
      <c r="A179" t="str">
        <f>$A$11</f>
        <v xml:space="preserve">Wood and cork </v>
      </c>
      <c r="B179" s="17">
        <f t="shared" si="41"/>
        <v>12.04369726607586</v>
      </c>
      <c r="C179" s="17">
        <f t="shared" si="41"/>
        <v>2.9112205055500162</v>
      </c>
      <c r="D179" s="17">
        <f t="shared" si="41"/>
        <v>-1.3053915244189085</v>
      </c>
      <c r="E179" s="17">
        <f t="shared" si="41"/>
        <v>-0.95223883639288243</v>
      </c>
      <c r="F179" s="17">
        <f t="shared" si="42"/>
        <v>-1.0700965833480236</v>
      </c>
    </row>
    <row r="180" spans="1:6" x14ac:dyDescent="0.3">
      <c r="A180" t="str">
        <f>$A$12</f>
        <v>Paper, etc</v>
      </c>
      <c r="B180" s="17">
        <f t="shared" si="41"/>
        <v>-1.0614855847784099</v>
      </c>
      <c r="C180" s="17">
        <f t="shared" si="41"/>
        <v>-10.02028397565492</v>
      </c>
      <c r="D180" s="17">
        <f t="shared" si="41"/>
        <v>-1.0732889759136666</v>
      </c>
      <c r="E180" s="17">
        <f t="shared" si="41"/>
        <v>-0.8477003113125936</v>
      </c>
      <c r="F180" s="17">
        <f t="shared" si="42"/>
        <v>-0.92295363318362078</v>
      </c>
    </row>
    <row r="181" spans="1:6" x14ac:dyDescent="0.3">
      <c r="A181" t="str">
        <f>$A$13</f>
        <v>Printing and recording</v>
      </c>
      <c r="B181" s="17">
        <f t="shared" si="41"/>
        <v>-0.87514041775215157</v>
      </c>
      <c r="C181" s="17">
        <f t="shared" si="41"/>
        <v>-6.6565952222553015</v>
      </c>
      <c r="D181" s="17">
        <f t="shared" si="41"/>
        <v>-0.63309196097411924</v>
      </c>
      <c r="E181" s="17">
        <f t="shared" si="41"/>
        <v>-0.82454322128814317</v>
      </c>
      <c r="F181" s="17">
        <f t="shared" si="42"/>
        <v>-0.76076715533568429</v>
      </c>
    </row>
    <row r="182" spans="1:6" x14ac:dyDescent="0.3">
      <c r="A182" t="str">
        <f>$A$14</f>
        <v>Coke and petroleum; Chemicals, etc</v>
      </c>
      <c r="B182" s="17">
        <f t="shared" si="41"/>
        <v>3.406126067589943</v>
      </c>
      <c r="C182" s="17">
        <f t="shared" si="41"/>
        <v>-5.6319646622895903</v>
      </c>
      <c r="D182" s="17">
        <f t="shared" si="41"/>
        <v>-0.97632582850353256</v>
      </c>
      <c r="E182" s="17">
        <f t="shared" si="41"/>
        <v>-1.3519828497286612</v>
      </c>
      <c r="F182" s="17">
        <f t="shared" si="42"/>
        <v>-1.2269224541716417</v>
      </c>
    </row>
    <row r="183" spans="1:6" x14ac:dyDescent="0.3">
      <c r="A183" t="str">
        <f>$A$15</f>
        <v>Pharmaceuticals</v>
      </c>
      <c r="B183" s="17">
        <f t="shared" si="41"/>
        <v>-2.6141923593044347</v>
      </c>
      <c r="C183" s="17">
        <f t="shared" si="41"/>
        <v>2.6640926646281038</v>
      </c>
      <c r="D183" s="17">
        <f t="shared" si="41"/>
        <v>2.8255905788765023</v>
      </c>
      <c r="E183" s="17">
        <f t="shared" si="41"/>
        <v>0.21707223598879111</v>
      </c>
      <c r="F183" s="17">
        <f t="shared" si="42"/>
        <v>1.0791415494762591</v>
      </c>
    </row>
    <row r="184" spans="1:6" x14ac:dyDescent="0.3">
      <c r="A184" t="str">
        <f>$A$16</f>
        <v>Rubber and plastic</v>
      </c>
      <c r="B184" s="17">
        <f t="shared" si="41"/>
        <v>-4.0955310647261323</v>
      </c>
      <c r="C184" s="17">
        <f t="shared" si="41"/>
        <v>4.7065441587754053</v>
      </c>
      <c r="D184" s="17">
        <f t="shared" si="41"/>
        <v>-5.3782748743991249E-2</v>
      </c>
      <c r="E184" s="17">
        <f t="shared" si="41"/>
        <v>-0.5969780841094785</v>
      </c>
      <c r="F184" s="17">
        <f t="shared" si="42"/>
        <v>-0.41624178934625</v>
      </c>
    </row>
    <row r="185" spans="1:6" x14ac:dyDescent="0.3">
      <c r="A185" t="str">
        <f>$A$17</f>
        <v>Other non-metallic</v>
      </c>
      <c r="B185" s="17">
        <f t="shared" si="41"/>
        <v>0.12903807643909193</v>
      </c>
      <c r="C185" s="17">
        <f t="shared" si="41"/>
        <v>-4.6818727492289325</v>
      </c>
      <c r="D185" s="17">
        <f t="shared" si="41"/>
        <v>1.4389525179425711E-2</v>
      </c>
      <c r="E185" s="17">
        <f t="shared" si="41"/>
        <v>-0.55860259319507888</v>
      </c>
      <c r="F185" s="17">
        <f t="shared" si="42"/>
        <v>-0.36797089974185404</v>
      </c>
    </row>
    <row r="186" spans="1:6" x14ac:dyDescent="0.3">
      <c r="A186" t="str">
        <f>$A$18</f>
        <v>Basic metals</v>
      </c>
      <c r="B186" s="17">
        <f t="shared" si="41"/>
        <v>3.1448444421052102</v>
      </c>
      <c r="C186" s="17">
        <f t="shared" si="41"/>
        <v>-10.608486789603111</v>
      </c>
      <c r="D186" s="17">
        <f t="shared" si="41"/>
        <v>-0.68095305573636633</v>
      </c>
      <c r="E186" s="17">
        <f t="shared" si="41"/>
        <v>-1.2704056941638675</v>
      </c>
      <c r="F186" s="17">
        <f t="shared" si="42"/>
        <v>-1.0743112176054614</v>
      </c>
    </row>
    <row r="187" spans="1:6" x14ac:dyDescent="0.3">
      <c r="A187" t="str">
        <f>$A$19</f>
        <v>Metal products</v>
      </c>
      <c r="B187" s="17">
        <f t="shared" si="41"/>
        <v>-2.30412392496947</v>
      </c>
      <c r="C187" s="17">
        <f t="shared" si="41"/>
        <v>-12.465082385424475</v>
      </c>
      <c r="D187" s="17">
        <f t="shared" si="41"/>
        <v>-0.70261716426203158</v>
      </c>
      <c r="E187" s="17">
        <f t="shared" si="41"/>
        <v>-1.2999296478088729</v>
      </c>
      <c r="F187" s="17">
        <f t="shared" si="42"/>
        <v>-1.1012257874568832</v>
      </c>
    </row>
    <row r="188" spans="1:6" x14ac:dyDescent="0.3">
      <c r="A188" t="str">
        <f>$A$20</f>
        <v>Computer, etc</v>
      </c>
      <c r="B188" s="17">
        <f t="shared" si="41"/>
        <v>-3.8741589009690824</v>
      </c>
      <c r="C188" s="17">
        <f t="shared" si="41"/>
        <v>2.495201535513436</v>
      </c>
      <c r="D188" s="17">
        <f t="shared" si="41"/>
        <v>-0.29620911830704477</v>
      </c>
      <c r="E188" s="17">
        <f t="shared" si="41"/>
        <v>-2.1447299666248698</v>
      </c>
      <c r="F188" s="17">
        <f t="shared" si="42"/>
        <v>-1.5323960509165291</v>
      </c>
    </row>
    <row r="189" spans="1:6" x14ac:dyDescent="0.3">
      <c r="A189" t="str">
        <f>$A$21</f>
        <v>Electrical equipment</v>
      </c>
      <c r="B189" s="17">
        <f t="shared" si="41"/>
        <v>-0.57272730343144174</v>
      </c>
      <c r="C189" s="17">
        <f t="shared" si="41"/>
        <v>-11.283859593158352</v>
      </c>
      <c r="D189" s="17">
        <f t="shared" si="41"/>
        <v>-0.21774839245554123</v>
      </c>
      <c r="E189" s="17">
        <f t="shared" si="41"/>
        <v>-0.91533589917422997</v>
      </c>
      <c r="F189" s="17">
        <f t="shared" si="42"/>
        <v>-0.68335029894025512</v>
      </c>
    </row>
    <row r="190" spans="1:6" x14ac:dyDescent="0.3">
      <c r="A190" t="str">
        <f>$A$22</f>
        <v>Machinery n.e.c.</v>
      </c>
      <c r="B190" s="17">
        <f t="shared" si="41"/>
        <v>2.1810273284437631</v>
      </c>
      <c r="C190" s="17">
        <f t="shared" si="41"/>
        <v>-8.36032565884992</v>
      </c>
      <c r="D190" s="17">
        <f t="shared" si="41"/>
        <v>6.2969939014645426E-2</v>
      </c>
      <c r="E190" s="17">
        <f t="shared" si="41"/>
        <v>-1.4673493994999287</v>
      </c>
      <c r="F190" s="17">
        <f t="shared" si="42"/>
        <v>-0.95986123661538914</v>
      </c>
    </row>
    <row r="191" spans="1:6" x14ac:dyDescent="0.3">
      <c r="A191" t="str">
        <f>$A$23</f>
        <v>Motor vehicles, etc</v>
      </c>
      <c r="B191" s="17">
        <f t="shared" si="41"/>
        <v>-11.051012232154422</v>
      </c>
      <c r="C191" s="17">
        <f t="shared" si="41"/>
        <v>-10.368450286934827</v>
      </c>
      <c r="D191" s="17">
        <f t="shared" si="41"/>
        <v>-1.19318461103739</v>
      </c>
      <c r="E191" s="17">
        <f t="shared" si="41"/>
        <v>-0.99538572931360259</v>
      </c>
      <c r="F191" s="17">
        <f t="shared" si="42"/>
        <v>-1.0613626473017002</v>
      </c>
    </row>
    <row r="192" spans="1:6" x14ac:dyDescent="0.3">
      <c r="A192" t="str">
        <f>$A$24</f>
        <v>Other transport equipment</v>
      </c>
      <c r="B192" s="17">
        <f t="shared" si="41"/>
        <v>-3.2269639536922967</v>
      </c>
      <c r="C192" s="17">
        <f t="shared" si="41"/>
        <v>-0.97110949265772906</v>
      </c>
      <c r="D192" s="17">
        <f t="shared" si="41"/>
        <v>-4.1732631499404205</v>
      </c>
      <c r="E192" s="17">
        <f t="shared" si="41"/>
        <v>-0.19280502493776996</v>
      </c>
      <c r="F192" s="17">
        <f t="shared" si="42"/>
        <v>-1.5376644139406981</v>
      </c>
    </row>
    <row r="193" spans="1:6" x14ac:dyDescent="0.3">
      <c r="A193" t="str">
        <f>$A$25</f>
        <v>Furniture</v>
      </c>
      <c r="B193" s="17">
        <f t="shared" ref="B193:E212" si="43">IF(AND(C$3-B$3 &lt;&gt; 0,B25&lt;&gt;0,C25&lt;&gt;0),(EXP(LN(C25/B25)/(C$3-B$3))-1)*100,0)</f>
        <v>2.1936444069875272</v>
      </c>
      <c r="C193" s="17">
        <f t="shared" si="43"/>
        <v>3.8034331872279559</v>
      </c>
      <c r="D193" s="17">
        <f t="shared" si="43"/>
        <v>-3.650883695030227</v>
      </c>
      <c r="E193" s="17">
        <f t="shared" si="43"/>
        <v>-1.6841649230048161</v>
      </c>
      <c r="F193" s="17">
        <f t="shared" si="42"/>
        <v>-2.3441584651959002</v>
      </c>
    </row>
    <row r="194" spans="1:6" x14ac:dyDescent="0.3">
      <c r="A194" t="str">
        <f>$A$26</f>
        <v>Other manufacturing</v>
      </c>
      <c r="B194" s="17">
        <f t="shared" si="43"/>
        <v>-11.273830874585745</v>
      </c>
      <c r="C194" s="17">
        <f t="shared" si="43"/>
        <v>-0.13726835960040651</v>
      </c>
      <c r="D194" s="17">
        <f t="shared" si="43"/>
        <v>-3.7515285070279569</v>
      </c>
      <c r="E194" s="17">
        <f t="shared" si="43"/>
        <v>-1.7081153990969322</v>
      </c>
      <c r="F194" s="17">
        <f t="shared" si="42"/>
        <v>-2.3940284949112822</v>
      </c>
    </row>
    <row r="195" spans="1:6" x14ac:dyDescent="0.3">
      <c r="A195" t="str">
        <f>$A$27</f>
        <v>Repair and installation</v>
      </c>
      <c r="B195" s="17">
        <f t="shared" si="43"/>
        <v>11.121778607296239</v>
      </c>
      <c r="C195" s="17">
        <f t="shared" si="43"/>
        <v>5.8674173427013754</v>
      </c>
      <c r="D195" s="17">
        <f t="shared" si="43"/>
        <v>-3.5437787090889961</v>
      </c>
      <c r="E195" s="17">
        <f t="shared" si="43"/>
        <v>-1.4762183258125283</v>
      </c>
      <c r="F195" s="17">
        <f t="shared" si="42"/>
        <v>-2.1702830763451253</v>
      </c>
    </row>
    <row r="196" spans="1:6" x14ac:dyDescent="0.3">
      <c r="A196" t="str">
        <f>$A$28</f>
        <v>Electricity, gas, etc</v>
      </c>
      <c r="B196" s="17">
        <f t="shared" si="43"/>
        <v>0.84909274445483796</v>
      </c>
      <c r="C196" s="17">
        <f t="shared" si="43"/>
        <v>-17.83289455490381</v>
      </c>
      <c r="D196" s="17">
        <f t="shared" si="43"/>
        <v>-1.3941529380936402</v>
      </c>
      <c r="E196" s="17">
        <f t="shared" si="43"/>
        <v>-0.44475909652818002</v>
      </c>
      <c r="F196" s="17">
        <f t="shared" si="42"/>
        <v>-0.76223504679517884</v>
      </c>
    </row>
    <row r="197" spans="1:6" x14ac:dyDescent="0.3">
      <c r="A197" t="str">
        <f>$A$29</f>
        <v>Water</v>
      </c>
      <c r="B197" s="17">
        <f t="shared" si="43"/>
        <v>8.0137099368748252</v>
      </c>
      <c r="C197" s="17">
        <f t="shared" si="43"/>
        <v>-10.488006617191225</v>
      </c>
      <c r="D197" s="17">
        <f t="shared" si="43"/>
        <v>1.1980761840746812</v>
      </c>
      <c r="E197" s="17">
        <f t="shared" si="43"/>
        <v>0.9043144227429023</v>
      </c>
      <c r="F197" s="17">
        <f t="shared" si="42"/>
        <v>1.002140138159624</v>
      </c>
    </row>
    <row r="198" spans="1:6" x14ac:dyDescent="0.3">
      <c r="A198" t="str">
        <f>$A$30</f>
        <v>Sewerage</v>
      </c>
      <c r="B198" s="17">
        <f t="shared" si="43"/>
        <v>-14.138783538005351</v>
      </c>
      <c r="C198" s="17">
        <f t="shared" si="43"/>
        <v>-11.638203668350277</v>
      </c>
      <c r="D198" s="17">
        <f t="shared" si="43"/>
        <v>1.3516534758162058</v>
      </c>
      <c r="E198" s="17">
        <f t="shared" si="43"/>
        <v>1.046992709698058</v>
      </c>
      <c r="F198" s="17">
        <f t="shared" si="42"/>
        <v>1.1484444062940913</v>
      </c>
    </row>
    <row r="199" spans="1:6" x14ac:dyDescent="0.3">
      <c r="A199" t="str">
        <f>$A$31</f>
        <v>Waste management</v>
      </c>
      <c r="B199" s="17">
        <f t="shared" si="43"/>
        <v>8.2941233652779047</v>
      </c>
      <c r="C199" s="17">
        <f t="shared" si="43"/>
        <v>-18.781132771651688</v>
      </c>
      <c r="D199" s="17">
        <f t="shared" si="43"/>
        <v>1.1802590672452595</v>
      </c>
      <c r="E199" s="17">
        <f t="shared" si="43"/>
        <v>0.88500893946443782</v>
      </c>
      <c r="F199" s="17">
        <f t="shared" si="42"/>
        <v>0.98332979572033352</v>
      </c>
    </row>
    <row r="200" spans="1:6" x14ac:dyDescent="0.3">
      <c r="A200" t="str">
        <f>$A$32</f>
        <v>Construction</v>
      </c>
      <c r="B200" s="17">
        <f t="shared" si="43"/>
        <v>-2.56720718821698</v>
      </c>
      <c r="C200" s="17">
        <f t="shared" si="43"/>
        <v>15.430661787586297</v>
      </c>
      <c r="D200" s="17">
        <f t="shared" si="43"/>
        <v>1.7251873420631059</v>
      </c>
      <c r="E200" s="17">
        <f t="shared" si="43"/>
        <v>1.0354505817634196</v>
      </c>
      <c r="F200" s="17">
        <f t="shared" si="42"/>
        <v>1.2648416312398991</v>
      </c>
    </row>
    <row r="201" spans="1:6" x14ac:dyDescent="0.3">
      <c r="A201" t="str">
        <f>$A$33</f>
        <v>Civil engineering</v>
      </c>
      <c r="B201" s="17">
        <f t="shared" si="43"/>
        <v>-0.81595142747872274</v>
      </c>
      <c r="C201" s="17">
        <f t="shared" si="43"/>
        <v>12.103658534761141</v>
      </c>
      <c r="D201" s="17">
        <f t="shared" si="43"/>
        <v>1.7097554080626409</v>
      </c>
      <c r="E201" s="17">
        <f t="shared" si="43"/>
        <v>0.9904446237856801</v>
      </c>
      <c r="F201" s="17">
        <f t="shared" si="42"/>
        <v>1.229647867537631</v>
      </c>
    </row>
    <row r="202" spans="1:6" x14ac:dyDescent="0.3">
      <c r="A202" t="str">
        <f>$A$34</f>
        <v>Specialised construction</v>
      </c>
      <c r="B202" s="17">
        <f t="shared" si="43"/>
        <v>1.1904481178016235</v>
      </c>
      <c r="C202" s="17">
        <f t="shared" si="43"/>
        <v>13.230087154689695</v>
      </c>
      <c r="D202" s="17">
        <f t="shared" si="43"/>
        <v>1.7158228397043507</v>
      </c>
      <c r="E202" s="17">
        <f t="shared" si="43"/>
        <v>1.0014430932463236</v>
      </c>
      <c r="F202" s="17">
        <f t="shared" si="42"/>
        <v>1.2390104507243205</v>
      </c>
    </row>
    <row r="203" spans="1:6" x14ac:dyDescent="0.3">
      <c r="A203" t="str">
        <f>$A$35</f>
        <v>Motor vehicle trade</v>
      </c>
      <c r="B203" s="17">
        <f t="shared" si="43"/>
        <v>1.7885877486995216</v>
      </c>
      <c r="C203" s="17">
        <f t="shared" si="43"/>
        <v>-10.458324832311916</v>
      </c>
      <c r="D203" s="17">
        <f t="shared" si="43"/>
        <v>1.41007160321307</v>
      </c>
      <c r="E203" s="17">
        <f t="shared" si="43"/>
        <v>0.72769113427937349</v>
      </c>
      <c r="F203" s="17">
        <f t="shared" si="42"/>
        <v>0.95463957157040369</v>
      </c>
    </row>
    <row r="204" spans="1:6" x14ac:dyDescent="0.3">
      <c r="A204" t="str">
        <f>$A$36</f>
        <v>Wholesale trade</v>
      </c>
      <c r="B204" s="17">
        <f t="shared" si="43"/>
        <v>1.5706841172061559</v>
      </c>
      <c r="C204" s="17">
        <f t="shared" si="43"/>
        <v>-3.2471548746095924</v>
      </c>
      <c r="D204" s="17">
        <f t="shared" si="43"/>
        <v>0.41368262414023249</v>
      </c>
      <c r="E204" s="17">
        <f t="shared" si="43"/>
        <v>0.10455235670403518</v>
      </c>
      <c r="F204" s="17">
        <f t="shared" si="42"/>
        <v>0.2074898922079127</v>
      </c>
    </row>
    <row r="205" spans="1:6" x14ac:dyDescent="0.3">
      <c r="A205" t="str">
        <f>$A$37</f>
        <v>Retail trade</v>
      </c>
      <c r="B205" s="17">
        <f t="shared" si="43"/>
        <v>-2.3809837841923809</v>
      </c>
      <c r="C205" s="17">
        <f t="shared" si="43"/>
        <v>0.21670906443937987</v>
      </c>
      <c r="D205" s="17">
        <f t="shared" si="43"/>
        <v>-1.6711786544043594E-2</v>
      </c>
      <c r="E205" s="17">
        <f t="shared" si="43"/>
        <v>2.725444370137442E-2</v>
      </c>
      <c r="F205" s="17">
        <f t="shared" si="42"/>
        <v>1.2596885869853303E-2</v>
      </c>
    </row>
    <row r="206" spans="1:6" x14ac:dyDescent="0.3">
      <c r="A206" t="str">
        <f>$A$38</f>
        <v>Land transport, etc</v>
      </c>
      <c r="B206" s="17">
        <f t="shared" si="43"/>
        <v>6.8993345883090251</v>
      </c>
      <c r="C206" s="17">
        <f t="shared" si="43"/>
        <v>-7.2377181909464188</v>
      </c>
      <c r="D206" s="17">
        <f t="shared" si="43"/>
        <v>2.1206912091169317</v>
      </c>
      <c r="E206" s="17">
        <f t="shared" si="43"/>
        <v>0.30313486599038431</v>
      </c>
      <c r="F206" s="17">
        <f t="shared" si="42"/>
        <v>0.90536390645359344</v>
      </c>
    </row>
    <row r="207" spans="1:6" x14ac:dyDescent="0.3">
      <c r="A207" t="str">
        <f>$A$39</f>
        <v>Water transport</v>
      </c>
      <c r="B207" s="17">
        <f t="shared" si="43"/>
        <v>1.6403891496851619</v>
      </c>
      <c r="C207" s="17">
        <f t="shared" si="43"/>
        <v>8.1680280045342002</v>
      </c>
      <c r="D207" s="17">
        <f t="shared" si="43"/>
        <v>-3.196893002517609</v>
      </c>
      <c r="E207" s="17">
        <f t="shared" si="43"/>
        <v>-0.33495311802329564</v>
      </c>
      <c r="F207" s="17">
        <f t="shared" si="42"/>
        <v>-1.2982129653473673</v>
      </c>
    </row>
    <row r="208" spans="1:6" x14ac:dyDescent="0.3">
      <c r="A208" t="str">
        <f>$A$40</f>
        <v>Air transport</v>
      </c>
      <c r="B208" s="17">
        <f t="shared" si="43"/>
        <v>10.405488301438282</v>
      </c>
      <c r="C208" s="17">
        <f t="shared" si="43"/>
        <v>-17.678177810716278</v>
      </c>
      <c r="D208" s="17">
        <f t="shared" si="43"/>
        <v>6.6267297570020922</v>
      </c>
      <c r="E208" s="17">
        <f t="shared" si="43"/>
        <v>0.66001199207150751</v>
      </c>
      <c r="F208" s="17">
        <f t="shared" si="42"/>
        <v>2.6108649317959642</v>
      </c>
    </row>
    <row r="209" spans="1:6" x14ac:dyDescent="0.3">
      <c r="A209" t="str">
        <f>$A$41</f>
        <v>Warehousing, etc</v>
      </c>
      <c r="B209" s="17">
        <f t="shared" si="43"/>
        <v>6.9571519454417752</v>
      </c>
      <c r="C209" s="17">
        <f t="shared" si="43"/>
        <v>-2.3261101493142422</v>
      </c>
      <c r="D209" s="17">
        <f t="shared" si="43"/>
        <v>0.6967949543370322</v>
      </c>
      <c r="E209" s="17">
        <f t="shared" si="43"/>
        <v>0.15048155823667031</v>
      </c>
      <c r="F209" s="17">
        <f t="shared" si="42"/>
        <v>0.33225590135350647</v>
      </c>
    </row>
    <row r="210" spans="1:6" x14ac:dyDescent="0.3">
      <c r="A210" t="str">
        <f>$A$42</f>
        <v>Postal and courier</v>
      </c>
      <c r="B210" s="17">
        <f t="shared" si="43"/>
        <v>0.91388180758749105</v>
      </c>
      <c r="C210" s="17">
        <f t="shared" si="43"/>
        <v>2.1658824891842787</v>
      </c>
      <c r="D210" s="17">
        <f t="shared" si="43"/>
        <v>0.81112353782391011</v>
      </c>
      <c r="E210" s="17">
        <f t="shared" si="43"/>
        <v>0.26440496493418397</v>
      </c>
      <c r="F210" s="17">
        <f t="shared" si="42"/>
        <v>0.44631425238197409</v>
      </c>
    </row>
    <row r="211" spans="1:6" x14ac:dyDescent="0.3">
      <c r="A211" t="str">
        <f>$A$43</f>
        <v>Accommodation</v>
      </c>
      <c r="B211" s="17">
        <f t="shared" si="43"/>
        <v>1.7506494235826731</v>
      </c>
      <c r="C211" s="17">
        <f t="shared" si="43"/>
        <v>-0.54126501567806073</v>
      </c>
      <c r="D211" s="17">
        <f t="shared" si="43"/>
        <v>2.9308009061897122</v>
      </c>
      <c r="E211" s="17">
        <f t="shared" si="43"/>
        <v>0.55859857102296129</v>
      </c>
      <c r="F211" s="17">
        <f t="shared" si="42"/>
        <v>1.3431950410489391</v>
      </c>
    </row>
    <row r="212" spans="1:6" x14ac:dyDescent="0.3">
      <c r="A212" t="str">
        <f>$A$44</f>
        <v>Food and beverage services</v>
      </c>
      <c r="B212" s="17">
        <f t="shared" si="43"/>
        <v>1.6202254114459302</v>
      </c>
      <c r="C212" s="17">
        <f t="shared" si="43"/>
        <v>1.9690934942685923</v>
      </c>
      <c r="D212" s="17">
        <f t="shared" si="43"/>
        <v>-3.7564925525312987E-2</v>
      </c>
      <c r="E212" s="17">
        <f t="shared" si="43"/>
        <v>1.3271098519784585</v>
      </c>
      <c r="F212" s="17">
        <f t="shared" si="42"/>
        <v>0.87016067911347417</v>
      </c>
    </row>
    <row r="213" spans="1:6" x14ac:dyDescent="0.3">
      <c r="A213" t="str">
        <f>$A$45</f>
        <v>Publishing activities</v>
      </c>
      <c r="B213" s="17">
        <f t="shared" ref="B213:C238" si="44">IF(AND(C$3-B$3 &lt;&gt; 0,B45&lt;&gt;0,C45&lt;&gt;0),(EXP(LN(C45/B45)/(C$3-B$3))-1)*100,0)</f>
        <v>-3.0920260890598072</v>
      </c>
      <c r="C213" s="17">
        <f t="shared" si="44"/>
        <v>7.1669122294842236</v>
      </c>
      <c r="D213" s="17">
        <f t="shared" ref="D213:E213" si="45">IF(AND(E$3-D$3 &lt;&gt; 0,D45&lt;&gt;0,E45&lt;&gt;0),(EXP(LN(E45/D45)/(E$3-D$3))-1)*100,0)</f>
        <v>-0.6940413601499551</v>
      </c>
      <c r="E213" s="17">
        <f t="shared" si="45"/>
        <v>-0.15255042303969901</v>
      </c>
      <c r="F213" s="17">
        <f t="shared" si="42"/>
        <v>-0.33337467806546783</v>
      </c>
    </row>
    <row r="214" spans="1:6" x14ac:dyDescent="0.3">
      <c r="A214" t="str">
        <f>$A$46</f>
        <v>Film and music</v>
      </c>
      <c r="B214" s="17">
        <f t="shared" si="44"/>
        <v>-15.518964814603486</v>
      </c>
      <c r="C214" s="17">
        <f t="shared" si="44"/>
        <v>8.8176883357390601</v>
      </c>
      <c r="D214" s="17">
        <f t="shared" ref="D214:E214" si="46">IF(AND(E$3-D$3 &lt;&gt; 0,D46&lt;&gt;0,E46&lt;&gt;0),(EXP(LN(E46/D46)/(E$3-D$3))-1)*100,0)</f>
        <v>-0.57850036792670423</v>
      </c>
      <c r="E214" s="17">
        <f t="shared" si="46"/>
        <v>-7.2883869310758076E-2</v>
      </c>
      <c r="F214" s="17">
        <f t="shared" si="42"/>
        <v>-0.24170776451494236</v>
      </c>
    </row>
    <row r="215" spans="1:6" x14ac:dyDescent="0.3">
      <c r="A215" t="str">
        <f>$A$47</f>
        <v>Broadcasting</v>
      </c>
      <c r="B215" s="17">
        <f t="shared" si="44"/>
        <v>94.465532393600967</v>
      </c>
      <c r="C215" s="17">
        <f t="shared" si="44"/>
        <v>2.4632499011666198</v>
      </c>
      <c r="D215" s="17">
        <f t="shared" ref="D215:E215" si="47">IF(AND(E$3-D$3 &lt;&gt; 0,D47&lt;&gt;0,E47&lt;&gt;0),(EXP(LN(E47/D47)/(E$3-D$3))-1)*100,0)</f>
        <v>-0.83588168550533526</v>
      </c>
      <c r="E215" s="17">
        <f t="shared" si="47"/>
        <v>-0.29087877442310894</v>
      </c>
      <c r="F215" s="17">
        <f t="shared" si="42"/>
        <v>-0.47287841432837041</v>
      </c>
    </row>
    <row r="216" spans="1:6" x14ac:dyDescent="0.3">
      <c r="A216" t="str">
        <f>$A$48</f>
        <v>Telecommunications</v>
      </c>
      <c r="B216" s="17">
        <f t="shared" si="44"/>
        <v>5.7977784403015153</v>
      </c>
      <c r="C216" s="17">
        <f t="shared" si="44"/>
        <v>-5.4092489203799605</v>
      </c>
      <c r="D216" s="17">
        <f t="shared" ref="D216:E216" si="48">IF(AND(E$3-D$3 &lt;&gt; 0,D48&lt;&gt;0,E48&lt;&gt;0),(EXP(LN(E48/D48)/(E$3-D$3))-1)*100,0)</f>
        <v>0.78387231836773985</v>
      </c>
      <c r="E216" s="17">
        <f t="shared" si="48"/>
        <v>0.44251319655603805</v>
      </c>
      <c r="F216" s="17">
        <f t="shared" si="42"/>
        <v>0.5561709103466761</v>
      </c>
    </row>
    <row r="217" spans="1:6" x14ac:dyDescent="0.3">
      <c r="A217" t="str">
        <f>$A$49</f>
        <v>Computing services</v>
      </c>
      <c r="B217" s="17">
        <f t="shared" si="44"/>
        <v>0.57389139870092087</v>
      </c>
      <c r="C217" s="17">
        <f t="shared" si="44"/>
        <v>0.14789841167608397</v>
      </c>
      <c r="D217" s="17">
        <f t="shared" ref="D217:E217" si="49">IF(AND(E$3-D$3 &lt;&gt; 0,D49&lt;&gt;0,E49&lt;&gt;0),(EXP(LN(E49/D49)/(E$3-D$3))-1)*100,0)</f>
        <v>0.85574609417247149</v>
      </c>
      <c r="E217" s="17">
        <f t="shared" si="49"/>
        <v>0.4946629611569664</v>
      </c>
      <c r="F217" s="17">
        <f t="shared" si="42"/>
        <v>0.61488013783159712</v>
      </c>
    </row>
    <row r="218" spans="1:6" x14ac:dyDescent="0.3">
      <c r="A218" t="str">
        <f>$A$50</f>
        <v>Information services</v>
      </c>
      <c r="B218" s="17">
        <f t="shared" si="44"/>
        <v>-20.119664351044364</v>
      </c>
      <c r="C218" s="17">
        <f t="shared" si="44"/>
        <v>0.55845122823428017</v>
      </c>
      <c r="D218" s="17">
        <f t="shared" ref="D218:E218" si="50">IF(AND(E$3-D$3 &lt;&gt; 0,D50&lt;&gt;0,E50&lt;&gt;0),(EXP(LN(E50/D50)/(E$3-D$3))-1)*100,0)</f>
        <v>0.83023119751883812</v>
      </c>
      <c r="E218" s="17">
        <f t="shared" si="50"/>
        <v>0.48314261330044683</v>
      </c>
      <c r="F218" s="17">
        <f t="shared" si="42"/>
        <v>0.59870585059880188</v>
      </c>
    </row>
    <row r="219" spans="1:6" x14ac:dyDescent="0.3">
      <c r="A219" t="str">
        <f>$A$51</f>
        <v>Financial services</v>
      </c>
      <c r="B219" s="17">
        <f t="shared" si="44"/>
        <v>-10.393987505054024</v>
      </c>
      <c r="C219" s="17">
        <f t="shared" si="44"/>
        <v>-1.1858879058801453E-2</v>
      </c>
      <c r="D219" s="17">
        <f t="shared" ref="D219:E219" si="51">IF(AND(E$3-D$3 &lt;&gt; 0,D51&lt;&gt;0,E51&lt;&gt;0),(EXP(LN(E51/D51)/(E$3-D$3))-1)*100,0)</f>
        <v>-0.84681297418043311</v>
      </c>
      <c r="E219" s="17">
        <f t="shared" si="51"/>
        <v>-1.0160776854338471</v>
      </c>
      <c r="F219" s="17">
        <f t="shared" si="42"/>
        <v>-0.95968824521167617</v>
      </c>
    </row>
    <row r="220" spans="1:6" x14ac:dyDescent="0.3">
      <c r="A220" t="str">
        <f>$A$52</f>
        <v>Insurance and pensions</v>
      </c>
      <c r="B220" s="17">
        <f t="shared" si="44"/>
        <v>11.002149093852442</v>
      </c>
      <c r="C220" s="17">
        <f t="shared" si="44"/>
        <v>0.79619019316465867</v>
      </c>
      <c r="D220" s="17">
        <f t="shared" ref="D220:E220" si="52">IF(AND(E$3-D$3 &lt;&gt; 0,D52&lt;&gt;0,E52&lt;&gt;0),(EXP(LN(E52/D52)/(E$3-D$3))-1)*100,0)</f>
        <v>-0.86833830217455388</v>
      </c>
      <c r="E220" s="17">
        <f t="shared" si="52"/>
        <v>-1.066062882658958</v>
      </c>
      <c r="F220" s="17">
        <f t="shared" si="42"/>
        <v>-1.0001985474544894</v>
      </c>
    </row>
    <row r="221" spans="1:6" x14ac:dyDescent="0.3">
      <c r="A221" t="str">
        <f>$A$53</f>
        <v>Auxiliary financial services</v>
      </c>
      <c r="B221" s="17">
        <f t="shared" si="44"/>
        <v>3.569592935332988</v>
      </c>
      <c r="C221" s="17">
        <f t="shared" si="44"/>
        <v>5.0612586063181642</v>
      </c>
      <c r="D221" s="17">
        <f t="shared" ref="D221:E221" si="53">IF(AND(E$3-D$3 &lt;&gt; 0,D53&lt;&gt;0,E53&lt;&gt;0),(EXP(LN(E53/D53)/(E$3-D$3))-1)*100,0)</f>
        <v>-0.58463721582506789</v>
      </c>
      <c r="E221" s="17">
        <f t="shared" si="53"/>
        <v>-0.95521748065571233</v>
      </c>
      <c r="F221" s="17">
        <f t="shared" si="42"/>
        <v>-0.83184446647571741</v>
      </c>
    </row>
    <row r="222" spans="1:6" x14ac:dyDescent="0.3">
      <c r="A222" t="str">
        <f>$A$54</f>
        <v>Real estate</v>
      </c>
      <c r="B222" s="17">
        <f t="shared" si="44"/>
        <v>3.0913909614871837</v>
      </c>
      <c r="C222" s="17">
        <f t="shared" si="44"/>
        <v>2.5385616782858555</v>
      </c>
      <c r="D222" s="17">
        <f t="shared" ref="D222:E222" si="54">IF(AND(E$3-D$3 &lt;&gt; 0,D54&lt;&gt;0,E54&lt;&gt;0),(EXP(LN(E54/D54)/(E$3-D$3))-1)*100,0)</f>
        <v>0.44348568615768524</v>
      </c>
      <c r="E222" s="17">
        <f t="shared" si="54"/>
        <v>1.3586802441962753</v>
      </c>
      <c r="F222" s="17">
        <f t="shared" si="42"/>
        <v>1.0526925871850112</v>
      </c>
    </row>
    <row r="223" spans="1:6" x14ac:dyDescent="0.3">
      <c r="A223" t="str">
        <f>$A$55</f>
        <v>Legal and accounting</v>
      </c>
      <c r="B223" s="17">
        <f t="shared" si="44"/>
        <v>3.649560117627515</v>
      </c>
      <c r="C223" s="17">
        <f t="shared" si="44"/>
        <v>-8.8521145247337678</v>
      </c>
      <c r="D223" s="17">
        <f t="shared" ref="D223:E223" si="55">IF(AND(E$3-D$3 &lt;&gt; 0,D55&lt;&gt;0,E55&lt;&gt;0),(EXP(LN(E55/D55)/(E$3-D$3))-1)*100,0)</f>
        <v>1.4784592769235605</v>
      </c>
      <c r="E223" s="17">
        <f t="shared" si="55"/>
        <v>0.82322854589065297</v>
      </c>
      <c r="F223" s="17">
        <f t="shared" si="42"/>
        <v>1.0411673550731582</v>
      </c>
    </row>
    <row r="224" spans="1:6" x14ac:dyDescent="0.3">
      <c r="A224" t="str">
        <f>$A$56</f>
        <v>Head offices, etc</v>
      </c>
      <c r="B224" s="17">
        <f t="shared" si="44"/>
        <v>0.2849598241876139</v>
      </c>
      <c r="C224" s="17">
        <f t="shared" si="44"/>
        <v>-2.6264261276087719</v>
      </c>
      <c r="D224" s="17">
        <f t="shared" ref="D224:E224" si="56">IF(AND(E$3-D$3 &lt;&gt; 0,D56&lt;&gt;0,E56&lt;&gt;0),(EXP(LN(E56/D56)/(E$3-D$3))-1)*100,0)</f>
        <v>0.71652608215693192</v>
      </c>
      <c r="E224" s="17">
        <f t="shared" si="56"/>
        <v>0.35931117519545364</v>
      </c>
      <c r="F224" s="17">
        <f t="shared" si="42"/>
        <v>0.47824181660962584</v>
      </c>
    </row>
    <row r="225" spans="1:6" x14ac:dyDescent="0.3">
      <c r="A225" t="str">
        <f>$A$57</f>
        <v>Architectural and related</v>
      </c>
      <c r="B225" s="17">
        <f t="shared" si="44"/>
        <v>7.8404262587911555</v>
      </c>
      <c r="C225" s="17">
        <f t="shared" si="44"/>
        <v>-0.41522168433041351</v>
      </c>
      <c r="D225" s="17">
        <f t="shared" ref="D225:E225" si="57">IF(AND(E$3-D$3 &lt;&gt; 0,D57&lt;&gt;0,E57&lt;&gt;0),(EXP(LN(E57/D57)/(E$3-D$3))-1)*100,0)</f>
        <v>0.384316791574002</v>
      </c>
      <c r="E225" s="17">
        <f t="shared" si="57"/>
        <v>0.52279351151707232</v>
      </c>
      <c r="F225" s="17">
        <f t="shared" si="42"/>
        <v>0.4766133929959393</v>
      </c>
    </row>
    <row r="226" spans="1:6" x14ac:dyDescent="0.3">
      <c r="A226" t="str">
        <f>$A$58</f>
        <v>Scientific research and development</v>
      </c>
      <c r="B226" s="17">
        <f t="shared" si="44"/>
        <v>6.6168151970986688</v>
      </c>
      <c r="C226" s="17">
        <f t="shared" si="44"/>
        <v>-11.647298139819695</v>
      </c>
      <c r="D226" s="17">
        <f t="shared" ref="D226:E226" si="58">IF(AND(E$3-D$3 &lt;&gt; 0,D58&lt;&gt;0,E58&lt;&gt;0),(EXP(LN(E58/D58)/(E$3-D$3))-1)*100,0)</f>
        <v>1.4138163405834625</v>
      </c>
      <c r="E226" s="17">
        <f t="shared" si="58"/>
        <v>1.199835527508375</v>
      </c>
      <c r="F226" s="17">
        <f t="shared" si="42"/>
        <v>1.2711122520336016</v>
      </c>
    </row>
    <row r="227" spans="1:6" x14ac:dyDescent="0.3">
      <c r="A227" t="str">
        <f>$A$59</f>
        <v>Advertising, etc</v>
      </c>
      <c r="B227" s="17">
        <f t="shared" si="44"/>
        <v>-1.4246876420315524</v>
      </c>
      <c r="C227" s="17">
        <f t="shared" si="44"/>
        <v>-11.076013171580934</v>
      </c>
      <c r="D227" s="17">
        <f t="shared" ref="D227:E227" si="59">IF(AND(E$3-D$3 &lt;&gt; 0,D59&lt;&gt;0,E59&lt;&gt;0),(EXP(LN(E59/D59)/(E$3-D$3))-1)*100,0)</f>
        <v>1.4364797300330467</v>
      </c>
      <c r="E227" s="17">
        <f t="shared" si="59"/>
        <v>1.2396513701023792</v>
      </c>
      <c r="F227" s="17">
        <f t="shared" si="42"/>
        <v>1.3052183503606152</v>
      </c>
    </row>
    <row r="228" spans="1:6" x14ac:dyDescent="0.3">
      <c r="A228" t="str">
        <f>$A$60</f>
        <v>Other professional</v>
      </c>
      <c r="B228" s="17">
        <f t="shared" si="44"/>
        <v>8.3763682649628635</v>
      </c>
      <c r="C228" s="17">
        <f t="shared" si="44"/>
        <v>-12.069698256910366</v>
      </c>
      <c r="D228" s="17">
        <f t="shared" ref="D228:E228" si="60">IF(AND(E$3-D$3 &lt;&gt; 0,D60&lt;&gt;0,E60&lt;&gt;0),(EXP(LN(E60/D60)/(E$3-D$3))-1)*100,0)</f>
        <v>1.4307960593012981</v>
      </c>
      <c r="E228" s="17">
        <f t="shared" si="60"/>
        <v>1.2293401800063775</v>
      </c>
      <c r="F228" s="17">
        <f t="shared" si="42"/>
        <v>1.2964476427244964</v>
      </c>
    </row>
    <row r="229" spans="1:6" x14ac:dyDescent="0.3">
      <c r="A229" t="str">
        <f>$A$61</f>
        <v>Veterinary</v>
      </c>
      <c r="B229" s="17">
        <f t="shared" si="44"/>
        <v>11.320548588680946</v>
      </c>
      <c r="C229" s="17">
        <f t="shared" si="44"/>
        <v>-9.6451319353143887</v>
      </c>
      <c r="D229" s="17">
        <f t="shared" ref="D229:E229" si="61">IF(AND(E$3-D$3 &lt;&gt; 0,D61&lt;&gt;0,E61&lt;&gt;0),(EXP(LN(E61/D61)/(E$3-D$3))-1)*100,0)</f>
        <v>1.4791142219887199</v>
      </c>
      <c r="E229" s="17">
        <f t="shared" si="61"/>
        <v>1.2864580875745713</v>
      </c>
      <c r="F229" s="17">
        <f t="shared" si="42"/>
        <v>1.3506361253907473</v>
      </c>
    </row>
    <row r="230" spans="1:6" x14ac:dyDescent="0.3">
      <c r="A230" t="str">
        <f>$A$62</f>
        <v>Rental and leasing</v>
      </c>
      <c r="B230" s="17">
        <f t="shared" si="44"/>
        <v>-15.106688681350711</v>
      </c>
      <c r="C230" s="17">
        <f t="shared" si="44"/>
        <v>-3.5589773389057555</v>
      </c>
      <c r="D230" s="17">
        <f t="shared" ref="D230:E230" si="62">IF(AND(E$3-D$3 &lt;&gt; 0,D62&lt;&gt;0,E62&lt;&gt;0),(EXP(LN(E62/D62)/(E$3-D$3))-1)*100,0)</f>
        <v>1.2229219920184331</v>
      </c>
      <c r="E230" s="17">
        <f t="shared" si="62"/>
        <v>0.76014037488303376</v>
      </c>
      <c r="F230" s="17">
        <f t="shared" si="42"/>
        <v>0.91416534676713734</v>
      </c>
    </row>
    <row r="231" spans="1:6" x14ac:dyDescent="0.3">
      <c r="A231" t="str">
        <f>$A$63</f>
        <v>Employment activities</v>
      </c>
      <c r="B231" s="17">
        <f t="shared" si="44"/>
        <v>0.34940363882074443</v>
      </c>
      <c r="C231" s="17">
        <f t="shared" si="44"/>
        <v>-6.385449873505145</v>
      </c>
      <c r="D231" s="17">
        <f t="shared" ref="D231:E231" si="63">IF(AND(E$3-D$3 &lt;&gt; 0,D63&lt;&gt;0,E63&lt;&gt;0),(EXP(LN(E63/D63)/(E$3-D$3))-1)*100,0)</f>
        <v>1.1995687618404638</v>
      </c>
      <c r="E231" s="17">
        <f t="shared" si="63"/>
        <v>0.72603584545836153</v>
      </c>
      <c r="F231" s="17">
        <f t="shared" si="42"/>
        <v>0.88363344254958065</v>
      </c>
    </row>
    <row r="232" spans="1:6" x14ac:dyDescent="0.3">
      <c r="A232" t="str">
        <f>$A$64</f>
        <v>Travel, etc</v>
      </c>
      <c r="B232" s="17">
        <f t="shared" si="44"/>
        <v>0.41421947545137172</v>
      </c>
      <c r="C232" s="17">
        <f t="shared" si="44"/>
        <v>-5.897193315205806</v>
      </c>
      <c r="D232" s="17">
        <f t="shared" ref="D232:E232" si="64">IF(AND(E$3-D$3 &lt;&gt; 0,D64&lt;&gt;0,E64&lt;&gt;0),(EXP(LN(E64/D64)/(E$3-D$3))-1)*100,0)</f>
        <v>1.2358306547033848</v>
      </c>
      <c r="E232" s="17">
        <f t="shared" si="64"/>
        <v>0.76716735546205062</v>
      </c>
      <c r="F232" s="17">
        <f t="shared" si="42"/>
        <v>0.92314688676720102</v>
      </c>
    </row>
    <row r="233" spans="1:6" x14ac:dyDescent="0.3">
      <c r="A233" t="str">
        <f>$A$65</f>
        <v>Security, etc</v>
      </c>
      <c r="B233" s="17">
        <f t="shared" si="44"/>
        <v>11.578245323269943</v>
      </c>
      <c r="C233" s="17">
        <f t="shared" si="44"/>
        <v>-4.1562369635694596</v>
      </c>
      <c r="D233" s="17">
        <f t="shared" ref="D233:E233" si="65">IF(AND(E$3-D$3 &lt;&gt; 0,D65&lt;&gt;0,E65&lt;&gt;0),(EXP(LN(E65/D65)/(E$3-D$3))-1)*100,0)</f>
        <v>1.208790975050511</v>
      </c>
      <c r="E233" s="17">
        <f t="shared" si="65"/>
        <v>0.74176758260493525</v>
      </c>
      <c r="F233" s="17">
        <f t="shared" si="42"/>
        <v>0.89720210341839302</v>
      </c>
    </row>
    <row r="234" spans="1:6" x14ac:dyDescent="0.3">
      <c r="A234" t="str">
        <f>$A$66</f>
        <v>Services to buildings</v>
      </c>
      <c r="B234" s="17">
        <f t="shared" si="44"/>
        <v>1.7204095173643852</v>
      </c>
      <c r="C234" s="17">
        <f t="shared" si="44"/>
        <v>-6.8876353934767875</v>
      </c>
      <c r="D234" s="17">
        <f t="shared" ref="D234:E234" si="66">IF(AND(E$3-D$3 &lt;&gt; 0,D66&lt;&gt;0,E66&lt;&gt;0),(EXP(LN(E66/D66)/(E$3-D$3))-1)*100,0)</f>
        <v>1.1948381803326802</v>
      </c>
      <c r="E234" s="17">
        <f t="shared" si="66"/>
        <v>0.71354325233066174</v>
      </c>
      <c r="F234" s="17">
        <f t="shared" si="42"/>
        <v>0.8737200117419075</v>
      </c>
    </row>
    <row r="235" spans="1:6" x14ac:dyDescent="0.3">
      <c r="A235" t="str">
        <f>$A$67</f>
        <v>Office administrative</v>
      </c>
      <c r="B235" s="17">
        <f t="shared" si="44"/>
        <v>2.4871793007576803</v>
      </c>
      <c r="C235" s="17">
        <f t="shared" si="44"/>
        <v>-4.3016319646586698</v>
      </c>
      <c r="D235" s="17">
        <f t="shared" ref="D235:E235" si="67">IF(AND(E$3-D$3 &lt;&gt; 0,D67&lt;&gt;0,E67&lt;&gt;0),(EXP(LN(E67/D67)/(E$3-D$3))-1)*100,0)</f>
        <v>1.2556445596121568</v>
      </c>
      <c r="E235" s="17">
        <f t="shared" si="67"/>
        <v>0.77771687053691529</v>
      </c>
      <c r="F235" s="17">
        <f t="shared" si="42"/>
        <v>0.9367749259030056</v>
      </c>
    </row>
    <row r="236" spans="1:6" x14ac:dyDescent="0.3">
      <c r="A236" t="str">
        <f>$A$68</f>
        <v>Public administration and defence</v>
      </c>
      <c r="B236" s="17">
        <f t="shared" si="44"/>
        <v>-1.6831039817547966</v>
      </c>
      <c r="C236" s="17">
        <f t="shared" si="44"/>
        <v>2.6316998651089163</v>
      </c>
      <c r="D236" s="17">
        <f t="shared" ref="D236:E236" si="68">IF(AND(E$3-D$3 &lt;&gt; 0,D68&lt;&gt;0,E68&lt;&gt;0),(EXP(LN(E68/D68)/(E$3-D$3))-1)*100,0)</f>
        <v>1.2788620781638782</v>
      </c>
      <c r="E236" s="17">
        <f t="shared" si="68"/>
        <v>0.58584907604237735</v>
      </c>
      <c r="F236" s="17">
        <f t="shared" si="42"/>
        <v>0.81632490948853054</v>
      </c>
    </row>
    <row r="237" spans="1:6" x14ac:dyDescent="0.3">
      <c r="A237" t="str">
        <f>$A$69</f>
        <v xml:space="preserve">Education </v>
      </c>
      <c r="B237" s="17">
        <f t="shared" si="44"/>
        <v>1.6888602519428142</v>
      </c>
      <c r="C237" s="17">
        <f t="shared" si="44"/>
        <v>0.65495821030743251</v>
      </c>
      <c r="D237" s="17">
        <f t="shared" ref="D237:E237" si="69">IF(AND(E$3-D$3 &lt;&gt; 0,D69&lt;&gt;0,E69&lt;&gt;0),(EXP(LN(E69/D69)/(E$3-D$3))-1)*100,0)</f>
        <v>-0.28998882753159538</v>
      </c>
      <c r="E237" s="17">
        <f t="shared" si="69"/>
        <v>0.16392843983084049</v>
      </c>
      <c r="F237" s="17">
        <f t="shared" si="42"/>
        <v>1.2393547226130508E-2</v>
      </c>
    </row>
    <row r="238" spans="1:6" x14ac:dyDescent="0.3">
      <c r="A238" t="str">
        <f>$A$70</f>
        <v>Health</v>
      </c>
      <c r="B238" s="17">
        <f t="shared" si="44"/>
        <v>4.222180449305224</v>
      </c>
      <c r="C238" s="17">
        <f t="shared" si="44"/>
        <v>-0.17869409074199316</v>
      </c>
      <c r="D238" s="17">
        <f t="shared" ref="D238:E238" si="70">IF(AND(E$3-D$3 &lt;&gt; 0,D70&lt;&gt;0,E70&lt;&gt;0),(EXP(LN(E70/D70)/(E$3-D$3))-1)*100,0)</f>
        <v>1.9451240988739515</v>
      </c>
      <c r="E238" s="17">
        <f t="shared" si="70"/>
        <v>1.3505012256767035</v>
      </c>
      <c r="F238" s="17">
        <f t="shared" ref="F238:F249" si="71">IF(AND(F$3-D$3 &lt;&gt; 0,D70&lt;&gt;0,F70&lt;&gt;0),(EXP(LN(F70/D70)/(F$3-D$3))-1)*100,0)</f>
        <v>1.5483224808982898</v>
      </c>
    </row>
    <row r="239" spans="1:6" x14ac:dyDescent="0.3">
      <c r="A239" t="str">
        <f>$A$71</f>
        <v>Residential care</v>
      </c>
      <c r="B239" s="17">
        <f t="shared" ref="B239:C239" si="72">IF(AND(C$3-B$3 &lt;&gt; 0,B71&lt;&gt;0,C71&lt;&gt;0),(EXP(LN(C71/B71)/(C$3-B$3))-1)*100,0)</f>
        <v>2.3321994015238046</v>
      </c>
      <c r="C239" s="17">
        <f t="shared" si="72"/>
        <v>-7.8470727032161181</v>
      </c>
      <c r="D239" s="17">
        <f t="shared" ref="D239:D247" si="73">IF(AND(E$3-D$3 &lt;&gt; 0,D71&lt;&gt;0,E71&lt;&gt;0),(EXP(LN(E71/D71)/(E$3-D$3))-1)*100,0)</f>
        <v>1.2075778656278402</v>
      </c>
      <c r="E239" s="17">
        <f t="shared" ref="E239:E247" si="74">IF(AND(F$3-E$3 &lt;&gt; 0,E71&lt;&gt;0,F71&lt;&gt;0),(EXP(LN(F71/E71)/(F$3-E$3))-1)*100,0)</f>
        <v>0.63621411806904504</v>
      </c>
      <c r="F239" s="17">
        <f t="shared" si="71"/>
        <v>0.8263093968497337</v>
      </c>
    </row>
    <row r="240" spans="1:6" x14ac:dyDescent="0.3">
      <c r="A240" t="str">
        <f>$A$72</f>
        <v>Social work</v>
      </c>
      <c r="B240" s="17">
        <f t="shared" ref="B240:C240" si="75">IF(AND(C$3-B$3 &lt;&gt; 0,B72&lt;&gt;0,C72&lt;&gt;0),(EXP(LN(C72/B72)/(C$3-B$3))-1)*100,0)</f>
        <v>-7.1295754693856406E-2</v>
      </c>
      <c r="C240" s="17">
        <f t="shared" si="75"/>
        <v>-7.2056649273604663</v>
      </c>
      <c r="D240" s="17">
        <f t="shared" si="73"/>
        <v>0.97671991962957616</v>
      </c>
      <c r="E240" s="17">
        <f t="shared" si="74"/>
        <v>0.40076476783468262</v>
      </c>
      <c r="F240" s="17">
        <f t="shared" si="71"/>
        <v>0.59238387260966974</v>
      </c>
    </row>
    <row r="241" spans="1:6" x14ac:dyDescent="0.3">
      <c r="A241" t="str">
        <f>$A$73</f>
        <v>Arts and entertainment</v>
      </c>
      <c r="B241" s="17">
        <f t="shared" ref="B241:C241" si="76">IF(AND(C$3-B$3 &lt;&gt; 0,B73&lt;&gt;0,C73&lt;&gt;0),(EXP(LN(C73/B73)/(C$3-B$3))-1)*100,0)</f>
        <v>31.230311412165701</v>
      </c>
      <c r="C241" s="17">
        <f t="shared" si="76"/>
        <v>37.436241612074774</v>
      </c>
      <c r="D241" s="17">
        <f t="shared" si="73"/>
        <v>-3.3244702450668906</v>
      </c>
      <c r="E241" s="17">
        <f t="shared" si="74"/>
        <v>-0.12912334350630994</v>
      </c>
      <c r="F241" s="17">
        <f t="shared" si="71"/>
        <v>-1.205804680097633</v>
      </c>
    </row>
    <row r="242" spans="1:6" x14ac:dyDescent="0.3">
      <c r="A242" t="str">
        <f>$A$74</f>
        <v>Libraries, etc</v>
      </c>
      <c r="B242" s="17">
        <f t="shared" ref="B242:C242" si="77">IF(AND(C$3-B$3 &lt;&gt; 0,B74&lt;&gt;0,C74&lt;&gt;0),(EXP(LN(C74/B74)/(C$3-B$3))-1)*100,0)</f>
        <v>-1.2525234127276685</v>
      </c>
      <c r="C242" s="17">
        <f t="shared" si="77"/>
        <v>40.688092296015022</v>
      </c>
      <c r="D242" s="17">
        <f t="shared" si="73"/>
        <v>-3.1625153482089274</v>
      </c>
      <c r="E242" s="17">
        <f t="shared" si="74"/>
        <v>-2.582386691271088E-2</v>
      </c>
      <c r="F242" s="17">
        <f t="shared" si="71"/>
        <v>-1.0825172365466651</v>
      </c>
    </row>
    <row r="243" spans="1:6" x14ac:dyDescent="0.3">
      <c r="A243" t="str">
        <f>$A$75</f>
        <v>Gambling and betting</v>
      </c>
      <c r="B243" s="17">
        <f t="shared" ref="B243:C243" si="78">IF(AND(C$3-B$3 &lt;&gt; 0,B75&lt;&gt;0,C75&lt;&gt;0),(EXP(LN(C75/B75)/(C$3-B$3))-1)*100,0)</f>
        <v>-11.530201773822647</v>
      </c>
      <c r="C243" s="17">
        <f t="shared" si="78"/>
        <v>12.24322103557094</v>
      </c>
      <c r="D243" s="17">
        <f t="shared" si="73"/>
        <v>0.3084861603044331</v>
      </c>
      <c r="E243" s="17">
        <f t="shared" si="74"/>
        <v>0.65100877728032636</v>
      </c>
      <c r="F243" s="17">
        <f t="shared" si="71"/>
        <v>0.53670481186292029</v>
      </c>
    </row>
    <row r="244" spans="1:6" x14ac:dyDescent="0.3">
      <c r="A244" t="str">
        <f>$A$76</f>
        <v>Sport and recreation</v>
      </c>
      <c r="B244" s="17">
        <f t="shared" ref="B244:C244" si="79">IF(AND(C$3-B$3 &lt;&gt; 0,B76&lt;&gt;0,C76&lt;&gt;0),(EXP(LN(C76/B76)/(C$3-B$3))-1)*100,0)</f>
        <v>3.7408417661914273</v>
      </c>
      <c r="C244" s="17">
        <f t="shared" si="79"/>
        <v>6.5438879080583767</v>
      </c>
      <c r="D244" s="17">
        <f t="shared" si="73"/>
        <v>0.25948300875402452</v>
      </c>
      <c r="E244" s="17">
        <f t="shared" si="74"/>
        <v>0.59547108251194469</v>
      </c>
      <c r="F244" s="17">
        <f t="shared" si="71"/>
        <v>0.48335013743281419</v>
      </c>
    </row>
    <row r="245" spans="1:6" x14ac:dyDescent="0.3">
      <c r="A245" t="str">
        <f>$A$77</f>
        <v>Membership organisations</v>
      </c>
      <c r="B245" s="17">
        <f t="shared" ref="B245:C245" si="80">IF(AND(C$3-B$3 &lt;&gt; 0,B77&lt;&gt;0,C77&lt;&gt;0),(EXP(LN(C77/B77)/(C$3-B$3))-1)*100,0)</f>
        <v>-5.8289808206527072</v>
      </c>
      <c r="C245" s="17">
        <f t="shared" si="80"/>
        <v>6.4781333164779742</v>
      </c>
      <c r="D245" s="17">
        <f t="shared" si="73"/>
        <v>-0.11367241717353815</v>
      </c>
      <c r="E245" s="17">
        <f t="shared" si="74"/>
        <v>3.8658050242279529E-3</v>
      </c>
      <c r="F245" s="17">
        <f t="shared" si="71"/>
        <v>-3.5328962071934367E-2</v>
      </c>
    </row>
    <row r="246" spans="1:6" x14ac:dyDescent="0.3">
      <c r="A246" t="str">
        <f>$A$78</f>
        <v>Repair of goods</v>
      </c>
      <c r="B246" s="17">
        <f t="shared" ref="B246:C246" si="81">IF(AND(C$3-B$3 &lt;&gt; 0,B78&lt;&gt;0,C78&lt;&gt;0),(EXP(LN(C78/B78)/(C$3-B$3))-1)*100,0)</f>
        <v>-13.576125508592774</v>
      </c>
      <c r="C246" s="17">
        <f t="shared" si="81"/>
        <v>12.188515709238246</v>
      </c>
      <c r="D246" s="17">
        <f t="shared" si="73"/>
        <v>0.41565148268853935</v>
      </c>
      <c r="E246" s="17">
        <f t="shared" si="74"/>
        <v>0.29679898053212028</v>
      </c>
      <c r="F246" s="17">
        <f t="shared" si="71"/>
        <v>0.33640084252761771</v>
      </c>
    </row>
    <row r="247" spans="1:6" x14ac:dyDescent="0.3">
      <c r="A247" t="str">
        <f>$A$79</f>
        <v>Other personal service</v>
      </c>
      <c r="B247" s="17">
        <f>IF(AND(C$3-B$3 &lt;&gt; 0,B79&lt;&gt;0,C79&lt;&gt;0),(EXP(LN(C79/B79)/(C$3-B$3))-1)*100,0)</f>
        <v>1.6255799614398825</v>
      </c>
      <c r="C247" s="17">
        <f t="shared" ref="C247" si="82">IF(AND(D$3-C$3 &lt;&gt; 0,C79&lt;&gt;0,D79&lt;&gt;0),(EXP(LN(D79/C79)/(D$3-C$3))-1)*100,0)</f>
        <v>13.492680131702993</v>
      </c>
      <c r="D247" s="17">
        <f t="shared" si="73"/>
        <v>-4.1109686202001061E-2</v>
      </c>
      <c r="E247" s="17">
        <f t="shared" si="74"/>
        <v>4.0904531845864511E-2</v>
      </c>
      <c r="F247" s="17">
        <f t="shared" si="71"/>
        <v>1.3558985112549493E-2</v>
      </c>
    </row>
    <row r="248" spans="1:6" x14ac:dyDescent="0.3">
      <c r="B248" s="17"/>
      <c r="C248" s="17"/>
      <c r="D248" s="17"/>
      <c r="E248" s="17"/>
      <c r="F248" s="17"/>
    </row>
    <row r="249" spans="1:6" x14ac:dyDescent="0.3">
      <c r="A249" s="23" t="str">
        <f>$A$81</f>
        <v>All industries</v>
      </c>
      <c r="B249" s="25">
        <f>IF(AND(C$3-B$3 &lt;&gt; 0,B81&lt;&gt;0,C81&lt;&gt;0),(EXP(LN(C81/B81)/(C$3-B$3))-1)*100,0)</f>
        <v>1.2156670242623679</v>
      </c>
      <c r="C249" s="25">
        <f t="shared" ref="C249" si="83">IF(AND(D$3-C$3 &lt;&gt; 0,C81&lt;&gt;0,D81&lt;&gt;0),(EXP(LN(D81/C81)/(D$3-C$3))-1)*100,0)</f>
        <v>-1.0261909268251213</v>
      </c>
      <c r="D249" s="25">
        <f>IF(AND(E$3-D$3 &lt;&gt; 0,D81&lt;&gt;0,E81&lt;&gt;0),(EXP(LN(E81/D81)/(E$3-D$3))-1)*100,0)</f>
        <v>0.65950797804075201</v>
      </c>
      <c r="E249" s="25">
        <f>IF(AND(F$3-E$3 &lt;&gt; 0,E81&lt;&gt;0,F81&lt;&gt;0),(EXP(LN(F81/E81)/(F$3-E$3))-1)*100,0)</f>
        <v>0.48914750314454913</v>
      </c>
      <c r="F249" s="25">
        <f t="shared" si="71"/>
        <v>0.54590226783473028</v>
      </c>
    </row>
    <row r="253" spans="1:6" ht="15.45" x14ac:dyDescent="0.4">
      <c r="A253" s="18" t="str">
        <f>CONCATENATE($A$1," (Continued)")</f>
        <v>Industry Table 3  Employment by Industry (SIC 2007), 2015-2035, East (Continued)</v>
      </c>
    </row>
    <row r="255" spans="1:6" x14ac:dyDescent="0.3">
      <c r="A255" s="21"/>
      <c r="B255" s="24" t="str">
        <f>CONCATENATE(B$3,"-",C$3)</f>
        <v>2015-2019</v>
      </c>
      <c r="C255" s="24" t="str">
        <f>CONCATENATE(C$3,"-",D$3)</f>
        <v>2019-2020</v>
      </c>
      <c r="D255" s="24" t="str">
        <f>CONCATENATE(D$3,"-",E$3)</f>
        <v>2020-2025</v>
      </c>
      <c r="E255" s="24" t="str">
        <f>CONCATENATE(E$3,"-",F$3)</f>
        <v>2025-2035</v>
      </c>
      <c r="F255" s="24" t="str">
        <f>CONCATENATE(D$3,"-",F$3)</f>
        <v>2020-2035</v>
      </c>
    </row>
    <row r="256" spans="1:6" x14ac:dyDescent="0.3">
      <c r="A256" s="27" t="s">
        <v>15</v>
      </c>
    </row>
    <row r="257" spans="1:6" x14ac:dyDescent="0.3">
      <c r="A257" t="str">
        <f>$A$5</f>
        <v>Agriculture, etc</v>
      </c>
      <c r="B257" s="26">
        <f t="shared" ref="B257:E276" si="84">C5-B5</f>
        <v>2.3830000002447989</v>
      </c>
      <c r="C257" s="26">
        <f t="shared" si="84"/>
        <v>-17.751000000495946</v>
      </c>
      <c r="D257" s="26">
        <f t="shared" si="84"/>
        <v>1.1600000002603998</v>
      </c>
      <c r="E257" s="26">
        <f t="shared" si="84"/>
        <v>-0.54500000011693217</v>
      </c>
      <c r="F257" s="26">
        <f>F5-D5</f>
        <v>0.61500000014346767</v>
      </c>
    </row>
    <row r="258" spans="1:6" x14ac:dyDescent="0.3">
      <c r="A258" t="str">
        <f>$A$6</f>
        <v>Coal, oil &amp; gas; Mining &amp; related</v>
      </c>
      <c r="B258" s="26">
        <f t="shared" si="84"/>
        <v>-0.49399999998926436</v>
      </c>
      <c r="C258" s="26">
        <f t="shared" si="84"/>
        <v>0.81499999999024775</v>
      </c>
      <c r="D258" s="26">
        <f t="shared" si="84"/>
        <v>-0.65600000000654113</v>
      </c>
      <c r="E258" s="26">
        <f t="shared" si="84"/>
        <v>-0.70399999999241469</v>
      </c>
      <c r="F258" s="26">
        <f t="shared" ref="F258:F321" si="85">F6-D6</f>
        <v>-1.3599999999989558</v>
      </c>
    </row>
    <row r="259" spans="1:6" x14ac:dyDescent="0.3">
      <c r="A259" t="str">
        <f>$A$7</f>
        <v>Food products</v>
      </c>
      <c r="B259" s="26">
        <f t="shared" si="84"/>
        <v>2.9140000000461157</v>
      </c>
      <c r="C259" s="26">
        <f t="shared" si="84"/>
        <v>-1.3080000001817176</v>
      </c>
      <c r="D259" s="26">
        <f t="shared" si="84"/>
        <v>2.3260000005632797</v>
      </c>
      <c r="E259" s="26">
        <f t="shared" si="84"/>
        <v>2.0839999997177969</v>
      </c>
      <c r="F259" s="26">
        <f t="shared" si="85"/>
        <v>4.4100000002810766</v>
      </c>
    </row>
    <row r="260" spans="1:6" x14ac:dyDescent="0.3">
      <c r="A260" t="str">
        <f>$A$8</f>
        <v>Beverages and tobacco</v>
      </c>
      <c r="B260" s="26">
        <f t="shared" si="84"/>
        <v>-0.30099999999359328</v>
      </c>
      <c r="C260" s="26">
        <f t="shared" si="84"/>
        <v>4.4999999988181383E-2</v>
      </c>
      <c r="D260" s="26">
        <f t="shared" si="84"/>
        <v>0.29200000003959037</v>
      </c>
      <c r="E260" s="26">
        <f t="shared" si="84"/>
        <v>0.25599999997129252</v>
      </c>
      <c r="F260" s="26">
        <f t="shared" si="85"/>
        <v>0.54800000001088289</v>
      </c>
    </row>
    <row r="261" spans="1:6" x14ac:dyDescent="0.3">
      <c r="A261" t="str">
        <f>$A$9</f>
        <v>Textiles</v>
      </c>
      <c r="B261" s="26">
        <f t="shared" si="84"/>
        <v>2.237999999987117</v>
      </c>
      <c r="C261" s="26">
        <f t="shared" si="84"/>
        <v>-0.29100000000471749</v>
      </c>
      <c r="D261" s="26">
        <f t="shared" si="84"/>
        <v>-0.6199999999223138</v>
      </c>
      <c r="E261" s="26">
        <f t="shared" si="84"/>
        <v>-0.63100000004078272</v>
      </c>
      <c r="F261" s="26">
        <f t="shared" si="85"/>
        <v>-1.2509999999630965</v>
      </c>
    </row>
    <row r="262" spans="1:6" x14ac:dyDescent="0.3">
      <c r="A262" t="str">
        <f>$A$10</f>
        <v>Wearing apparel; Leather, etc</v>
      </c>
      <c r="B262" s="26">
        <f t="shared" si="84"/>
        <v>1.0989999999985296</v>
      </c>
      <c r="C262" s="26">
        <f t="shared" si="84"/>
        <v>6.3999999995545398E-2</v>
      </c>
      <c r="D262" s="26">
        <f t="shared" si="84"/>
        <v>-0.35299999997789877</v>
      </c>
      <c r="E262" s="26">
        <f t="shared" si="84"/>
        <v>-0.3490000000061193</v>
      </c>
      <c r="F262" s="26">
        <f t="shared" si="85"/>
        <v>-0.70199999998401807</v>
      </c>
    </row>
    <row r="263" spans="1:6" x14ac:dyDescent="0.3">
      <c r="A263" t="str">
        <f>$A$11</f>
        <v xml:space="preserve">Wood and cork </v>
      </c>
      <c r="B263" s="26">
        <f t="shared" si="84"/>
        <v>4.306000000063765</v>
      </c>
      <c r="C263" s="26">
        <f t="shared" si="84"/>
        <v>0.34299999996539476</v>
      </c>
      <c r="D263" s="26">
        <f t="shared" si="84"/>
        <v>-0.77099999998543822</v>
      </c>
      <c r="E263" s="26">
        <f t="shared" si="84"/>
        <v>-1.0359999999711551</v>
      </c>
      <c r="F263" s="26">
        <f t="shared" si="85"/>
        <v>-1.8069999999565933</v>
      </c>
    </row>
    <row r="264" spans="1:6" x14ac:dyDescent="0.3">
      <c r="A264" t="str">
        <f>$A$12</f>
        <v>Paper, etc</v>
      </c>
      <c r="B264" s="26">
        <f t="shared" si="84"/>
        <v>-0.21500000000513975</v>
      </c>
      <c r="C264" s="26">
        <f t="shared" si="84"/>
        <v>-0.49399999999937894</v>
      </c>
      <c r="D264" s="26">
        <f t="shared" si="84"/>
        <v>-0.23299999996641407</v>
      </c>
      <c r="E264" s="26">
        <f t="shared" si="84"/>
        <v>-0.34300000002014741</v>
      </c>
      <c r="F264" s="26">
        <f t="shared" si="85"/>
        <v>-0.57599999998656148</v>
      </c>
    </row>
    <row r="265" spans="1:6" x14ac:dyDescent="0.3">
      <c r="A265" t="str">
        <f>$A$13</f>
        <v>Printing and recording</v>
      </c>
      <c r="B265" s="26">
        <f t="shared" si="84"/>
        <v>-0.37900000000843015</v>
      </c>
      <c r="C265" s="26">
        <f t="shared" si="84"/>
        <v>-0.70499999998742879</v>
      </c>
      <c r="D265" s="26">
        <f t="shared" si="84"/>
        <v>-0.30899999990989357</v>
      </c>
      <c r="E265" s="26">
        <f t="shared" si="84"/>
        <v>-0.76100000005630974</v>
      </c>
      <c r="F265" s="26">
        <f t="shared" si="85"/>
        <v>-1.0699999999662033</v>
      </c>
    </row>
    <row r="266" spans="1:6" x14ac:dyDescent="0.3">
      <c r="A266" t="str">
        <f>$A$14</f>
        <v>Coke and petroleum; Chemicals, etc</v>
      </c>
      <c r="B266" s="26">
        <f t="shared" si="84"/>
        <v>1.2489999999886798</v>
      </c>
      <c r="C266" s="26">
        <f t="shared" si="84"/>
        <v>-0.56100000000877692</v>
      </c>
      <c r="D266" s="26">
        <f t="shared" si="84"/>
        <v>-0.44999999990816164</v>
      </c>
      <c r="E266" s="26">
        <f t="shared" si="84"/>
        <v>-1.139000000069414</v>
      </c>
      <c r="F266" s="26">
        <f t="shared" si="85"/>
        <v>-1.5889999999775757</v>
      </c>
    </row>
    <row r="267" spans="1:6" x14ac:dyDescent="0.3">
      <c r="A267" t="str">
        <f>$A$15</f>
        <v>Pharmaceuticals</v>
      </c>
      <c r="B267" s="26">
        <f t="shared" si="84"/>
        <v>-0.57900000002429053</v>
      </c>
      <c r="C267" s="26">
        <f t="shared" si="84"/>
        <v>0.13800000002690904</v>
      </c>
      <c r="D267" s="26">
        <f t="shared" si="84"/>
        <v>0.79500000002022464</v>
      </c>
      <c r="E267" s="26">
        <f t="shared" si="84"/>
        <v>0.13399999997458334</v>
      </c>
      <c r="F267" s="26">
        <f t="shared" si="85"/>
        <v>0.92899999999480798</v>
      </c>
    </row>
    <row r="268" spans="1:6" x14ac:dyDescent="0.3">
      <c r="A268" t="str">
        <f>$A$16</f>
        <v>Rubber and plastic</v>
      </c>
      <c r="B268" s="26">
        <f t="shared" si="84"/>
        <v>-2.9129999999612242</v>
      </c>
      <c r="C268" s="26">
        <f t="shared" si="84"/>
        <v>0.75299999996327749</v>
      </c>
      <c r="D268" s="26">
        <f t="shared" si="84"/>
        <v>-4.4999999833962079E-2</v>
      </c>
      <c r="E268" s="26">
        <f t="shared" si="84"/>
        <v>-0.97100000008370735</v>
      </c>
      <c r="F268" s="26">
        <f t="shared" si="85"/>
        <v>-1.0159999999176694</v>
      </c>
    </row>
    <row r="269" spans="1:6" x14ac:dyDescent="0.3">
      <c r="A269" t="str">
        <f>$A$17</f>
        <v>Other non-metallic</v>
      </c>
      <c r="B269" s="26">
        <f t="shared" si="84"/>
        <v>2.9999999991106918E-2</v>
      </c>
      <c r="C269" s="26">
        <f t="shared" si="84"/>
        <v>-0.27300000000815317</v>
      </c>
      <c r="D269" s="26">
        <f t="shared" si="84"/>
        <v>4.0000000437574457E-3</v>
      </c>
      <c r="E269" s="26">
        <f t="shared" si="84"/>
        <v>-0.30300000002333949</v>
      </c>
      <c r="F269" s="26">
        <f t="shared" si="85"/>
        <v>-0.29899999997958204</v>
      </c>
    </row>
    <row r="270" spans="1:6" x14ac:dyDescent="0.3">
      <c r="A270" t="str">
        <f>$A$18</f>
        <v>Basic metals</v>
      </c>
      <c r="B270" s="26">
        <f t="shared" si="84"/>
        <v>0.29100000000802195</v>
      </c>
      <c r="C270" s="26">
        <f t="shared" si="84"/>
        <v>-0.26500000000481005</v>
      </c>
      <c r="D270" s="26">
        <f t="shared" si="84"/>
        <v>-7.4999999985049026E-2</v>
      </c>
      <c r="E270" s="26">
        <f t="shared" si="84"/>
        <v>-0.25900000000475054</v>
      </c>
      <c r="F270" s="26">
        <f t="shared" si="85"/>
        <v>-0.33399999998979957</v>
      </c>
    </row>
    <row r="271" spans="1:6" x14ac:dyDescent="0.3">
      <c r="A271" t="str">
        <f>$A$19</f>
        <v>Metal products</v>
      </c>
      <c r="B271" s="26">
        <f t="shared" si="84"/>
        <v>-2.4139999999604811</v>
      </c>
      <c r="C271" s="26">
        <f t="shared" si="84"/>
        <v>-3.0790000000244468</v>
      </c>
      <c r="D271" s="26">
        <f t="shared" si="84"/>
        <v>-0.74899999984289067</v>
      </c>
      <c r="E271" s="26">
        <f t="shared" si="84"/>
        <v>-2.5600000000639689</v>
      </c>
      <c r="F271" s="26">
        <f t="shared" si="85"/>
        <v>-3.3089999999068596</v>
      </c>
    </row>
    <row r="272" spans="1:6" x14ac:dyDescent="0.3">
      <c r="A272" t="str">
        <f>$A$20</f>
        <v>Computer, etc</v>
      </c>
      <c r="B272" s="26">
        <f t="shared" si="84"/>
        <v>-2.5869999999960704</v>
      </c>
      <c r="C272" s="26">
        <f t="shared" si="84"/>
        <v>0.37699999999941447</v>
      </c>
      <c r="D272" s="26">
        <f t="shared" si="84"/>
        <v>-0.22799999986686892</v>
      </c>
      <c r="E272" s="26">
        <f t="shared" si="84"/>
        <v>-2.9740000000702906</v>
      </c>
      <c r="F272" s="26">
        <f t="shared" si="85"/>
        <v>-3.2019999999371596</v>
      </c>
    </row>
    <row r="273" spans="1:6" x14ac:dyDescent="0.3">
      <c r="A273" t="str">
        <f>$A$21</f>
        <v>Electrical equipment</v>
      </c>
      <c r="B273" s="26">
        <f t="shared" si="84"/>
        <v>-0.14499999998397239</v>
      </c>
      <c r="C273" s="26">
        <f t="shared" si="84"/>
        <v>-0.70400000001651097</v>
      </c>
      <c r="D273" s="26">
        <f t="shared" si="84"/>
        <v>-5.9999999949561733E-2</v>
      </c>
      <c r="E273" s="26">
        <f t="shared" si="84"/>
        <v>-0.48100000002744636</v>
      </c>
      <c r="F273" s="26">
        <f t="shared" si="85"/>
        <v>-0.54099999997700809</v>
      </c>
    </row>
    <row r="274" spans="1:6" x14ac:dyDescent="0.3">
      <c r="A274" t="str">
        <f>$A$22</f>
        <v>Machinery n.e.c.</v>
      </c>
      <c r="B274" s="26">
        <f t="shared" si="84"/>
        <v>1.8890000000380418</v>
      </c>
      <c r="C274" s="26">
        <f t="shared" si="84"/>
        <v>-1.9100000000185666</v>
      </c>
      <c r="D274" s="26">
        <f t="shared" si="84"/>
        <v>6.6000000155742811E-2</v>
      </c>
      <c r="E274" s="26">
        <f t="shared" si="84"/>
        <v>-2.8860000000427206</v>
      </c>
      <c r="F274" s="26">
        <f t="shared" si="85"/>
        <v>-2.8199999998869778</v>
      </c>
    </row>
    <row r="275" spans="1:6" x14ac:dyDescent="0.3">
      <c r="A275" t="str">
        <f>$A$23</f>
        <v>Motor vehicles, etc</v>
      </c>
      <c r="B275" s="26">
        <f t="shared" si="84"/>
        <v>-3.2269999999980072</v>
      </c>
      <c r="C275" s="26">
        <f t="shared" si="84"/>
        <v>-0.55999999999645667</v>
      </c>
      <c r="D275" s="26">
        <f t="shared" si="84"/>
        <v>-0.28199999996511327</v>
      </c>
      <c r="E275" s="26">
        <f t="shared" si="84"/>
        <v>-0.43400000001849293</v>
      </c>
      <c r="F275" s="26">
        <f t="shared" si="85"/>
        <v>-0.71599999998360619</v>
      </c>
    </row>
    <row r="276" spans="1:6" x14ac:dyDescent="0.3">
      <c r="A276" t="str">
        <f>$A$24</f>
        <v>Other transport equipment</v>
      </c>
      <c r="B276" s="26">
        <f t="shared" si="84"/>
        <v>-1.154999999985252</v>
      </c>
      <c r="C276" s="26">
        <f t="shared" si="84"/>
        <v>-8.0000000004849525E-2</v>
      </c>
      <c r="D276" s="26">
        <f t="shared" si="84"/>
        <v>-1.565999999966583</v>
      </c>
      <c r="E276" s="26">
        <f t="shared" si="84"/>
        <v>-0.12600000002737932</v>
      </c>
      <c r="F276" s="26">
        <f t="shared" si="85"/>
        <v>-1.6919999999939623</v>
      </c>
    </row>
    <row r="277" spans="1:6" x14ac:dyDescent="0.3">
      <c r="A277" t="str">
        <f>$A$25</f>
        <v>Furniture</v>
      </c>
      <c r="B277" s="26">
        <f t="shared" ref="B277:E296" si="86">C25-B25</f>
        <v>0.74100000003255495</v>
      </c>
      <c r="C277" s="26">
        <f t="shared" si="86"/>
        <v>0.33899999997885644</v>
      </c>
      <c r="D277" s="26">
        <f t="shared" si="86"/>
        <v>-1.5699999999515786</v>
      </c>
      <c r="E277" s="26">
        <f t="shared" si="86"/>
        <v>-1.2000000000206885</v>
      </c>
      <c r="F277" s="26">
        <f t="shared" si="85"/>
        <v>-2.7699999999722671</v>
      </c>
    </row>
    <row r="278" spans="1:6" x14ac:dyDescent="0.3">
      <c r="A278" t="str">
        <f>$A$26</f>
        <v>Other manufacturing</v>
      </c>
      <c r="B278" s="26">
        <f t="shared" si="86"/>
        <v>-4.4700000000028082</v>
      </c>
      <c r="C278" s="26">
        <f t="shared" si="86"/>
        <v>-9.999999996874287E-3</v>
      </c>
      <c r="D278" s="26">
        <f t="shared" si="86"/>
        <v>-1.2659999999276961</v>
      </c>
      <c r="E278" s="26">
        <f t="shared" si="86"/>
        <v>-0.951000000037868</v>
      </c>
      <c r="F278" s="26">
        <f t="shared" si="85"/>
        <v>-2.2169999999655641</v>
      </c>
    </row>
    <row r="279" spans="1:6" x14ac:dyDescent="0.3">
      <c r="A279" t="str">
        <f>$A$27</f>
        <v>Repair and installation</v>
      </c>
      <c r="B279" s="26">
        <f t="shared" si="86"/>
        <v>6.2349999999899399</v>
      </c>
      <c r="C279" s="26">
        <f t="shared" si="86"/>
        <v>1.0629999999755775</v>
      </c>
      <c r="D279" s="26">
        <f t="shared" si="86"/>
        <v>-3.1659999998803769</v>
      </c>
      <c r="E279" s="26">
        <f t="shared" si="86"/>
        <v>-2.2130000000797079</v>
      </c>
      <c r="F279" s="26">
        <f t="shared" si="85"/>
        <v>-5.3789999999600848</v>
      </c>
    </row>
    <row r="280" spans="1:6" x14ac:dyDescent="0.3">
      <c r="A280" t="str">
        <f>$A$28</f>
        <v>Electricity, gas, etc</v>
      </c>
      <c r="B280" s="26">
        <f t="shared" si="86"/>
        <v>0.23999999999085642</v>
      </c>
      <c r="C280" s="26">
        <f t="shared" si="86"/>
        <v>-1.2870000000221626</v>
      </c>
      <c r="D280" s="26">
        <f t="shared" si="86"/>
        <v>-0.40199999994619962</v>
      </c>
      <c r="E280" s="26">
        <f t="shared" si="86"/>
        <v>-0.24100000005162947</v>
      </c>
      <c r="F280" s="26">
        <f t="shared" si="85"/>
        <v>-0.64299999999782909</v>
      </c>
    </row>
    <row r="281" spans="1:6" x14ac:dyDescent="0.3">
      <c r="A281" t="str">
        <f>$A$29</f>
        <v>Water</v>
      </c>
      <c r="B281" s="26">
        <f t="shared" si="86"/>
        <v>1.6039999999967636</v>
      </c>
      <c r="C281" s="26">
        <f t="shared" si="86"/>
        <v>-0.63400000000657641</v>
      </c>
      <c r="D281" s="26">
        <f t="shared" si="86"/>
        <v>0.33200000004057273</v>
      </c>
      <c r="E281" s="26">
        <f t="shared" si="86"/>
        <v>0.54099999994343673</v>
      </c>
      <c r="F281" s="26">
        <f t="shared" si="85"/>
        <v>0.87299999998400946</v>
      </c>
    </row>
    <row r="282" spans="1:6" x14ac:dyDescent="0.3">
      <c r="A282" t="str">
        <f>$A$30</f>
        <v>Sewerage</v>
      </c>
      <c r="B282" s="26">
        <f t="shared" si="86"/>
        <v>-2.6559999999914421</v>
      </c>
      <c r="C282" s="26">
        <f t="shared" si="86"/>
        <v>-0.36799999999348243</v>
      </c>
      <c r="D282" s="26">
        <f t="shared" si="86"/>
        <v>0.19400000002934581</v>
      </c>
      <c r="E282" s="26">
        <f t="shared" si="86"/>
        <v>0.32799999999810003</v>
      </c>
      <c r="F282" s="26">
        <f t="shared" si="85"/>
        <v>0.52200000002744584</v>
      </c>
    </row>
    <row r="283" spans="1:6" x14ac:dyDescent="0.3">
      <c r="A283" t="str">
        <f>$A$31</f>
        <v>Waste management</v>
      </c>
      <c r="B283" s="26">
        <f t="shared" si="86"/>
        <v>4.4380000000488717</v>
      </c>
      <c r="C283" s="26">
        <f t="shared" si="86"/>
        <v>-3.0540000000061518</v>
      </c>
      <c r="D283" s="26">
        <f t="shared" si="86"/>
        <v>0.79800000009849725</v>
      </c>
      <c r="E283" s="26">
        <f t="shared" si="86"/>
        <v>1.2899999999983738</v>
      </c>
      <c r="F283" s="26">
        <f t="shared" si="85"/>
        <v>2.088000000096871</v>
      </c>
    </row>
    <row r="284" spans="1:6" x14ac:dyDescent="0.3">
      <c r="A284" t="str">
        <f>$A$32</f>
        <v>Construction</v>
      </c>
      <c r="B284" s="26">
        <f t="shared" si="86"/>
        <v>-7.9119999985285858</v>
      </c>
      <c r="C284" s="26">
        <f t="shared" si="86"/>
        <v>11.135999998941273</v>
      </c>
      <c r="D284" s="26">
        <f t="shared" si="86"/>
        <v>7.4379999989435532</v>
      </c>
      <c r="E284" s="26">
        <f t="shared" si="86"/>
        <v>9.8460000006748061</v>
      </c>
      <c r="F284" s="26">
        <f t="shared" si="85"/>
        <v>17.283999999618359</v>
      </c>
    </row>
    <row r="285" spans="1:6" x14ac:dyDescent="0.3">
      <c r="A285" t="str">
        <f>$A$33</f>
        <v>Civil engineering</v>
      </c>
      <c r="B285" s="26">
        <f t="shared" si="86"/>
        <v>-1.2019999991388985</v>
      </c>
      <c r="C285" s="26">
        <f t="shared" si="86"/>
        <v>4.366999999382287</v>
      </c>
      <c r="D285" s="26">
        <f t="shared" si="86"/>
        <v>3.5779999991450637</v>
      </c>
      <c r="E285" s="26">
        <f t="shared" si="86"/>
        <v>4.5600000005502608</v>
      </c>
      <c r="F285" s="26">
        <f t="shared" si="85"/>
        <v>8.1379999996953245</v>
      </c>
    </row>
    <row r="286" spans="1:6" x14ac:dyDescent="0.3">
      <c r="A286" t="str">
        <f>$A$34</f>
        <v>Specialised construction</v>
      </c>
      <c r="B286" s="26">
        <f t="shared" si="86"/>
        <v>6.1110000028298259</v>
      </c>
      <c r="C286" s="26">
        <f t="shared" si="86"/>
        <v>17.486999997741464</v>
      </c>
      <c r="D286" s="26">
        <f t="shared" si="86"/>
        <v>13.287999997222357</v>
      </c>
      <c r="E286" s="26">
        <f t="shared" si="86"/>
        <v>17.074000001756644</v>
      </c>
      <c r="F286" s="26">
        <f t="shared" si="85"/>
        <v>30.361999998979002</v>
      </c>
    </row>
    <row r="287" spans="1:6" x14ac:dyDescent="0.3">
      <c r="A287" t="str">
        <f>$A$35</f>
        <v>Motor vehicle trade</v>
      </c>
      <c r="B287" s="26">
        <f t="shared" si="86"/>
        <v>5.3680000003930388</v>
      </c>
      <c r="C287" s="26">
        <f t="shared" si="86"/>
        <v>-8.2010000005801089</v>
      </c>
      <c r="D287" s="26">
        <f t="shared" si="86"/>
        <v>5.092000000585486</v>
      </c>
      <c r="E287" s="26">
        <f t="shared" si="86"/>
        <v>5.6629999998677363</v>
      </c>
      <c r="F287" s="26">
        <f t="shared" si="85"/>
        <v>10.755000000453222</v>
      </c>
    </row>
    <row r="288" spans="1:6" x14ac:dyDescent="0.3">
      <c r="A288" t="str">
        <f>$A$36</f>
        <v>Wholesale trade</v>
      </c>
      <c r="B288" s="26">
        <f t="shared" si="86"/>
        <v>7.8170000000408919</v>
      </c>
      <c r="C288" s="26">
        <f t="shared" si="86"/>
        <v>-4.2000000010362157</v>
      </c>
      <c r="D288" s="26">
        <f t="shared" si="86"/>
        <v>2.6100000020950347</v>
      </c>
      <c r="E288" s="26">
        <f t="shared" si="86"/>
        <v>1.3419999985408424</v>
      </c>
      <c r="F288" s="26">
        <f t="shared" si="85"/>
        <v>3.9520000006358771</v>
      </c>
    </row>
    <row r="289" spans="1:6" x14ac:dyDescent="0.3">
      <c r="A289" t="str">
        <f>$A$37</f>
        <v>Retail trade</v>
      </c>
      <c r="B289" s="26">
        <f t="shared" si="86"/>
        <v>-27.923000001748676</v>
      </c>
      <c r="C289" s="26">
        <f t="shared" si="86"/>
        <v>0.59799999497073486</v>
      </c>
      <c r="D289" s="26">
        <f t="shared" si="86"/>
        <v>-0.23099999354690226</v>
      </c>
      <c r="E289" s="26">
        <f t="shared" si="86"/>
        <v>0.75399999153182762</v>
      </c>
      <c r="F289" s="26">
        <f t="shared" si="85"/>
        <v>0.52299999798492536</v>
      </c>
    </row>
    <row r="290" spans="1:6" x14ac:dyDescent="0.3">
      <c r="A290" t="str">
        <f>$A$38</f>
        <v>Land transport, etc</v>
      </c>
      <c r="B290" s="26">
        <f t="shared" si="86"/>
        <v>19.523999998488641</v>
      </c>
      <c r="C290" s="26">
        <f t="shared" si="86"/>
        <v>-6.0329999979743718</v>
      </c>
      <c r="D290" s="26">
        <f t="shared" si="86"/>
        <v>8.5540000020622244</v>
      </c>
      <c r="E290" s="26">
        <f t="shared" si="86"/>
        <v>2.6389999997339544</v>
      </c>
      <c r="F290" s="26">
        <f t="shared" si="85"/>
        <v>11.193000001796179</v>
      </c>
    </row>
    <row r="291" spans="1:6" x14ac:dyDescent="0.3">
      <c r="A291" t="str">
        <f>$A$39</f>
        <v>Water transport</v>
      </c>
      <c r="B291" s="26">
        <f t="shared" si="86"/>
        <v>5.3999999999740589E-2</v>
      </c>
      <c r="C291" s="26">
        <f t="shared" si="86"/>
        <v>6.9999999999104445E-2</v>
      </c>
      <c r="D291" s="26">
        <f t="shared" si="86"/>
        <v>-0.13899999999100165</v>
      </c>
      <c r="E291" s="26">
        <f t="shared" si="86"/>
        <v>-2.6000000006139334E-2</v>
      </c>
      <c r="F291" s="26">
        <f t="shared" si="85"/>
        <v>-0.16499999999714099</v>
      </c>
    </row>
    <row r="292" spans="1:6" x14ac:dyDescent="0.3">
      <c r="A292" t="str">
        <f>$A$40</f>
        <v>Air transport</v>
      </c>
      <c r="B292" s="26">
        <f t="shared" si="86"/>
        <v>2.2250000000065215</v>
      </c>
      <c r="C292" s="26">
        <f t="shared" si="86"/>
        <v>-1.2030000000200705</v>
      </c>
      <c r="D292" s="26">
        <f t="shared" si="86"/>
        <v>2.1190000001231377</v>
      </c>
      <c r="E292" s="26">
        <f t="shared" si="86"/>
        <v>0.52499999990345447</v>
      </c>
      <c r="F292" s="26">
        <f t="shared" si="85"/>
        <v>2.6440000000265922</v>
      </c>
    </row>
    <row r="293" spans="1:6" x14ac:dyDescent="0.3">
      <c r="A293" t="str">
        <f>$A$41</f>
        <v>Warehousing, etc</v>
      </c>
      <c r="B293" s="26">
        <f t="shared" si="86"/>
        <v>13.487000000127139</v>
      </c>
      <c r="C293" s="26">
        <f t="shared" si="86"/>
        <v>-1.3300000000804175</v>
      </c>
      <c r="D293" s="26">
        <f t="shared" si="86"/>
        <v>1.9730000005892805</v>
      </c>
      <c r="E293" s="26">
        <f t="shared" si="86"/>
        <v>0.8759999997999941</v>
      </c>
      <c r="F293" s="26">
        <f t="shared" si="85"/>
        <v>2.8490000003892746</v>
      </c>
    </row>
    <row r="294" spans="1:6" x14ac:dyDescent="0.3">
      <c r="A294" t="str">
        <f>$A$42</f>
        <v>Postal and courier</v>
      </c>
      <c r="B294" s="26">
        <f t="shared" si="86"/>
        <v>0.91899999999008131</v>
      </c>
      <c r="C294" s="26">
        <f t="shared" si="86"/>
        <v>0.55699999974712</v>
      </c>
      <c r="D294" s="26">
        <f t="shared" si="86"/>
        <v>1.083000000556396</v>
      </c>
      <c r="E294" s="26">
        <f t="shared" si="86"/>
        <v>0.73199999969472529</v>
      </c>
      <c r="F294" s="26">
        <f t="shared" si="85"/>
        <v>1.8150000002511213</v>
      </c>
    </row>
    <row r="295" spans="1:6" x14ac:dyDescent="0.3">
      <c r="A295" t="str">
        <f>$A$43</f>
        <v>Accommodation</v>
      </c>
      <c r="B295" s="26">
        <f t="shared" si="86"/>
        <v>2.6020000001299479</v>
      </c>
      <c r="C295" s="26">
        <f t="shared" si="86"/>
        <v>-0.2100000007863585</v>
      </c>
      <c r="D295" s="26">
        <f t="shared" si="86"/>
        <v>5.9960000010236243</v>
      </c>
      <c r="E295" s="26">
        <f t="shared" si="86"/>
        <v>2.5539999987814994</v>
      </c>
      <c r="F295" s="26">
        <f t="shared" si="85"/>
        <v>8.5499999998051237</v>
      </c>
    </row>
    <row r="296" spans="1:6" x14ac:dyDescent="0.3">
      <c r="A296" t="str">
        <f>$A$44</f>
        <v>Food and beverage services</v>
      </c>
      <c r="B296" s="26">
        <f t="shared" si="86"/>
        <v>10.021000000101196</v>
      </c>
      <c r="C296" s="26">
        <f t="shared" si="86"/>
        <v>3.1689999969252654</v>
      </c>
      <c r="D296" s="26">
        <f t="shared" si="86"/>
        <v>-0.30799999653208943</v>
      </c>
      <c r="E296" s="26">
        <f t="shared" si="86"/>
        <v>23.082999995751123</v>
      </c>
      <c r="F296" s="26">
        <f t="shared" si="85"/>
        <v>22.774999999219034</v>
      </c>
    </row>
    <row r="297" spans="1:6" x14ac:dyDescent="0.3">
      <c r="A297" t="str">
        <f>$A$45</f>
        <v>Publishing activities</v>
      </c>
      <c r="B297" s="26">
        <f t="shared" ref="B297:E297" si="87">C45-B45</f>
        <v>-2.5440000000711116</v>
      </c>
      <c r="C297" s="26">
        <f t="shared" si="87"/>
        <v>1.3620000000817036</v>
      </c>
      <c r="D297" s="26">
        <f t="shared" si="87"/>
        <v>-0.69699999973566662</v>
      </c>
      <c r="E297" s="26">
        <f t="shared" si="87"/>
        <v>-0.29800000022895645</v>
      </c>
      <c r="F297" s="26">
        <f t="shared" si="85"/>
        <v>-0.99499999996462307</v>
      </c>
    </row>
    <row r="298" spans="1:6" x14ac:dyDescent="0.3">
      <c r="A298" t="str">
        <f>$A$46</f>
        <v>Film and music</v>
      </c>
      <c r="B298" s="26">
        <f t="shared" ref="B298:C322" si="88">C46-B46</f>
        <v>-7.2750000000717367</v>
      </c>
      <c r="C298" s="26">
        <f t="shared" si="88"/>
        <v>0.66600000000001991</v>
      </c>
      <c r="D298" s="26">
        <f t="shared" ref="D298:E298" si="89">E46-D46</f>
        <v>-0.23499999988364095</v>
      </c>
      <c r="E298" s="26">
        <f t="shared" si="89"/>
        <v>-5.800000008506867E-2</v>
      </c>
      <c r="F298" s="26">
        <f t="shared" si="85"/>
        <v>-0.29299999996870962</v>
      </c>
    </row>
    <row r="299" spans="1:6" x14ac:dyDescent="0.3">
      <c r="A299" t="str">
        <f>$A$47</f>
        <v>Broadcasting</v>
      </c>
      <c r="B299" s="26">
        <f t="shared" si="88"/>
        <v>2.3409999999859368</v>
      </c>
      <c r="C299" s="26">
        <f t="shared" si="88"/>
        <v>6.2000000012021772E-2</v>
      </c>
      <c r="D299" s="26">
        <f t="shared" ref="D299:E299" si="90">E47-D47</f>
        <v>-0.10599999997127352</v>
      </c>
      <c r="E299" s="26">
        <f t="shared" si="90"/>
        <v>-7.1000000022094056E-2</v>
      </c>
      <c r="F299" s="26">
        <f t="shared" si="85"/>
        <v>-0.17699999999336757</v>
      </c>
    </row>
    <row r="300" spans="1:6" x14ac:dyDescent="0.3">
      <c r="A300" t="str">
        <f>$A$48</f>
        <v>Telecommunications</v>
      </c>
      <c r="B300" s="26">
        <f t="shared" si="88"/>
        <v>3.8319999999171781</v>
      </c>
      <c r="C300" s="26">
        <f t="shared" si="88"/>
        <v>-1.0270000000120802</v>
      </c>
      <c r="D300" s="26">
        <f t="shared" ref="D300:E300" si="91">E48-D48</f>
        <v>0.71500000014995635</v>
      </c>
      <c r="E300" s="26">
        <f t="shared" si="91"/>
        <v>0.84299999977305262</v>
      </c>
      <c r="F300" s="26">
        <f t="shared" si="85"/>
        <v>1.557999999923009</v>
      </c>
    </row>
    <row r="301" spans="1:6" x14ac:dyDescent="0.3">
      <c r="A301" t="str">
        <f>$A$49</f>
        <v>Computing services</v>
      </c>
      <c r="B301" s="26">
        <f t="shared" si="88"/>
        <v>1.4229999997764011</v>
      </c>
      <c r="C301" s="26">
        <f t="shared" si="88"/>
        <v>9.3000000244657599E-2</v>
      </c>
      <c r="D301" s="26">
        <f t="shared" ref="D301:E301" si="92">E49-D49</f>
        <v>2.7410000004929813</v>
      </c>
      <c r="E301" s="26">
        <f t="shared" si="92"/>
        <v>3.3239999992136546</v>
      </c>
      <c r="F301" s="26">
        <f t="shared" si="85"/>
        <v>6.0649999997066359</v>
      </c>
    </row>
    <row r="302" spans="1:6" x14ac:dyDescent="0.3">
      <c r="A302" t="str">
        <f>$A$50</f>
        <v>Information services</v>
      </c>
      <c r="B302" s="26">
        <f t="shared" si="88"/>
        <v>-3.9109999999710894</v>
      </c>
      <c r="C302" s="26">
        <f t="shared" si="88"/>
        <v>1.4999999990306101E-2</v>
      </c>
      <c r="D302" s="26">
        <f t="shared" ref="D302:E302" si="93">E50-D50</f>
        <v>0.11400000002616517</v>
      </c>
      <c r="E302" s="26">
        <f t="shared" si="93"/>
        <v>0.13899999997437096</v>
      </c>
      <c r="F302" s="26">
        <f t="shared" si="85"/>
        <v>0.25300000000053613</v>
      </c>
    </row>
    <row r="303" spans="1:6" x14ac:dyDescent="0.3">
      <c r="A303" t="str">
        <f>$A$51</f>
        <v>Financial services</v>
      </c>
      <c r="B303" s="26">
        <f t="shared" si="88"/>
        <v>-9.2950000000679758</v>
      </c>
      <c r="C303" s="26">
        <f t="shared" si="88"/>
        <v>-1.9999999532487323E-3</v>
      </c>
      <c r="D303" s="26">
        <f t="shared" ref="D303:E303" si="94">E51-D51</f>
        <v>-0.70199999973778304</v>
      </c>
      <c r="E303" s="26">
        <f t="shared" si="94"/>
        <v>-1.5690000002284084</v>
      </c>
      <c r="F303" s="26">
        <f t="shared" si="85"/>
        <v>-2.2709999999661914</v>
      </c>
    </row>
    <row r="304" spans="1:6" x14ac:dyDescent="0.3">
      <c r="A304" t="str">
        <f>$A$52</f>
        <v>Insurance and pensions</v>
      </c>
      <c r="B304" s="26">
        <f t="shared" si="88"/>
        <v>4.5869999999035507</v>
      </c>
      <c r="C304" s="26">
        <f t="shared" si="88"/>
        <v>0.10700000005825316</v>
      </c>
      <c r="D304" s="26">
        <f t="shared" ref="D304:E304" si="95">E52-D52</f>
        <v>-0.5779999998128158</v>
      </c>
      <c r="E304" s="26">
        <f t="shared" si="95"/>
        <v>-1.3180000001674355</v>
      </c>
      <c r="F304" s="26">
        <f t="shared" si="85"/>
        <v>-1.8959999999802513</v>
      </c>
    </row>
    <row r="305" spans="1:6" x14ac:dyDescent="0.3">
      <c r="A305" t="str">
        <f>$A$53</f>
        <v>Auxiliary financial services</v>
      </c>
      <c r="B305" s="26">
        <f t="shared" si="88"/>
        <v>5.9509999997496621</v>
      </c>
      <c r="C305" s="26">
        <f t="shared" si="88"/>
        <v>2.3010000001665603</v>
      </c>
      <c r="D305" s="26">
        <f t="shared" ref="D305:E305" si="96">E53-D53</f>
        <v>-1.3799999992558938</v>
      </c>
      <c r="E305" s="26">
        <f t="shared" si="96"/>
        <v>-4.2450000006110784</v>
      </c>
      <c r="F305" s="26">
        <f t="shared" si="85"/>
        <v>-5.6249999998669722</v>
      </c>
    </row>
    <row r="306" spans="1:6" x14ac:dyDescent="0.3">
      <c r="A306" t="str">
        <f>$A$54</f>
        <v>Real estate</v>
      </c>
      <c r="B306" s="26">
        <f t="shared" si="88"/>
        <v>5.8130000000425284</v>
      </c>
      <c r="C306" s="26">
        <f t="shared" si="88"/>
        <v>1.2869999996571266</v>
      </c>
      <c r="D306" s="26">
        <f t="shared" ref="D306:E306" si="97">E54-D54</f>
        <v>1.1630000006698467</v>
      </c>
      <c r="E306" s="26">
        <f t="shared" si="97"/>
        <v>7.6789999993487683</v>
      </c>
      <c r="F306" s="26">
        <f t="shared" si="85"/>
        <v>8.842000000018615</v>
      </c>
    </row>
    <row r="307" spans="1:6" x14ac:dyDescent="0.3">
      <c r="A307" t="str">
        <f>$A$55</f>
        <v>Legal and accounting</v>
      </c>
      <c r="B307" s="26">
        <f t="shared" si="88"/>
        <v>9.6619999996590096</v>
      </c>
      <c r="C307" s="26">
        <f t="shared" si="88"/>
        <v>-6.4029999990821835</v>
      </c>
      <c r="D307" s="26">
        <f t="shared" ref="D307:E307" si="98">E55-D55</f>
        <v>5.0200000007823604</v>
      </c>
      <c r="E307" s="26">
        <f t="shared" si="98"/>
        <v>6.0619999992307925</v>
      </c>
      <c r="F307" s="26">
        <f t="shared" si="85"/>
        <v>11.082000000013153</v>
      </c>
    </row>
    <row r="308" spans="1:6" x14ac:dyDescent="0.3">
      <c r="A308" t="str">
        <f>$A$56</f>
        <v>Head offices, etc</v>
      </c>
      <c r="B308" s="26">
        <f t="shared" si="88"/>
        <v>0.86699999972492492</v>
      </c>
      <c r="C308" s="26">
        <f t="shared" si="88"/>
        <v>-2.0119999992843276</v>
      </c>
      <c r="D308" s="26">
        <f t="shared" ref="D308:E308" si="99">E56-D56</f>
        <v>2.7110000007771475</v>
      </c>
      <c r="E308" s="26">
        <f t="shared" si="99"/>
        <v>2.8229999991851145</v>
      </c>
      <c r="F308" s="26">
        <f t="shared" si="85"/>
        <v>5.533999999962262</v>
      </c>
    </row>
    <row r="309" spans="1:6" x14ac:dyDescent="0.3">
      <c r="A309" t="str">
        <f>$A$57</f>
        <v>Architectural and related</v>
      </c>
      <c r="B309" s="26">
        <f t="shared" si="88"/>
        <v>16.75799999954274</v>
      </c>
      <c r="C309" s="26">
        <f t="shared" si="88"/>
        <v>-0.2669999996707304</v>
      </c>
      <c r="D309" s="26">
        <f t="shared" ref="D309:E309" si="100">E57-D57</f>
        <v>1.2400000006740299</v>
      </c>
      <c r="E309" s="26">
        <f t="shared" si="100"/>
        <v>3.4939999992235045</v>
      </c>
      <c r="F309" s="26">
        <f t="shared" si="85"/>
        <v>4.7339999998975344</v>
      </c>
    </row>
    <row r="310" spans="1:6" x14ac:dyDescent="0.3">
      <c r="A310" t="str">
        <f>$A$58</f>
        <v>Scientific research and development</v>
      </c>
      <c r="B310" s="26">
        <f t="shared" si="88"/>
        <v>11.22499999960219</v>
      </c>
      <c r="C310" s="26">
        <f t="shared" si="88"/>
        <v>-5.7829999993264423</v>
      </c>
      <c r="D310" s="26">
        <f t="shared" ref="D310:E310" si="101">E58-D58</f>
        <v>3.1899999998089115</v>
      </c>
      <c r="E310" s="26">
        <f t="shared" si="101"/>
        <v>5.9609999999713494</v>
      </c>
      <c r="F310" s="26">
        <f t="shared" si="85"/>
        <v>9.1509999997802609</v>
      </c>
    </row>
    <row r="311" spans="1:6" x14ac:dyDescent="0.3">
      <c r="A311" t="str">
        <f>$A$59</f>
        <v>Advertising, etc</v>
      </c>
      <c r="B311" s="26">
        <f t="shared" si="88"/>
        <v>-0.87900000003716094</v>
      </c>
      <c r="C311" s="26">
        <f t="shared" si="88"/>
        <v>-1.6479999997757329</v>
      </c>
      <c r="D311" s="26">
        <f t="shared" ref="D311:E311" si="102">E59-D59</f>
        <v>0.97800000019434918</v>
      </c>
      <c r="E311" s="26">
        <f t="shared" si="102"/>
        <v>1.8629999998461919</v>
      </c>
      <c r="F311" s="26">
        <f t="shared" si="85"/>
        <v>2.8410000000405411</v>
      </c>
    </row>
    <row r="312" spans="1:6" x14ac:dyDescent="0.3">
      <c r="A312" t="str">
        <f>$A$60</f>
        <v>Other professional</v>
      </c>
      <c r="B312" s="26">
        <f t="shared" si="88"/>
        <v>10.357999999810524</v>
      </c>
      <c r="C312" s="26">
        <f t="shared" si="88"/>
        <v>-4.5439999997279372</v>
      </c>
      <c r="D312" s="26">
        <f t="shared" ref="D312:E312" si="103">E60-D60</f>
        <v>2.4370000005237458</v>
      </c>
      <c r="E312" s="26">
        <f t="shared" si="103"/>
        <v>4.6189999996104945</v>
      </c>
      <c r="F312" s="26">
        <f t="shared" si="85"/>
        <v>7.0560000001342402</v>
      </c>
    </row>
    <row r="313" spans="1:6" x14ac:dyDescent="0.3">
      <c r="A313" t="str">
        <f>$A$61</f>
        <v>Veterinary</v>
      </c>
      <c r="B313" s="26">
        <f t="shared" si="88"/>
        <v>5.3669999999357252</v>
      </c>
      <c r="C313" s="26">
        <f t="shared" si="88"/>
        <v>-1.4839999995388702</v>
      </c>
      <c r="D313" s="26">
        <f t="shared" ref="D313:E313" si="104">E61-D61</f>
        <v>1.0589999998072841</v>
      </c>
      <c r="E313" s="26">
        <f t="shared" si="104"/>
        <v>2.0400000000448397</v>
      </c>
      <c r="F313" s="26">
        <f t="shared" si="85"/>
        <v>3.0989999998521238</v>
      </c>
    </row>
    <row r="314" spans="1:6" x14ac:dyDescent="0.3">
      <c r="A314" t="str">
        <f>$A$62</f>
        <v>Rental and leasing</v>
      </c>
      <c r="B314" s="26">
        <f t="shared" si="88"/>
        <v>-12.740000000004731</v>
      </c>
      <c r="C314" s="26">
        <f t="shared" si="88"/>
        <v>-0.49000000002100919</v>
      </c>
      <c r="D314" s="26">
        <f t="shared" ref="D314:E314" si="105">E62-D62</f>
        <v>0.83200000010223185</v>
      </c>
      <c r="E314" s="26">
        <f t="shared" si="105"/>
        <v>1.1099999998969334</v>
      </c>
      <c r="F314" s="26">
        <f t="shared" si="85"/>
        <v>1.9419999999991653</v>
      </c>
    </row>
    <row r="315" spans="1:6" x14ac:dyDescent="0.3">
      <c r="A315" t="str">
        <f>$A$63</f>
        <v>Employment activities</v>
      </c>
      <c r="B315" s="26">
        <f t="shared" si="88"/>
        <v>1.6820000001566342</v>
      </c>
      <c r="C315" s="26">
        <f t="shared" si="88"/>
        <v>-7.7520000010032533</v>
      </c>
      <c r="D315" s="26">
        <f t="shared" ref="D315:E315" si="106">E63-D63</f>
        <v>6.9820000010613086</v>
      </c>
      <c r="E315" s="26">
        <f t="shared" si="106"/>
        <v>9.0499999995016509</v>
      </c>
      <c r="F315" s="26">
        <f t="shared" si="85"/>
        <v>16.032000000562959</v>
      </c>
    </row>
    <row r="316" spans="1:6" x14ac:dyDescent="0.3">
      <c r="A316" t="str">
        <f>$A$64</f>
        <v>Travel, etc</v>
      </c>
      <c r="B316" s="26">
        <f t="shared" si="88"/>
        <v>0.10400000000362919</v>
      </c>
      <c r="C316" s="26">
        <f t="shared" si="88"/>
        <v>-0.37400000005296263</v>
      </c>
      <c r="D316" s="26">
        <f t="shared" ref="D316:E316" si="107">E64-D64</f>
        <v>0.37800000007795997</v>
      </c>
      <c r="E316" s="26">
        <f t="shared" si="107"/>
        <v>0.50399999996587308</v>
      </c>
      <c r="F316" s="26">
        <f t="shared" si="85"/>
        <v>0.88200000004383305</v>
      </c>
    </row>
    <row r="317" spans="1:6" x14ac:dyDescent="0.3">
      <c r="A317" t="str">
        <f>$A$65</f>
        <v>Security, etc</v>
      </c>
      <c r="B317" s="26">
        <f t="shared" si="88"/>
        <v>6.8040000000696672</v>
      </c>
      <c r="C317" s="26">
        <f t="shared" si="88"/>
        <v>-0.79700000014034345</v>
      </c>
      <c r="D317" s="26">
        <f t="shared" ref="D317:E317" si="108">E65-D65</f>
        <v>1.1380000001739106</v>
      </c>
      <c r="E317" s="26">
        <f t="shared" si="108"/>
        <v>1.4969999999063432</v>
      </c>
      <c r="F317" s="26">
        <f t="shared" si="85"/>
        <v>2.6350000000802538</v>
      </c>
    </row>
    <row r="318" spans="1:6" x14ac:dyDescent="0.3">
      <c r="A318" t="str">
        <f>$A$66</f>
        <v>Services to buildings</v>
      </c>
      <c r="B318" s="26">
        <f t="shared" si="88"/>
        <v>6.8869999999741367</v>
      </c>
      <c r="C318" s="26">
        <f t="shared" si="88"/>
        <v>-7.1920000015870045</v>
      </c>
      <c r="D318" s="26">
        <f t="shared" ref="D318:E318" si="109">E66-D66</f>
        <v>5.9490000015241264</v>
      </c>
      <c r="E318" s="26">
        <f t="shared" si="109"/>
        <v>7.6029999987661796</v>
      </c>
      <c r="F318" s="26">
        <f t="shared" si="85"/>
        <v>13.552000000290306</v>
      </c>
    </row>
    <row r="319" spans="1:6" x14ac:dyDescent="0.3">
      <c r="A319" t="str">
        <f>$A$67</f>
        <v>Office administrative</v>
      </c>
      <c r="B319" s="26">
        <f t="shared" si="88"/>
        <v>4.1580000000947805</v>
      </c>
      <c r="C319" s="26">
        <f t="shared" si="88"/>
        <v>-1.9110000003106578</v>
      </c>
      <c r="D319" s="26">
        <f t="shared" ref="D319:E319" si="110">E67-D67</f>
        <v>2.7370000004261925</v>
      </c>
      <c r="E319" s="26">
        <f t="shared" si="110"/>
        <v>3.6449999997483573</v>
      </c>
      <c r="F319" s="26">
        <f t="shared" si="85"/>
        <v>6.3820000001745498</v>
      </c>
    </row>
    <row r="320" spans="1:6" x14ac:dyDescent="0.3">
      <c r="A320" t="str">
        <f>$A$68</f>
        <v>Public administration and defence</v>
      </c>
      <c r="B320" s="26">
        <f t="shared" si="88"/>
        <v>-6.1160000000731713</v>
      </c>
      <c r="C320" s="26">
        <f t="shared" si="88"/>
        <v>2.2910000005527564</v>
      </c>
      <c r="D320" s="26">
        <f t="shared" ref="D320:E320" si="111">E68-D68</f>
        <v>5.8610000006202938</v>
      </c>
      <c r="E320" s="26">
        <f t="shared" si="111"/>
        <v>5.7269999993540779</v>
      </c>
      <c r="F320" s="26">
        <f t="shared" si="85"/>
        <v>11.587999999974372</v>
      </c>
    </row>
    <row r="321" spans="1:6" x14ac:dyDescent="0.3">
      <c r="A321" t="str">
        <f>$A$69</f>
        <v xml:space="preserve">Education </v>
      </c>
      <c r="B321" s="26">
        <f t="shared" si="88"/>
        <v>18.232999999339256</v>
      </c>
      <c r="C321" s="26">
        <f t="shared" si="88"/>
        <v>1.8430000071240329</v>
      </c>
      <c r="D321" s="26">
        <f t="shared" ref="D321:E321" si="112">E69-D69</f>
        <v>-4.0830000202919337</v>
      </c>
      <c r="E321" s="26">
        <f t="shared" si="112"/>
        <v>4.6100000194519453</v>
      </c>
      <c r="F321" s="26">
        <f t="shared" si="85"/>
        <v>0.52699999916001161</v>
      </c>
    </row>
    <row r="322" spans="1:6" x14ac:dyDescent="0.3">
      <c r="A322" t="str">
        <f>$A$70</f>
        <v>Health</v>
      </c>
      <c r="B322" s="26">
        <f t="shared" si="88"/>
        <v>31.738999999470963</v>
      </c>
      <c r="C322" s="26">
        <f t="shared" si="88"/>
        <v>-0.37199999727886279</v>
      </c>
      <c r="D322" s="26">
        <f t="shared" ref="D322:E322" si="113">E70-D70</f>
        <v>21.011999997512646</v>
      </c>
      <c r="E322" s="26">
        <f t="shared" si="113"/>
        <v>32.849000001582226</v>
      </c>
      <c r="F322" s="26">
        <f t="shared" ref="F322:F333" si="114">F70-D70</f>
        <v>53.860999999094872</v>
      </c>
    </row>
    <row r="323" spans="1:6" x14ac:dyDescent="0.3">
      <c r="A323" t="str">
        <f>$A$71</f>
        <v>Residential care</v>
      </c>
      <c r="B323" s="26">
        <f t="shared" ref="B323:C323" si="115">C71-B71</f>
        <v>7.2419999998147233</v>
      </c>
      <c r="C323" s="26">
        <f t="shared" si="115"/>
        <v>-6.4509999984814357</v>
      </c>
      <c r="D323" s="26">
        <f t="shared" ref="D323:D331" si="116">E71-D71</f>
        <v>4.6859999989615204</v>
      </c>
      <c r="E323" s="26">
        <f t="shared" ref="E323:E331" si="117">F71-E71</f>
        <v>5.267000000560472</v>
      </c>
      <c r="F323" s="26">
        <f t="shared" si="114"/>
        <v>9.9529999995219924</v>
      </c>
    </row>
    <row r="324" spans="1:6" x14ac:dyDescent="0.3">
      <c r="A324" t="str">
        <f>$A$72</f>
        <v>Social work</v>
      </c>
      <c r="B324" s="26">
        <f t="shared" ref="B324:C324" si="118">C72-B72</f>
        <v>-0.25700000006730761</v>
      </c>
      <c r="C324" s="26">
        <f t="shared" si="118"/>
        <v>-6.4819999985992069</v>
      </c>
      <c r="D324" s="26">
        <f t="shared" si="116"/>
        <v>4.1569999988293347</v>
      </c>
      <c r="E324" s="26">
        <f t="shared" si="117"/>
        <v>3.5760000008886408</v>
      </c>
      <c r="F324" s="26">
        <f t="shared" si="114"/>
        <v>7.7329999997179755</v>
      </c>
    </row>
    <row r="325" spans="1:6" x14ac:dyDescent="0.3">
      <c r="A325" t="str">
        <f>$A$73</f>
        <v>Arts and entertainment</v>
      </c>
      <c r="B325" s="26">
        <f t="shared" ref="B325:C325" si="119">C73-B73</f>
        <v>9.8759999999152299</v>
      </c>
      <c r="C325" s="26">
        <f t="shared" si="119"/>
        <v>5.5780000001894816</v>
      </c>
      <c r="D325" s="26">
        <f t="shared" si="116"/>
        <v>-3.1849999997593805</v>
      </c>
      <c r="E325" s="26">
        <f t="shared" si="117"/>
        <v>-0.22200000013343768</v>
      </c>
      <c r="F325" s="26">
        <f t="shared" si="114"/>
        <v>-3.4069999998928182</v>
      </c>
    </row>
    <row r="326" spans="1:6" x14ac:dyDescent="0.3">
      <c r="A326" t="str">
        <f>$A$74</f>
        <v>Libraries, etc</v>
      </c>
      <c r="B326" s="26">
        <f t="shared" ref="B326:C326" si="120">C74-B74</f>
        <v>-0.75300000011659485</v>
      </c>
      <c r="C326" s="26">
        <f t="shared" si="120"/>
        <v>5.9250000001414644</v>
      </c>
      <c r="D326" s="26">
        <f t="shared" si="116"/>
        <v>-3.0409999997885642</v>
      </c>
      <c r="E326" s="26">
        <f t="shared" si="117"/>
        <v>-4.5000000125327233E-2</v>
      </c>
      <c r="F326" s="26">
        <f t="shared" si="114"/>
        <v>-3.0859999999138914</v>
      </c>
    </row>
    <row r="327" spans="1:6" x14ac:dyDescent="0.3">
      <c r="A327" t="str">
        <f>$A$75</f>
        <v>Gambling and betting</v>
      </c>
      <c r="B327" s="26">
        <f t="shared" ref="B327:C327" si="121">C75-B75</f>
        <v>-3.848000000008855</v>
      </c>
      <c r="C327" s="26">
        <f t="shared" si="121"/>
        <v>0.74500000001401556</v>
      </c>
      <c r="D327" s="26">
        <f t="shared" si="116"/>
        <v>0.10600000004728294</v>
      </c>
      <c r="E327" s="26">
        <f t="shared" si="117"/>
        <v>0.4649999999675849</v>
      </c>
      <c r="F327" s="26">
        <f t="shared" si="114"/>
        <v>0.57100000001486784</v>
      </c>
    </row>
    <row r="328" spans="1:6" x14ac:dyDescent="0.3">
      <c r="A328" t="str">
        <f>$A$76</f>
        <v>Sport and recreation</v>
      </c>
      <c r="B328" s="26">
        <f t="shared" ref="B328:C328" si="122">C76-B76</f>
        <v>7.0399999998777076</v>
      </c>
      <c r="C328" s="26">
        <f t="shared" si="122"/>
        <v>3.372000000144773</v>
      </c>
      <c r="D328" s="26">
        <f t="shared" si="116"/>
        <v>0.71600000052531954</v>
      </c>
      <c r="E328" s="26">
        <f t="shared" si="117"/>
        <v>3.4019999996140058</v>
      </c>
      <c r="F328" s="26">
        <f t="shared" si="114"/>
        <v>4.1180000001393253</v>
      </c>
    </row>
    <row r="329" spans="1:6" x14ac:dyDescent="0.3">
      <c r="A329" t="str">
        <f>$A$77</f>
        <v>Membership organisations</v>
      </c>
      <c r="B329" s="26">
        <f t="shared" ref="B329:C329" si="123">C77-B77</f>
        <v>-7.960000000071453</v>
      </c>
      <c r="C329" s="26">
        <f t="shared" si="123"/>
        <v>1.8990000003759846</v>
      </c>
      <c r="D329" s="26">
        <f t="shared" si="116"/>
        <v>-0.17699999982804115</v>
      </c>
      <c r="E329" s="26">
        <f t="shared" si="117"/>
        <v>1.1999999860037747E-2</v>
      </c>
      <c r="F329" s="26">
        <f t="shared" si="114"/>
        <v>-0.16499999996800341</v>
      </c>
    </row>
    <row r="330" spans="1:6" x14ac:dyDescent="0.3">
      <c r="A330" t="str">
        <f>$A$78</f>
        <v>Repair of goods</v>
      </c>
      <c r="B330" s="26">
        <f t="shared" ref="B330:C330" si="124">C78-B78</f>
        <v>-7.3150000001255453</v>
      </c>
      <c r="C330" s="26">
        <f t="shared" si="124"/>
        <v>1.1249999999605489</v>
      </c>
      <c r="D330" s="26">
        <f t="shared" si="116"/>
        <v>0.21700000014132925</v>
      </c>
      <c r="E330" s="26">
        <f t="shared" si="117"/>
        <v>0.31799999988427707</v>
      </c>
      <c r="F330" s="26">
        <f t="shared" si="114"/>
        <v>0.53500000002560633</v>
      </c>
    </row>
    <row r="331" spans="1:6" x14ac:dyDescent="0.3">
      <c r="A331" t="str">
        <f>$A$79</f>
        <v>Other personal service</v>
      </c>
      <c r="B331" s="26">
        <f>C79-B79</f>
        <v>3.0549999999113737</v>
      </c>
      <c r="C331" s="26">
        <f t="shared" ref="C331" si="125">D79-C79</f>
        <v>6.5989999988762733</v>
      </c>
      <c r="D331" s="26">
        <f t="shared" si="116"/>
        <v>-0.11399999897560065</v>
      </c>
      <c r="E331" s="26">
        <f t="shared" si="117"/>
        <v>0.22699999976695295</v>
      </c>
      <c r="F331" s="26">
        <f t="shared" si="114"/>
        <v>0.11300000079135231</v>
      </c>
    </row>
    <row r="332" spans="1:6" x14ac:dyDescent="0.3">
      <c r="B332" s="26"/>
      <c r="C332" s="26"/>
      <c r="D332" s="26"/>
      <c r="E332" s="26"/>
      <c r="F332" s="26"/>
    </row>
    <row r="333" spans="1:6" x14ac:dyDescent="0.3">
      <c r="A333" s="23" t="str">
        <f>$A$81</f>
        <v>All industries</v>
      </c>
      <c r="B333" s="28">
        <f t="shared" ref="B333" si="126">C81-B81</f>
        <v>151.32399999880727</v>
      </c>
      <c r="C333" s="28">
        <f t="shared" ref="C333" si="127">D81-C81</f>
        <v>-32.910999999919113</v>
      </c>
      <c r="D333" s="28">
        <f>E81-D81</f>
        <v>106.06000000160338</v>
      </c>
      <c r="E333" s="28">
        <f>F81-E81</f>
        <v>164.03099999789492</v>
      </c>
      <c r="F333" s="28">
        <f t="shared" si="114"/>
        <v>270.09099999949831</v>
      </c>
    </row>
  </sheetData>
  <pageMargins left="0.7" right="0.7" top="0.75" bottom="0.75" header="0.3" footer="0.3"/>
  <pageSetup paperSize="9" scale="69" orientation="portrait" r:id="rId1"/>
  <rowBreaks count="3" manualBreakCount="3">
    <brk id="81" max="5" man="1"/>
    <brk id="165" max="5" man="1"/>
    <brk id="250" max="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122"/>
  <sheetViews>
    <sheetView showGridLines="0" zoomScale="85" zoomScaleNormal="85" workbookViewId="0"/>
  </sheetViews>
  <sheetFormatPr defaultRowHeight="12.45" x14ac:dyDescent="0.3"/>
  <cols>
    <col min="1" max="1" width="26.69140625" customWidth="1"/>
    <col min="2" max="6" width="11.69140625" customWidth="1"/>
    <col min="7" max="7" width="5.69140625" customWidth="1"/>
    <col min="8" max="12" width="11.69140625" customWidth="1"/>
  </cols>
  <sheetData>
    <row r="1" spans="1:12" ht="15.45" x14ac:dyDescent="0.4">
      <c r="A1" s="18" t="str">
        <f>CONCATENATE("Industry Table 4  Employment by Industry Group in Sector (SIC 2007), ",B$5,"-",F$5,", ",Info!B5)</f>
        <v>Industry Table 4  Employment by Industry Group in Sector (SIC 2007), 2015-2035, East</v>
      </c>
    </row>
    <row r="2" spans="1:12" ht="12.75" customHeight="1" x14ac:dyDescent="0.3">
      <c r="A2" s="181" t="s">
        <v>536</v>
      </c>
    </row>
    <row r="3" spans="1:12" ht="12.75" customHeight="1" x14ac:dyDescent="0.4">
      <c r="A3" s="18"/>
      <c r="L3" s="37" t="s">
        <v>19</v>
      </c>
    </row>
    <row r="4" spans="1:12" x14ac:dyDescent="0.3">
      <c r="A4" s="35"/>
      <c r="B4" s="27" t="s">
        <v>17</v>
      </c>
      <c r="C4" s="35"/>
      <c r="D4" s="35"/>
      <c r="E4" s="35"/>
      <c r="F4" s="35"/>
      <c r="G4" s="35"/>
      <c r="H4" s="27" t="s">
        <v>18</v>
      </c>
      <c r="I4" s="35"/>
      <c r="J4" s="35"/>
      <c r="K4" s="35"/>
      <c r="L4" s="35"/>
    </row>
    <row r="5" spans="1:12" x14ac:dyDescent="0.3">
      <c r="A5" s="23"/>
      <c r="B5" s="41">
        <f>'Ind T1'!B5</f>
        <v>2015</v>
      </c>
      <c r="C5" s="41">
        <f>'Ind T1'!C5</f>
        <v>2019</v>
      </c>
      <c r="D5" s="41">
        <f>'Ind T1'!D5</f>
        <v>2020</v>
      </c>
      <c r="E5" s="41">
        <f>'Ind T1'!E5</f>
        <v>2025</v>
      </c>
      <c r="F5" s="41">
        <f>'Ind T1'!F5</f>
        <v>2035</v>
      </c>
      <c r="H5" s="36" t="str">
        <f>CONCATENATE(B$5,"-",C$5)</f>
        <v>2015-2019</v>
      </c>
      <c r="I5" s="36" t="str">
        <f>CONCATENATE(C$5,"-",D$5)</f>
        <v>2019-2020</v>
      </c>
      <c r="J5" s="36" t="str">
        <f>CONCATENATE(D$5,"-",E$5)</f>
        <v>2020-2025</v>
      </c>
      <c r="K5" s="36" t="str">
        <f>CONCATENATE(E$5,"-",F$5)</f>
        <v>2025-2035</v>
      </c>
      <c r="L5" s="36" t="str">
        <f>CONCATENATE(D$5,"-",F$5)</f>
        <v>2020-2035</v>
      </c>
    </row>
    <row r="7" spans="1:12" s="29" customFormat="1" ht="12.9" x14ac:dyDescent="0.35">
      <c r="A7" s="29" t="str">
        <f>'Ind T1'!A7</f>
        <v>Primary sector and utilities</v>
      </c>
      <c r="B7" s="30">
        <f>'Ind T1'!B7</f>
        <v>72.308000000125929</v>
      </c>
      <c r="C7" s="30">
        <f>'Ind T1'!C7</f>
        <v>77.823000000426504</v>
      </c>
      <c r="D7" s="30">
        <f>'Ind T1'!D7</f>
        <v>55.543999999892435</v>
      </c>
      <c r="E7" s="30">
        <f>'Ind T1'!E7</f>
        <v>56.970000000368515</v>
      </c>
      <c r="F7" s="30">
        <f>'Ind T1'!F7</f>
        <v>57.639000000147448</v>
      </c>
      <c r="H7" s="30">
        <f>C7-B7</f>
        <v>5.5150000003005744</v>
      </c>
      <c r="I7" s="30">
        <f>D7-C7</f>
        <v>-22.279000000534069</v>
      </c>
      <c r="J7" s="30">
        <f>E7-D7</f>
        <v>1.4260000004760798</v>
      </c>
      <c r="K7" s="30">
        <f>F7-E7</f>
        <v>0.66899999977893287</v>
      </c>
      <c r="L7" s="30">
        <f>F7-D7</f>
        <v>2.0950000002550127</v>
      </c>
    </row>
    <row r="8" spans="1:12" ht="12.9" x14ac:dyDescent="0.35">
      <c r="A8" t="str">
        <f>'Ind T2'!A5</f>
        <v>Agriculture</v>
      </c>
      <c r="B8" s="31">
        <f>'Ind T2'!B5</f>
        <v>40.811000000194547</v>
      </c>
      <c r="C8" s="31">
        <f>'Ind T2'!C5</f>
        <v>43.194000000439345</v>
      </c>
      <c r="D8" s="31">
        <f>'Ind T2'!D5</f>
        <v>25.4429999999434</v>
      </c>
      <c r="E8" s="31">
        <f>'Ind T2'!E5</f>
        <v>26.603000000203799</v>
      </c>
      <c r="F8" s="31">
        <f>'Ind T2'!F5</f>
        <v>26.058000000086867</v>
      </c>
      <c r="H8" s="11">
        <f t="shared" ref="H8:H40" si="0">C8-B8</f>
        <v>2.3830000002447989</v>
      </c>
      <c r="I8" s="30">
        <f t="shared" ref="I8:I38" si="1">D8-C8</f>
        <v>-17.751000000495946</v>
      </c>
      <c r="J8" s="11">
        <f t="shared" ref="J8:J38" si="2">E8-D8</f>
        <v>1.1600000002603998</v>
      </c>
      <c r="K8" s="11">
        <f t="shared" ref="K8:K38" si="3">F8-E8</f>
        <v>-0.54500000011693217</v>
      </c>
      <c r="L8" s="30">
        <f t="shared" ref="L8:L40" si="4">F8-D8</f>
        <v>0.61500000014346767</v>
      </c>
    </row>
    <row r="9" spans="1:12" ht="12.9" x14ac:dyDescent="0.35">
      <c r="A9" t="str">
        <f>'Ind T2'!A6</f>
        <v>Mining and quarrying</v>
      </c>
      <c r="B9" s="31">
        <f>'Ind T2'!B6</f>
        <v>2.4379999999869169</v>
      </c>
      <c r="C9" s="31">
        <f>'Ind T2'!C6</f>
        <v>1.9439999999976525</v>
      </c>
      <c r="D9" s="31">
        <f>'Ind T2'!D6</f>
        <v>2.7589999999879002</v>
      </c>
      <c r="E9" s="31">
        <f>'Ind T2'!E6</f>
        <v>2.1029999999813591</v>
      </c>
      <c r="F9" s="31">
        <f>'Ind T2'!F6</f>
        <v>1.3989999999889444</v>
      </c>
      <c r="H9" s="11">
        <f t="shared" si="0"/>
        <v>-0.49399999998926436</v>
      </c>
      <c r="I9" s="30">
        <f t="shared" si="1"/>
        <v>0.81499999999024775</v>
      </c>
      <c r="J9" s="11">
        <f t="shared" si="2"/>
        <v>-0.65600000000654113</v>
      </c>
      <c r="K9" s="11">
        <f t="shared" si="3"/>
        <v>-0.70399999999241469</v>
      </c>
      <c r="L9" s="30">
        <f t="shared" si="4"/>
        <v>-1.3599999999989558</v>
      </c>
    </row>
    <row r="10" spans="1:12" ht="12.9" x14ac:dyDescent="0.35">
      <c r="A10" t="str">
        <f>'Ind T2'!A10</f>
        <v>Electricity and gas</v>
      </c>
      <c r="B10" s="31">
        <f>'Ind T2'!B10</f>
        <v>6.9769999999797303</v>
      </c>
      <c r="C10" s="31">
        <f>'Ind T2'!C10</f>
        <v>7.2169999999705867</v>
      </c>
      <c r="D10" s="31">
        <f>'Ind T2'!D10</f>
        <v>5.9299999999484241</v>
      </c>
      <c r="E10" s="31">
        <f>'Ind T2'!E10</f>
        <v>5.5280000000022245</v>
      </c>
      <c r="F10" s="31">
        <f>'Ind T2'!F10</f>
        <v>5.286999999950595</v>
      </c>
      <c r="H10" s="11">
        <f t="shared" si="0"/>
        <v>0.23999999999085642</v>
      </c>
      <c r="I10" s="30">
        <f t="shared" si="1"/>
        <v>-1.2870000000221626</v>
      </c>
      <c r="J10" s="11">
        <f t="shared" si="2"/>
        <v>-0.40199999994619962</v>
      </c>
      <c r="K10" s="11">
        <f t="shared" si="3"/>
        <v>-0.24100000005162947</v>
      </c>
      <c r="L10" s="30">
        <f t="shared" si="4"/>
        <v>-0.64299999999782909</v>
      </c>
    </row>
    <row r="11" spans="1:12" ht="12.9" x14ac:dyDescent="0.35">
      <c r="A11" t="str">
        <f>'Ind T2'!A11</f>
        <v>Water and sewerage</v>
      </c>
      <c r="B11" s="31">
        <f>'Ind T2'!B11</f>
        <v>22.081999999964729</v>
      </c>
      <c r="C11" s="31">
        <f>'Ind T2'!C11</f>
        <v>25.468000000018925</v>
      </c>
      <c r="D11" s="31">
        <f>'Ind T2'!D11</f>
        <v>21.412000000012714</v>
      </c>
      <c r="E11" s="31">
        <f>'Ind T2'!E11</f>
        <v>22.736000000181129</v>
      </c>
      <c r="F11" s="31">
        <f>'Ind T2'!F11</f>
        <v>24.895000000121041</v>
      </c>
      <c r="H11" s="11">
        <f t="shared" ref="H11" si="5">C11-B11</f>
        <v>3.3860000000541959</v>
      </c>
      <c r="I11" s="30">
        <f t="shared" ref="I11" si="6">D11-C11</f>
        <v>-4.0560000000062111</v>
      </c>
      <c r="J11" s="11">
        <f t="shared" ref="J11" si="7">E11-D11</f>
        <v>1.3240000001684145</v>
      </c>
      <c r="K11" s="11">
        <f t="shared" ref="K11" si="8">F11-E11</f>
        <v>2.1589999999399119</v>
      </c>
      <c r="L11" s="30">
        <f t="shared" si="4"/>
        <v>3.4830000001083263</v>
      </c>
    </row>
    <row r="12" spans="1:12" ht="12.9" x14ac:dyDescent="0.35">
      <c r="B12" s="31"/>
      <c r="C12" s="31"/>
      <c r="D12" s="31"/>
      <c r="E12" s="31"/>
      <c r="F12" s="31"/>
      <c r="H12" s="11"/>
      <c r="I12" s="30"/>
      <c r="J12" s="11"/>
      <c r="K12" s="11"/>
      <c r="L12" s="30"/>
    </row>
    <row r="13" spans="1:12" s="29" customFormat="1" ht="12.9" x14ac:dyDescent="0.35">
      <c r="A13" s="29" t="str">
        <f>'Ind T1'!A8</f>
        <v>Manufacturing</v>
      </c>
      <c r="B13" s="30">
        <f>'Ind T1'!B8</f>
        <v>225.15099999980188</v>
      </c>
      <c r="C13" s="30">
        <f>'Ind T1'!C8</f>
        <v>227.75800000002647</v>
      </c>
      <c r="D13" s="30">
        <f>'Ind T1'!D8</f>
        <v>220.63999999966694</v>
      </c>
      <c r="E13" s="30">
        <f>'Ind T1'!E8</f>
        <v>212.38000000164976</v>
      </c>
      <c r="F13" s="30">
        <f>'Ind T1'!F8</f>
        <v>195.23700000064915</v>
      </c>
      <c r="H13" s="30">
        <f t="shared" si="0"/>
        <v>2.6070000002245877</v>
      </c>
      <c r="I13" s="30">
        <f t="shared" si="1"/>
        <v>-7.1180000003595296</v>
      </c>
      <c r="J13" s="30">
        <f t="shared" si="2"/>
        <v>-8.2599999980171788</v>
      </c>
      <c r="K13" s="30">
        <f t="shared" si="3"/>
        <v>-17.143000001000615</v>
      </c>
      <c r="L13" s="30">
        <f t="shared" si="4"/>
        <v>-25.402999999017794</v>
      </c>
    </row>
    <row r="14" spans="1:12" ht="12.9" x14ac:dyDescent="0.35">
      <c r="A14" t="str">
        <f>'Ind T2'!A7</f>
        <v>Food drink and tobacco</v>
      </c>
      <c r="B14" s="31">
        <f>'Ind T2'!B7</f>
        <v>32.947000000102392</v>
      </c>
      <c r="C14" s="31">
        <f>'Ind T2'!C7</f>
        <v>35.560000000154915</v>
      </c>
      <c r="D14" s="31">
        <f>'Ind T2'!D7</f>
        <v>34.296999999961379</v>
      </c>
      <c r="E14" s="31">
        <f>'Ind T2'!E7</f>
        <v>36.915000000564248</v>
      </c>
      <c r="F14" s="31">
        <f>'Ind T2'!F7</f>
        <v>39.255000000253339</v>
      </c>
      <c r="H14" s="11">
        <f t="shared" si="0"/>
        <v>2.6130000000525229</v>
      </c>
      <c r="I14" s="30">
        <f t="shared" si="1"/>
        <v>-1.2630000001935358</v>
      </c>
      <c r="J14" s="11">
        <f t="shared" si="2"/>
        <v>2.6180000006028692</v>
      </c>
      <c r="K14" s="11">
        <f t="shared" si="3"/>
        <v>2.3399999996890912</v>
      </c>
      <c r="L14" s="30">
        <f t="shared" si="4"/>
        <v>4.9580000002919604</v>
      </c>
    </row>
    <row r="15" spans="1:12" ht="12.9" x14ac:dyDescent="0.35">
      <c r="A15" t="str">
        <f>'Ind T2'!A8</f>
        <v>Engineering</v>
      </c>
      <c r="B15" s="31">
        <f>'Ind T2'!B8</f>
        <v>45.036999999856405</v>
      </c>
      <c r="C15" s="31">
        <f>'Ind T2'!C8</f>
        <v>44.193999999914396</v>
      </c>
      <c r="D15" s="31">
        <f>'Ind T2'!D8</f>
        <v>41.956999999878732</v>
      </c>
      <c r="E15" s="31">
        <f>'Ind T2'!E8</f>
        <v>41.735000000218051</v>
      </c>
      <c r="F15" s="31">
        <f>'Ind T2'!F8</f>
        <v>35.39400000007759</v>
      </c>
      <c r="H15" s="11">
        <f t="shared" si="0"/>
        <v>-0.84299999994200903</v>
      </c>
      <c r="I15" s="30">
        <f t="shared" si="1"/>
        <v>-2.237000000035664</v>
      </c>
      <c r="J15" s="11">
        <f t="shared" si="2"/>
        <v>-0.22199999966068162</v>
      </c>
      <c r="K15" s="11">
        <f t="shared" si="3"/>
        <v>-6.3410000001404612</v>
      </c>
      <c r="L15" s="30">
        <f t="shared" si="4"/>
        <v>-6.5629999998011428</v>
      </c>
    </row>
    <row r="16" spans="1:12" ht="12.9" x14ac:dyDescent="0.35">
      <c r="A16" t="str">
        <f>'Ind T2'!A9</f>
        <v>Rest of manufacturing</v>
      </c>
      <c r="B16" s="31">
        <f>'Ind T2'!B9</f>
        <v>147.16699999984311</v>
      </c>
      <c r="C16" s="31">
        <f>'Ind T2'!C9</f>
        <v>148.00399999995719</v>
      </c>
      <c r="D16" s="31">
        <f>'Ind T2'!D9</f>
        <v>144.38599999982682</v>
      </c>
      <c r="E16" s="31">
        <f>'Ind T2'!E9</f>
        <v>133.73000000086745</v>
      </c>
      <c r="F16" s="31">
        <f>'Ind T2'!F9</f>
        <v>120.58800000031822</v>
      </c>
      <c r="H16" s="11">
        <f t="shared" si="0"/>
        <v>0.83700000011407383</v>
      </c>
      <c r="I16" s="30">
        <f t="shared" si="1"/>
        <v>-3.6180000001303654</v>
      </c>
      <c r="J16" s="11">
        <f t="shared" si="2"/>
        <v>-10.655999998959373</v>
      </c>
      <c r="K16" s="11">
        <f t="shared" si="3"/>
        <v>-13.142000000549231</v>
      </c>
      <c r="L16" s="30">
        <f t="shared" si="4"/>
        <v>-23.797999999508605</v>
      </c>
    </row>
    <row r="17" spans="1:12" ht="12.9" x14ac:dyDescent="0.35">
      <c r="B17" s="31"/>
      <c r="C17" s="31"/>
      <c r="D17" s="31"/>
      <c r="E17" s="31"/>
      <c r="F17" s="31"/>
      <c r="H17" s="11"/>
      <c r="I17" s="30">
        <f t="shared" si="1"/>
        <v>0</v>
      </c>
      <c r="J17" s="11"/>
      <c r="K17" s="11"/>
      <c r="L17" s="30"/>
    </row>
    <row r="18" spans="1:12" s="29" customFormat="1" ht="12.9" x14ac:dyDescent="0.35">
      <c r="A18" s="29" t="str">
        <f>'Ind T1'!A9</f>
        <v>Construction</v>
      </c>
      <c r="B18" s="30">
        <f>'Ind T1'!B9</f>
        <v>243.42699999686482</v>
      </c>
      <c r="C18" s="30">
        <f>'Ind T1'!C9</f>
        <v>240.42400000202719</v>
      </c>
      <c r="D18" s="30">
        <f>'Ind T1'!D9</f>
        <v>273.41399999809221</v>
      </c>
      <c r="E18" s="30">
        <f>'Ind T1'!E9</f>
        <v>297.71799999340317</v>
      </c>
      <c r="F18" s="30">
        <f>'Ind T1'!F9</f>
        <v>329.19799999638485</v>
      </c>
      <c r="H18" s="30">
        <f t="shared" si="0"/>
        <v>-3.0029999948376371</v>
      </c>
      <c r="I18" s="30">
        <f t="shared" si="1"/>
        <v>32.989999996065023</v>
      </c>
      <c r="J18" s="30">
        <f t="shared" si="2"/>
        <v>24.30399999531096</v>
      </c>
      <c r="K18" s="30">
        <f t="shared" si="3"/>
        <v>31.480000002981683</v>
      </c>
      <c r="L18" s="30">
        <f t="shared" si="4"/>
        <v>55.783999998292643</v>
      </c>
    </row>
    <row r="19" spans="1:12" ht="12.9" x14ac:dyDescent="0.35">
      <c r="A19" s="29"/>
      <c r="B19" s="31"/>
      <c r="C19" s="31"/>
      <c r="D19" s="31"/>
      <c r="E19" s="31"/>
      <c r="F19" s="31"/>
      <c r="H19" s="11"/>
      <c r="I19" s="30"/>
      <c r="J19" s="11"/>
      <c r="K19" s="11"/>
      <c r="L19" s="30"/>
    </row>
    <row r="20" spans="1:12" s="29" customFormat="1" ht="12.9" x14ac:dyDescent="0.35">
      <c r="A20" s="29" t="str">
        <f>'Ind T1'!A10</f>
        <v>Trade, accomod. and transport</v>
      </c>
      <c r="B20" s="30">
        <f>'Ind T1'!B10</f>
        <v>823.25800001243124</v>
      </c>
      <c r="C20" s="30">
        <f>'Ind T1'!C10</f>
        <v>857.35200000995985</v>
      </c>
      <c r="D20" s="30">
        <f>'Ind T1'!D10</f>
        <v>840.56900000112455</v>
      </c>
      <c r="E20" s="30">
        <f>'Ind T1'!E10</f>
        <v>867.31800001808961</v>
      </c>
      <c r="F20" s="30">
        <f>'Ind T1'!F10</f>
        <v>905.46000000168863</v>
      </c>
      <c r="H20" s="30">
        <f t="shared" si="0"/>
        <v>34.093999997528613</v>
      </c>
      <c r="I20" s="30">
        <f t="shared" si="1"/>
        <v>-16.783000008835302</v>
      </c>
      <c r="J20" s="30">
        <f t="shared" si="2"/>
        <v>26.749000016965056</v>
      </c>
      <c r="K20" s="30">
        <f t="shared" si="3"/>
        <v>38.141999983599021</v>
      </c>
      <c r="L20" s="30">
        <f t="shared" si="4"/>
        <v>64.891000000564077</v>
      </c>
    </row>
    <row r="21" spans="1:12" ht="12.9" x14ac:dyDescent="0.35">
      <c r="A21" s="10" t="str">
        <f>'Ind T2'!A13</f>
        <v>Wholesale and retail trade</v>
      </c>
      <c r="B21" s="31">
        <f>'Ind T2'!B13</f>
        <v>498.44400000861367</v>
      </c>
      <c r="C21" s="31">
        <f>'Ind T2'!C13</f>
        <v>483.70600000729888</v>
      </c>
      <c r="D21" s="31">
        <f>'Ind T2'!D13</f>
        <v>471.90300000065332</v>
      </c>
      <c r="E21" s="31">
        <f>'Ind T2'!E13</f>
        <v>479.37400000978693</v>
      </c>
      <c r="F21" s="31">
        <f>'Ind T2'!F13</f>
        <v>487.1329999997273</v>
      </c>
      <c r="H21" s="11">
        <f t="shared" si="0"/>
        <v>-14.738000001314788</v>
      </c>
      <c r="I21" s="30">
        <f t="shared" si="1"/>
        <v>-11.803000006645561</v>
      </c>
      <c r="J21" s="11">
        <f t="shared" si="2"/>
        <v>7.4710000091336042</v>
      </c>
      <c r="K21" s="11">
        <f t="shared" si="3"/>
        <v>7.7589999899403779</v>
      </c>
      <c r="L21" s="30">
        <f t="shared" si="4"/>
        <v>15.229999999073982</v>
      </c>
    </row>
    <row r="22" spans="1:12" ht="12.9" x14ac:dyDescent="0.35">
      <c r="A22" s="10" t="str">
        <f>'Ind T2'!A14</f>
        <v>Transport and storage</v>
      </c>
      <c r="B22" s="31">
        <f>'Ind T2'!B14</f>
        <v>137.70200000063346</v>
      </c>
      <c r="C22" s="31">
        <f>'Ind T2'!C14</f>
        <v>173.91099999924558</v>
      </c>
      <c r="D22" s="31">
        <f>'Ind T2'!D14</f>
        <v>165.97200000091695</v>
      </c>
      <c r="E22" s="31">
        <f>'Ind T2'!E14</f>
        <v>179.56200000425699</v>
      </c>
      <c r="F22" s="31">
        <f>'Ind T2'!F14</f>
        <v>184.30800000338297</v>
      </c>
      <c r="H22" s="11">
        <f t="shared" si="0"/>
        <v>36.208999998612114</v>
      </c>
      <c r="I22" s="30">
        <f t="shared" si="1"/>
        <v>-7.9389999983286259</v>
      </c>
      <c r="J22" s="11">
        <f t="shared" si="2"/>
        <v>13.590000003340037</v>
      </c>
      <c r="K22" s="11">
        <f t="shared" si="3"/>
        <v>4.7459999991259849</v>
      </c>
      <c r="L22" s="30">
        <f t="shared" si="4"/>
        <v>18.336000002466022</v>
      </c>
    </row>
    <row r="23" spans="1:12" ht="12.9" x14ac:dyDescent="0.35">
      <c r="A23" s="10" t="str">
        <f>'Ind T2'!A15</f>
        <v>Accommodation and food</v>
      </c>
      <c r="B23" s="31">
        <f>'Ind T2'!B15</f>
        <v>187.11200000318414</v>
      </c>
      <c r="C23" s="31">
        <f>'Ind T2'!C15</f>
        <v>199.73500000341528</v>
      </c>
      <c r="D23" s="31">
        <f>'Ind T2'!D15</f>
        <v>202.69399999955419</v>
      </c>
      <c r="E23" s="31">
        <f>'Ind T2'!E15</f>
        <v>208.38200000404572</v>
      </c>
      <c r="F23" s="31">
        <f>'Ind T2'!F15</f>
        <v>234.01899999857835</v>
      </c>
      <c r="H23" s="11">
        <f t="shared" si="0"/>
        <v>12.623000000231144</v>
      </c>
      <c r="I23" s="30">
        <f t="shared" si="1"/>
        <v>2.958999996138914</v>
      </c>
      <c r="J23" s="11">
        <f t="shared" si="2"/>
        <v>5.6880000044915278</v>
      </c>
      <c r="K23" s="11">
        <f t="shared" si="3"/>
        <v>25.63699999453263</v>
      </c>
      <c r="L23" s="30">
        <f t="shared" si="4"/>
        <v>31.324999999024158</v>
      </c>
    </row>
    <row r="24" spans="1:12" ht="12.9" x14ac:dyDescent="0.35">
      <c r="B24" s="31"/>
      <c r="C24" s="31"/>
      <c r="D24" s="31"/>
      <c r="E24" s="31"/>
      <c r="F24" s="31"/>
      <c r="H24" s="11"/>
      <c r="I24" s="30"/>
      <c r="J24" s="11"/>
      <c r="K24" s="11"/>
      <c r="L24" s="30"/>
    </row>
    <row r="25" spans="1:12" s="29" customFormat="1" ht="12.9" x14ac:dyDescent="0.35">
      <c r="A25" s="29" t="str">
        <f>'Ind T1'!A11</f>
        <v>Business and other services</v>
      </c>
      <c r="B25" s="30">
        <f>'Ind T1'!B11</f>
        <v>993.68699999888452</v>
      </c>
      <c r="C25" s="30">
        <f>'Ind T1'!C11</f>
        <v>1054.9569999959917</v>
      </c>
      <c r="D25" s="30">
        <f>'Ind T1'!D11</f>
        <v>1044.4069999964181</v>
      </c>
      <c r="E25" s="30">
        <f>'Ind T1'!E11</f>
        <v>1074.6150000076559</v>
      </c>
      <c r="F25" s="30">
        <f>'Ind T1'!F11</f>
        <v>1133.4689999983541</v>
      </c>
      <c r="H25" s="30">
        <f t="shared" si="0"/>
        <v>61.26999999710722</v>
      </c>
      <c r="I25" s="30">
        <f t="shared" si="1"/>
        <v>-10.549999999573629</v>
      </c>
      <c r="J25" s="30">
        <f t="shared" si="2"/>
        <v>30.2080000112378</v>
      </c>
      <c r="K25" s="30">
        <f t="shared" si="3"/>
        <v>58.853999990698185</v>
      </c>
      <c r="L25" s="30">
        <f t="shared" si="4"/>
        <v>89.062000001935985</v>
      </c>
    </row>
    <row r="26" spans="1:12" ht="12.9" x14ac:dyDescent="0.35">
      <c r="A26" s="10" t="str">
        <f>'Ind T2'!A16</f>
        <v>Media</v>
      </c>
      <c r="B26" s="11">
        <f>'Ind T2'!B16</f>
        <v>36.552000000029452</v>
      </c>
      <c r="C26" s="11">
        <f>'Ind T2'!C16</f>
        <v>29.073999999872534</v>
      </c>
      <c r="D26" s="11">
        <f>'Ind T2'!D16</f>
        <v>31.163999999966283</v>
      </c>
      <c r="E26" s="11">
        <f>'Ind T2'!E16</f>
        <v>30.126000000375701</v>
      </c>
      <c r="F26" s="11">
        <f>'Ind T2'!F16</f>
        <v>29.699000000039582</v>
      </c>
      <c r="H26" s="11">
        <f t="shared" si="0"/>
        <v>-7.4780000001569178</v>
      </c>
      <c r="I26" s="30">
        <f t="shared" si="1"/>
        <v>2.0900000000937489</v>
      </c>
      <c r="J26" s="11">
        <f t="shared" si="2"/>
        <v>-1.037999999590582</v>
      </c>
      <c r="K26" s="11">
        <f t="shared" si="3"/>
        <v>-0.42700000033611829</v>
      </c>
      <c r="L26" s="30">
        <f t="shared" si="4"/>
        <v>-1.4649999999267003</v>
      </c>
    </row>
    <row r="27" spans="1:12" ht="12.9" x14ac:dyDescent="0.35">
      <c r="A27" s="10" t="str">
        <f>'Ind T2'!A17</f>
        <v>Information technology</v>
      </c>
      <c r="B27" s="11">
        <f>'Ind T2'!B17</f>
        <v>83.208999999124018</v>
      </c>
      <c r="C27" s="11">
        <f>'Ind T2'!C17</f>
        <v>84.552999998846516</v>
      </c>
      <c r="D27" s="11">
        <f>'Ind T2'!D17</f>
        <v>83.633999999069403</v>
      </c>
      <c r="E27" s="11">
        <f>'Ind T2'!E17</f>
        <v>87.203999999738514</v>
      </c>
      <c r="F27" s="11">
        <f>'Ind T2'!F17</f>
        <v>91.509999998699584</v>
      </c>
      <c r="H27" s="11">
        <f t="shared" si="0"/>
        <v>1.3439999997224987</v>
      </c>
      <c r="I27" s="30">
        <f t="shared" si="1"/>
        <v>-0.91899999977711389</v>
      </c>
      <c r="J27" s="11">
        <f t="shared" si="2"/>
        <v>3.5700000006691113</v>
      </c>
      <c r="K27" s="11">
        <f t="shared" si="3"/>
        <v>4.3059999989610702</v>
      </c>
      <c r="L27" s="30">
        <f t="shared" si="4"/>
        <v>7.8759999996301815</v>
      </c>
    </row>
    <row r="28" spans="1:12" ht="12.9" x14ac:dyDescent="0.35">
      <c r="A28" s="10" t="str">
        <f>'Ind T2'!A18</f>
        <v>Finance and insurance</v>
      </c>
      <c r="B28" s="11">
        <f>'Ind T2'!B18</f>
        <v>74.523999999641632</v>
      </c>
      <c r="C28" s="11">
        <f>'Ind T2'!C18</f>
        <v>75.766999999226869</v>
      </c>
      <c r="D28" s="11">
        <f>'Ind T2'!D18</f>
        <v>78.17299999949843</v>
      </c>
      <c r="E28" s="11">
        <f>'Ind T2'!E18</f>
        <v>75.513000000691932</v>
      </c>
      <c r="F28" s="11">
        <f>'Ind T2'!F18</f>
        <v>68.380999999685017</v>
      </c>
      <c r="H28" s="11">
        <f t="shared" si="0"/>
        <v>1.242999999585237</v>
      </c>
      <c r="I28" s="30">
        <f t="shared" si="1"/>
        <v>2.4060000002715611</v>
      </c>
      <c r="J28" s="11">
        <f t="shared" si="2"/>
        <v>-2.659999998806498</v>
      </c>
      <c r="K28" s="11">
        <f t="shared" si="3"/>
        <v>-7.1320000010069151</v>
      </c>
      <c r="L28" s="30">
        <f t="shared" si="4"/>
        <v>-9.7919999998134131</v>
      </c>
    </row>
    <row r="29" spans="1:12" ht="12.9" x14ac:dyDescent="0.35">
      <c r="A29" s="10" t="str">
        <f>'Ind T2'!A19</f>
        <v>Real estate</v>
      </c>
      <c r="B29" s="11">
        <f>'Ind T2'!B19</f>
        <v>44.884999999948363</v>
      </c>
      <c r="C29" s="11">
        <f>'Ind T2'!C19</f>
        <v>50.697999999990891</v>
      </c>
      <c r="D29" s="11">
        <f>'Ind T2'!D19</f>
        <v>51.984999999648018</v>
      </c>
      <c r="E29" s="11">
        <f>'Ind T2'!E19</f>
        <v>53.148000000317865</v>
      </c>
      <c r="F29" s="11">
        <f>'Ind T2'!F19</f>
        <v>60.826999999666633</v>
      </c>
      <c r="H29" s="11">
        <f t="shared" ref="H29:H31" si="9">C29-B29</f>
        <v>5.8130000000425284</v>
      </c>
      <c r="I29" s="30">
        <f t="shared" ref="I29:I31" si="10">D29-C29</f>
        <v>1.2869999996571266</v>
      </c>
      <c r="J29" s="11">
        <f t="shared" ref="J29:J31" si="11">E29-D29</f>
        <v>1.1630000006698467</v>
      </c>
      <c r="K29" s="11">
        <f t="shared" ref="K29:K31" si="12">F29-E29</f>
        <v>7.6789999993487683</v>
      </c>
      <c r="L29" s="30">
        <f t="shared" si="4"/>
        <v>8.842000000018615</v>
      </c>
    </row>
    <row r="30" spans="1:12" ht="12.9" x14ac:dyDescent="0.35">
      <c r="A30" s="10" t="str">
        <f>'Ind T2'!A20</f>
        <v>Professional services</v>
      </c>
      <c r="B30" s="11">
        <f>'Ind T2'!B20</f>
        <v>277.44799999703775</v>
      </c>
      <c r="C30" s="11">
        <f>'Ind T2'!C20</f>
        <v>330.80599999527561</v>
      </c>
      <c r="D30" s="11">
        <f>'Ind T2'!D20</f>
        <v>308.6649999988694</v>
      </c>
      <c r="E30" s="11">
        <f>'Ind T2'!E20</f>
        <v>325.30000000143724</v>
      </c>
      <c r="F30" s="11">
        <f>'Ind T2'!F20</f>
        <v>352.1619999985495</v>
      </c>
      <c r="H30" s="11">
        <f t="shared" si="9"/>
        <v>53.357999998237858</v>
      </c>
      <c r="I30" s="30">
        <f t="shared" si="10"/>
        <v>-22.140999996406208</v>
      </c>
      <c r="J30" s="11">
        <f t="shared" si="11"/>
        <v>16.635000002567836</v>
      </c>
      <c r="K30" s="11">
        <f t="shared" si="12"/>
        <v>26.861999997112264</v>
      </c>
      <c r="L30" s="30">
        <f t="shared" si="4"/>
        <v>43.496999999680099</v>
      </c>
    </row>
    <row r="31" spans="1:12" ht="12.9" x14ac:dyDescent="0.35">
      <c r="A31" s="10" t="str">
        <f>'Ind T2'!A21</f>
        <v>Support services</v>
      </c>
      <c r="B31" s="11">
        <f>'Ind T2'!B21</f>
        <v>302.63600000230781</v>
      </c>
      <c r="C31" s="11">
        <f>'Ind T2'!C21</f>
        <v>309.53100000260196</v>
      </c>
      <c r="D31" s="11">
        <f>'Ind T2'!D21</f>
        <v>291.01499999948669</v>
      </c>
      <c r="E31" s="11">
        <f>'Ind T2'!E21</f>
        <v>309.03100000285247</v>
      </c>
      <c r="F31" s="11">
        <f>'Ind T2'!F21</f>
        <v>332.44000000063778</v>
      </c>
      <c r="H31" s="11">
        <f t="shared" si="9"/>
        <v>6.8950000002941465</v>
      </c>
      <c r="I31" s="30">
        <f t="shared" si="10"/>
        <v>-18.516000003115266</v>
      </c>
      <c r="J31" s="11">
        <f t="shared" si="11"/>
        <v>18.016000003365775</v>
      </c>
      <c r="K31" s="11">
        <f t="shared" si="12"/>
        <v>23.408999997785315</v>
      </c>
      <c r="L31" s="30">
        <f t="shared" si="4"/>
        <v>41.425000001151091</v>
      </c>
    </row>
    <row r="32" spans="1:12" ht="12.9" x14ac:dyDescent="0.35">
      <c r="A32" s="10" t="str">
        <f>'Ind T2'!A25</f>
        <v>Arts and entertainment</v>
      </c>
      <c r="B32" s="11">
        <f>'Ind T2'!B25</f>
        <v>74.761000000313402</v>
      </c>
      <c r="C32" s="11">
        <f>'Ind T2'!C25</f>
        <v>87.075999999980894</v>
      </c>
      <c r="D32" s="11">
        <f>'Ind T2'!D25</f>
        <v>102.69600000047062</v>
      </c>
      <c r="E32" s="11">
        <f>'Ind T2'!E25</f>
        <v>97.292000001495268</v>
      </c>
      <c r="F32" s="11">
        <f>'Ind T2'!F25</f>
        <v>100.8920000008181</v>
      </c>
      <c r="H32" s="11">
        <f t="shared" ref="H32" si="13">C32-B32</f>
        <v>12.314999999667492</v>
      </c>
      <c r="I32" s="30">
        <f t="shared" ref="I32:I33" si="14">D32-C32</f>
        <v>15.620000000489725</v>
      </c>
      <c r="J32" s="11">
        <f t="shared" ref="J32:J33" si="15">E32-D32</f>
        <v>-5.4039999989753511</v>
      </c>
      <c r="K32" s="11">
        <f t="shared" ref="K32:K33" si="16">F32-E32</f>
        <v>3.5999999993228329</v>
      </c>
      <c r="L32" s="30">
        <f t="shared" si="4"/>
        <v>-1.8039999996525182</v>
      </c>
    </row>
    <row r="33" spans="1:12" ht="12.9" x14ac:dyDescent="0.35">
      <c r="A33" s="10" t="str">
        <f>'Ind T2'!A26</f>
        <v>Other services</v>
      </c>
      <c r="B33" s="11">
        <f>'Ind T2'!B26</f>
        <v>99.6720000004821</v>
      </c>
      <c r="C33" s="11">
        <f>'Ind T2'!C26</f>
        <v>87.452000000196477</v>
      </c>
      <c r="D33" s="11">
        <f>'Ind T2'!D26</f>
        <v>97.074999999409286</v>
      </c>
      <c r="E33" s="11">
        <f>'Ind T2'!E26</f>
        <v>97.00100000074697</v>
      </c>
      <c r="F33" s="11">
        <f>'Ind T2'!F26</f>
        <v>97.558000000258232</v>
      </c>
      <c r="H33" s="11">
        <f>C33-B33</f>
        <v>-12.220000000285623</v>
      </c>
      <c r="I33" s="30">
        <f t="shared" si="14"/>
        <v>9.6229999992128086</v>
      </c>
      <c r="J33" s="11">
        <f t="shared" si="15"/>
        <v>-7.3999998662316102E-2</v>
      </c>
      <c r="K33" s="11">
        <f t="shared" si="16"/>
        <v>0.55699999951126244</v>
      </c>
      <c r="L33" s="30">
        <f t="shared" si="4"/>
        <v>0.48300000084894634</v>
      </c>
    </row>
    <row r="34" spans="1:12" ht="12.9" x14ac:dyDescent="0.35">
      <c r="B34" s="31"/>
      <c r="C34" s="31"/>
      <c r="D34" s="31"/>
      <c r="E34" s="31"/>
      <c r="F34" s="31"/>
      <c r="H34" s="11"/>
      <c r="I34" s="30"/>
      <c r="J34" s="11"/>
      <c r="K34" s="11"/>
      <c r="L34" s="30"/>
    </row>
    <row r="35" spans="1:12" s="29" customFormat="1" ht="12.9" x14ac:dyDescent="0.35">
      <c r="A35" s="29" t="str">
        <f>'Ind T1'!A12</f>
        <v>Non-marketed services</v>
      </c>
      <c r="B35" s="30">
        <f>'Ind T1'!B12</f>
        <v>697.94799999140355</v>
      </c>
      <c r="C35" s="30">
        <f>'Ind T1'!C12</f>
        <v>748.788999989888</v>
      </c>
      <c r="D35" s="30">
        <f>'Ind T1'!D12</f>
        <v>739.61800000320522</v>
      </c>
      <c r="E35" s="30">
        <f>'Ind T1'!E12</f>
        <v>771.25099997883717</v>
      </c>
      <c r="F35" s="30">
        <f>'Ind T1'!F12</f>
        <v>823.28000000067436</v>
      </c>
      <c r="H35" s="30">
        <f t="shared" si="0"/>
        <v>50.840999998484449</v>
      </c>
      <c r="I35" s="30">
        <f t="shared" si="1"/>
        <v>-9.1709999866827729</v>
      </c>
      <c r="J35" s="30">
        <f t="shared" si="2"/>
        <v>31.632999975631947</v>
      </c>
      <c r="K35" s="30">
        <f t="shared" si="3"/>
        <v>52.029000021837192</v>
      </c>
      <c r="L35" s="30">
        <f t="shared" si="4"/>
        <v>83.661999997469138</v>
      </c>
    </row>
    <row r="36" spans="1:12" ht="12.9" x14ac:dyDescent="0.35">
      <c r="A36" s="10" t="str">
        <f>'Ind T2'!A22</f>
        <v>Public admin. and defence</v>
      </c>
      <c r="B36" s="31">
        <f>'Ind T2'!B22</f>
        <v>93.169999999344981</v>
      </c>
      <c r="C36" s="31">
        <f>'Ind T2'!C22</f>
        <v>87.053999999271809</v>
      </c>
      <c r="D36" s="31">
        <f>'Ind T2'!D22</f>
        <v>89.344999999824566</v>
      </c>
      <c r="E36" s="31">
        <f>'Ind T2'!E22</f>
        <v>95.20600000044486</v>
      </c>
      <c r="F36" s="31">
        <f>'Ind T2'!F22</f>
        <v>100.93299999979894</v>
      </c>
      <c r="H36" s="11">
        <f t="shared" si="0"/>
        <v>-6.1160000000731713</v>
      </c>
      <c r="I36" s="30">
        <f t="shared" si="1"/>
        <v>2.2910000005527564</v>
      </c>
      <c r="J36" s="11">
        <f t="shared" si="2"/>
        <v>5.8610000006202938</v>
      </c>
      <c r="K36" s="11">
        <f t="shared" si="3"/>
        <v>5.7269999993540779</v>
      </c>
      <c r="L36" s="30">
        <f t="shared" si="4"/>
        <v>11.587999999974372</v>
      </c>
    </row>
    <row r="37" spans="1:12" ht="12.9" x14ac:dyDescent="0.35">
      <c r="A37" s="10" t="str">
        <f>'Ind T2'!A23</f>
        <v>Education</v>
      </c>
      <c r="B37" s="31">
        <f>'Ind T2'!B23</f>
        <v>263.15899999695313</v>
      </c>
      <c r="C37" s="31">
        <f>'Ind T2'!C23</f>
        <v>281.39199999629238</v>
      </c>
      <c r="D37" s="31">
        <f>'Ind T2'!D23</f>
        <v>283.23500000341642</v>
      </c>
      <c r="E37" s="31">
        <f>'Ind T2'!E23</f>
        <v>279.15199998312448</v>
      </c>
      <c r="F37" s="31">
        <f>'Ind T2'!F23</f>
        <v>283.76200000257643</v>
      </c>
      <c r="H37" s="11">
        <f t="shared" si="0"/>
        <v>18.232999999339256</v>
      </c>
      <c r="I37" s="30">
        <f t="shared" si="1"/>
        <v>1.8430000071240329</v>
      </c>
      <c r="J37" s="11">
        <f t="shared" si="2"/>
        <v>-4.0830000202919337</v>
      </c>
      <c r="K37" s="11">
        <f t="shared" si="3"/>
        <v>4.6100000194519453</v>
      </c>
      <c r="L37" s="30">
        <f t="shared" si="4"/>
        <v>0.52699999916001161</v>
      </c>
    </row>
    <row r="38" spans="1:12" ht="12.9" x14ac:dyDescent="0.35">
      <c r="A38" s="10" t="str">
        <f>'Ind T2'!A24</f>
        <v>Health and social work</v>
      </c>
      <c r="B38" s="31">
        <f>'Ind T2'!B24</f>
        <v>341.61899999510541</v>
      </c>
      <c r="C38" s="31">
        <f>'Ind T2'!C24</f>
        <v>380.3429999943238</v>
      </c>
      <c r="D38" s="31">
        <f>'Ind T2'!D24</f>
        <v>367.03799999996431</v>
      </c>
      <c r="E38" s="31">
        <f>'Ind T2'!E24</f>
        <v>396.89299999526776</v>
      </c>
      <c r="F38" s="31">
        <f>'Ind T2'!F24</f>
        <v>438.58499999829911</v>
      </c>
      <c r="H38" s="11">
        <f t="shared" si="0"/>
        <v>38.723999999218393</v>
      </c>
      <c r="I38" s="30">
        <f t="shared" si="1"/>
        <v>-13.304999994359491</v>
      </c>
      <c r="J38" s="11">
        <f t="shared" si="2"/>
        <v>29.854999995303444</v>
      </c>
      <c r="K38" s="11">
        <f t="shared" si="3"/>
        <v>41.692000003031353</v>
      </c>
      <c r="L38" s="30">
        <f t="shared" si="4"/>
        <v>71.546999998334798</v>
      </c>
    </row>
    <row r="39" spans="1:12" ht="12.9" x14ac:dyDescent="0.35">
      <c r="B39" s="31"/>
      <c r="C39" s="31"/>
      <c r="D39" s="31"/>
      <c r="E39" s="31"/>
      <c r="F39" s="31"/>
      <c r="H39" s="11"/>
      <c r="I39" s="11"/>
      <c r="J39" s="11"/>
      <c r="K39" s="11"/>
      <c r="L39" s="30"/>
    </row>
    <row r="40" spans="1:12" ht="12.9" x14ac:dyDescent="0.35">
      <c r="A40" s="38" t="str">
        <f>'Ind T1'!A14</f>
        <v>All industries</v>
      </c>
      <c r="B40" s="32">
        <f>'Ind T1'!B14</f>
        <v>3055.7789999995121</v>
      </c>
      <c r="C40" s="32">
        <f>'Ind T1'!C14</f>
        <v>3207.1029999983198</v>
      </c>
      <c r="D40" s="32">
        <f>'Ind T1'!D14</f>
        <v>3174.1919999983993</v>
      </c>
      <c r="E40" s="32">
        <f>'Ind T1'!E14</f>
        <v>3280.252000000004</v>
      </c>
      <c r="F40" s="32">
        <f>'Ind T1'!F14</f>
        <v>3444.2829999978985</v>
      </c>
      <c r="G40" s="23"/>
      <c r="H40" s="33">
        <f t="shared" si="0"/>
        <v>151.32399999880772</v>
      </c>
      <c r="I40" s="33">
        <f>D40-C40</f>
        <v>-32.910999999920477</v>
      </c>
      <c r="J40" s="33">
        <f>E40-D40</f>
        <v>106.06000000160475</v>
      </c>
      <c r="K40" s="33">
        <f>F40-E40</f>
        <v>164.03099999789447</v>
      </c>
      <c r="L40" s="205">
        <f t="shared" si="4"/>
        <v>270.09099999949922</v>
      </c>
    </row>
    <row r="44" spans="1:12" ht="15.45" x14ac:dyDescent="0.4">
      <c r="A44" s="18" t="str">
        <f>CONCATENATE(A1," (Continued)")</f>
        <v>Industry Table 4  Employment by Industry Group in Sector (SIC 2007), 2015-2035, East (Continued)</v>
      </c>
    </row>
    <row r="46" spans="1:12" x14ac:dyDescent="0.3">
      <c r="L46" s="15" t="s">
        <v>20</v>
      </c>
    </row>
    <row r="47" spans="1:12" x14ac:dyDescent="0.3">
      <c r="A47" s="35"/>
      <c r="B47" s="27" t="s">
        <v>14</v>
      </c>
      <c r="C47" s="27"/>
      <c r="D47" s="27"/>
      <c r="E47" s="27"/>
      <c r="F47" s="27"/>
      <c r="G47" s="27"/>
      <c r="H47" s="27" t="s">
        <v>463</v>
      </c>
      <c r="I47" s="27"/>
      <c r="J47" s="27"/>
      <c r="K47" s="27"/>
      <c r="L47" s="27"/>
    </row>
    <row r="48" spans="1:12" x14ac:dyDescent="0.3">
      <c r="A48" s="23"/>
      <c r="B48" s="36" t="str">
        <f>H5</f>
        <v>2015-2019</v>
      </c>
      <c r="C48" s="36" t="str">
        <f>I5</f>
        <v>2019-2020</v>
      </c>
      <c r="D48" s="36" t="str">
        <f>J5</f>
        <v>2020-2025</v>
      </c>
      <c r="E48" s="36" t="str">
        <f>K5</f>
        <v>2025-2035</v>
      </c>
      <c r="F48" s="36" t="str">
        <f>L5</f>
        <v>2020-2035</v>
      </c>
      <c r="G48" s="40"/>
      <c r="H48" s="41">
        <f>B5</f>
        <v>2015</v>
      </c>
      <c r="I48" s="41">
        <f>C5</f>
        <v>2019</v>
      </c>
      <c r="J48" s="41">
        <f>D5</f>
        <v>2020</v>
      </c>
      <c r="K48" s="41">
        <f>E5</f>
        <v>2025</v>
      </c>
      <c r="L48" s="41">
        <f>F5</f>
        <v>2035</v>
      </c>
    </row>
    <row r="50" spans="1:12" s="29" customFormat="1" ht="12.9" x14ac:dyDescent="0.35">
      <c r="A50" s="29" t="str">
        <f>A7</f>
        <v>Primary sector and utilities</v>
      </c>
      <c r="B50" s="43">
        <f t="shared" ref="B50:E54" si="17">IF(AND(C$5-B$5 &lt;&gt; 0,B7&lt;&gt;0,C7&lt;&gt;0),(EXP(LN(C7/B7)/(C$5-B$5))-1)*100,0)</f>
        <v>1.8545430560664267</v>
      </c>
      <c r="C50" s="43">
        <f t="shared" si="17"/>
        <v>-28.627783560659402</v>
      </c>
      <c r="D50" s="43">
        <f t="shared" si="17"/>
        <v>0.50827363108365553</v>
      </c>
      <c r="E50" s="43">
        <f t="shared" si="17"/>
        <v>0.11681425898337761</v>
      </c>
      <c r="F50" s="43">
        <f>IF(AND(F$5-D$5 &lt;&gt; 0,D7&lt;&gt;0,F7&lt;&gt;0),(EXP(LN(F7/D7)/(F$5-D$5))-1)*100,0)</f>
        <v>0.24713101632760637</v>
      </c>
      <c r="H50" s="43">
        <f>(B7/B$40)*100</f>
        <v>2.3662705974528091</v>
      </c>
      <c r="I50" s="43">
        <f>(C7/C$40)*100</f>
        <v>2.4265824951823274</v>
      </c>
      <c r="J50" s="43">
        <f>(D7/D$40)*100</f>
        <v>1.7498626422069126</v>
      </c>
      <c r="K50" s="43">
        <f>(E7/E$40)*100</f>
        <v>1.7367568101587454</v>
      </c>
      <c r="L50" s="43">
        <f>(F7/F$40)*100</f>
        <v>1.6734687596861992</v>
      </c>
    </row>
    <row r="51" spans="1:12" ht="12.9" x14ac:dyDescent="0.35">
      <c r="A51" t="str">
        <f>A8</f>
        <v>Agriculture</v>
      </c>
      <c r="B51" s="39">
        <f t="shared" si="17"/>
        <v>1.4288605977128777</v>
      </c>
      <c r="C51" s="43">
        <f t="shared" si="17"/>
        <v>-41.095985554279281</v>
      </c>
      <c r="D51" s="39">
        <f t="shared" si="17"/>
        <v>0.8956538964909333</v>
      </c>
      <c r="E51" s="39">
        <f t="shared" si="17"/>
        <v>-0.20677760601148787</v>
      </c>
      <c r="F51" s="43">
        <f t="shared" ref="F51:F83" si="18">IF(AND(F$5-D$5 &lt;&gt; 0,D8&lt;&gt;0,F8&lt;&gt;0),(EXP(LN(F8/D8)/(F$5-D$5))-1)*100,0)</f>
        <v>0.15935461299412257</v>
      </c>
      <c r="H51" s="39">
        <f t="shared" ref="H51:L54" si="19">(B8/B$7)*100</f>
        <v>56.440504508662215</v>
      </c>
      <c r="I51" s="39">
        <f t="shared" si="19"/>
        <v>55.502871901883275</v>
      </c>
      <c r="J51" s="39">
        <f t="shared" si="19"/>
        <v>45.806927840977735</v>
      </c>
      <c r="K51" s="39">
        <f t="shared" si="19"/>
        <v>46.696506933529427</v>
      </c>
      <c r="L51" s="39">
        <f t="shared" si="19"/>
        <v>45.208973091171266</v>
      </c>
    </row>
    <row r="52" spans="1:12" ht="12.9" x14ac:dyDescent="0.35">
      <c r="A52" t="str">
        <f>A9</f>
        <v>Mining and quarrying</v>
      </c>
      <c r="B52" s="39">
        <f t="shared" si="17"/>
        <v>-5.5035181473753418</v>
      </c>
      <c r="C52" s="43">
        <f t="shared" si="17"/>
        <v>41.923868312306169</v>
      </c>
      <c r="D52" s="39">
        <f t="shared" si="17"/>
        <v>-5.2852724279804146</v>
      </c>
      <c r="E52" s="39">
        <f t="shared" si="17"/>
        <v>-3.9941174757813003</v>
      </c>
      <c r="F52" s="43">
        <f t="shared" si="18"/>
        <v>-4.4264463795055553</v>
      </c>
      <c r="H52" s="39">
        <f t="shared" si="19"/>
        <v>3.3716877800280343</v>
      </c>
      <c r="I52" s="39">
        <f t="shared" si="19"/>
        <v>2.4979761766919788</v>
      </c>
      <c r="J52" s="39">
        <f t="shared" si="19"/>
        <v>4.9672331844902118</v>
      </c>
      <c r="K52" s="39">
        <f t="shared" si="19"/>
        <v>3.691416534961832</v>
      </c>
      <c r="L52" s="39">
        <f t="shared" si="19"/>
        <v>2.4271760439725978</v>
      </c>
    </row>
    <row r="53" spans="1:12" ht="12.9" x14ac:dyDescent="0.35">
      <c r="A53" t="str">
        <f>A10</f>
        <v>Electricity and gas</v>
      </c>
      <c r="B53" s="39">
        <f t="shared" si="17"/>
        <v>0.84909274445483796</v>
      </c>
      <c r="C53" s="43">
        <f t="shared" si="17"/>
        <v>-17.83289455490381</v>
      </c>
      <c r="D53" s="39">
        <f t="shared" si="17"/>
        <v>-1.3941529380936402</v>
      </c>
      <c r="E53" s="39">
        <f t="shared" si="17"/>
        <v>-0.44475909652818002</v>
      </c>
      <c r="F53" s="43">
        <f t="shared" si="18"/>
        <v>-0.76223504679517884</v>
      </c>
      <c r="H53" s="39">
        <f t="shared" si="19"/>
        <v>9.6490014935658284</v>
      </c>
      <c r="I53" s="39">
        <f t="shared" si="19"/>
        <v>9.2736080592254666</v>
      </c>
      <c r="J53" s="39">
        <f t="shared" si="19"/>
        <v>10.67622065382383</v>
      </c>
      <c r="K53" s="39">
        <f t="shared" si="19"/>
        <v>9.7033526416824056</v>
      </c>
      <c r="L53" s="39">
        <f t="shared" si="19"/>
        <v>9.1726088237774253</v>
      </c>
    </row>
    <row r="54" spans="1:12" ht="12.9" x14ac:dyDescent="0.35">
      <c r="A54" t="str">
        <f>A11</f>
        <v>Water and sewerage</v>
      </c>
      <c r="B54" s="39">
        <f t="shared" si="17"/>
        <v>3.6308615913820841</v>
      </c>
      <c r="C54" s="43">
        <f t="shared" si="17"/>
        <v>-15.925867755627444</v>
      </c>
      <c r="D54" s="39">
        <f t="shared" si="17"/>
        <v>1.2071895945479971</v>
      </c>
      <c r="E54" s="39">
        <f t="shared" si="17"/>
        <v>0.91130138263051386</v>
      </c>
      <c r="F54" s="43">
        <f t="shared" si="18"/>
        <v>1.0098345442218992</v>
      </c>
      <c r="H54" s="39">
        <f t="shared" si="19"/>
        <v>30.538806217743918</v>
      </c>
      <c r="I54" s="39">
        <f t="shared" si="19"/>
        <v>32.725543862199288</v>
      </c>
      <c r="J54" s="39">
        <f t="shared" si="19"/>
        <v>38.549618320708227</v>
      </c>
      <c r="K54" s="39">
        <f t="shared" si="19"/>
        <v>39.908723889826334</v>
      </c>
      <c r="L54" s="39">
        <f t="shared" si="19"/>
        <v>43.191242041078709</v>
      </c>
    </row>
    <row r="55" spans="1:12" ht="12.9" x14ac:dyDescent="0.35">
      <c r="B55" s="39"/>
      <c r="C55" s="43"/>
      <c r="D55" s="39"/>
      <c r="E55" s="39"/>
      <c r="F55" s="43"/>
      <c r="H55" s="39"/>
      <c r="I55" s="39"/>
      <c r="J55" s="39"/>
      <c r="K55" s="39"/>
      <c r="L55" s="39"/>
    </row>
    <row r="56" spans="1:12" s="29" customFormat="1" ht="12.9" x14ac:dyDescent="0.35">
      <c r="A56" s="29" t="str">
        <f>A13</f>
        <v>Manufacturing</v>
      </c>
      <c r="B56" s="43">
        <f t="shared" ref="B56:E59" si="20">IF(AND(C$5-B$5 &lt;&gt; 0,B13&lt;&gt;0,C13&lt;&gt;0),(EXP(LN(C13/B13)/(C$5-B$5))-1)*100,0)</f>
        <v>0.28822390715070867</v>
      </c>
      <c r="C56" s="43">
        <f t="shared" si="20"/>
        <v>-3.1252469728214605</v>
      </c>
      <c r="D56" s="43">
        <f t="shared" si="20"/>
        <v>-0.76020156095037983</v>
      </c>
      <c r="E56" s="43">
        <f t="shared" si="20"/>
        <v>-0.83809739458314825</v>
      </c>
      <c r="F56" s="43">
        <f t="shared" si="18"/>
        <v>-0.81213891267825078</v>
      </c>
      <c r="H56" s="43">
        <f>(B13/B$40)*100</f>
        <v>7.3680393771878734</v>
      </c>
      <c r="I56" s="43">
        <f>(C13/C$40)*100</f>
        <v>7.1016740029910412</v>
      </c>
      <c r="J56" s="43">
        <f>(D13/D$40)*100</f>
        <v>6.9510603013232402</v>
      </c>
      <c r="K56" s="43">
        <f>(E13/E$40)*100</f>
        <v>6.4745025687553737</v>
      </c>
      <c r="L56" s="43">
        <f>(F13/F$40)*100</f>
        <v>5.6684366528757444</v>
      </c>
    </row>
    <row r="57" spans="1:12" ht="12.9" x14ac:dyDescent="0.35">
      <c r="A57" t="str">
        <f>A14</f>
        <v>Food drink and tobacco</v>
      </c>
      <c r="B57" s="39">
        <f t="shared" si="20"/>
        <v>1.9263492415136918</v>
      </c>
      <c r="C57" s="43">
        <f t="shared" si="20"/>
        <v>-3.5517435325872704</v>
      </c>
      <c r="D57" s="39">
        <f t="shared" si="20"/>
        <v>1.4820771549508338</v>
      </c>
      <c r="E57" s="39">
        <f t="shared" si="20"/>
        <v>0.61650111483522174</v>
      </c>
      <c r="F57" s="43">
        <f t="shared" si="18"/>
        <v>0.90420302521347917</v>
      </c>
      <c r="H57" s="39">
        <f t="shared" ref="H57:L59" si="21">(B14/B$13)*100</f>
        <v>14.6332905472911</v>
      </c>
      <c r="I57" s="39">
        <f t="shared" si="21"/>
        <v>15.613062987974422</v>
      </c>
      <c r="J57" s="39">
        <f t="shared" si="21"/>
        <v>15.544325598265567</v>
      </c>
      <c r="K57" s="39">
        <f t="shared" si="21"/>
        <v>17.381580186588895</v>
      </c>
      <c r="L57" s="39">
        <f t="shared" si="21"/>
        <v>20.106332303878272</v>
      </c>
    </row>
    <row r="58" spans="1:12" ht="12.9" x14ac:dyDescent="0.35">
      <c r="A58" t="str">
        <f>A15</f>
        <v>Engineering</v>
      </c>
      <c r="B58" s="39">
        <f t="shared" si="20"/>
        <v>-0.47126954603142757</v>
      </c>
      <c r="C58" s="43">
        <f t="shared" si="20"/>
        <v>-5.0617730914603758</v>
      </c>
      <c r="D58" s="39">
        <f t="shared" si="20"/>
        <v>-0.10604731001052636</v>
      </c>
      <c r="E58" s="39">
        <f t="shared" si="20"/>
        <v>-1.6344730421167575</v>
      </c>
      <c r="F58" s="43">
        <f t="shared" si="18"/>
        <v>-1.1276140329146811</v>
      </c>
      <c r="H58" s="39">
        <f t="shared" si="21"/>
        <v>20.003020195289402</v>
      </c>
      <c r="I58" s="39">
        <f t="shared" si="21"/>
        <v>19.403928731332933</v>
      </c>
      <c r="J58" s="39">
        <f t="shared" si="21"/>
        <v>19.016044234926607</v>
      </c>
      <c r="K58" s="39">
        <f t="shared" si="21"/>
        <v>19.651097090071502</v>
      </c>
      <c r="L58" s="39">
        <f t="shared" si="21"/>
        <v>18.128735844107371</v>
      </c>
    </row>
    <row r="59" spans="1:12" ht="12.9" x14ac:dyDescent="0.35">
      <c r="A59" t="str">
        <f>A16</f>
        <v>Rest of manufacturing</v>
      </c>
      <c r="B59" s="39">
        <f t="shared" si="20"/>
        <v>0.14188316024179581</v>
      </c>
      <c r="C59" s="43">
        <f t="shared" si="20"/>
        <v>-2.4445285263448358</v>
      </c>
      <c r="D59" s="39">
        <f t="shared" si="20"/>
        <v>-1.5216526065494063</v>
      </c>
      <c r="E59" s="39">
        <f t="shared" si="20"/>
        <v>-1.0290988170286619</v>
      </c>
      <c r="F59" s="43">
        <f t="shared" si="18"/>
        <v>-1.1935565378666024</v>
      </c>
      <c r="H59" s="39">
        <f t="shared" si="21"/>
        <v>65.363689257419509</v>
      </c>
      <c r="I59" s="39">
        <f t="shared" si="21"/>
        <v>64.983008280692658</v>
      </c>
      <c r="J59" s="39">
        <f t="shared" si="21"/>
        <v>65.439630166807817</v>
      </c>
      <c r="K59" s="39">
        <f t="shared" si="21"/>
        <v>62.967322723339606</v>
      </c>
      <c r="L59" s="39">
        <f t="shared" si="21"/>
        <v>61.764931852014357</v>
      </c>
    </row>
    <row r="60" spans="1:12" ht="12.9" x14ac:dyDescent="0.35">
      <c r="B60" s="39"/>
      <c r="C60" s="43"/>
      <c r="D60" s="39"/>
      <c r="E60" s="39"/>
      <c r="F60" s="43"/>
      <c r="H60" s="39"/>
      <c r="I60" s="39"/>
      <c r="J60" s="39"/>
      <c r="K60" s="39"/>
      <c r="L60" s="39"/>
    </row>
    <row r="61" spans="1:12" s="29" customFormat="1" ht="12.9" x14ac:dyDescent="0.35">
      <c r="A61" s="29" t="str">
        <f>A18</f>
        <v>Construction</v>
      </c>
      <c r="B61" s="43">
        <f>IF(AND(C$5-B$5 &lt;&gt; 0,B18&lt;&gt;0,C18&lt;&gt;0),(EXP(LN(C18/B18)/(C$5-B$5))-1)*100,0)</f>
        <v>-0.30984577422111803</v>
      </c>
      <c r="C61" s="43">
        <f>IF(AND(D$5-C$5 &lt;&gt; 0,C18&lt;&gt;0,D18&lt;&gt;0),(EXP(LN(D18/C18)/(D$5-C$5))-1)*100,0)</f>
        <v>13.721591852638193</v>
      </c>
      <c r="D61" s="43">
        <f>IF(AND(E$5-D$5 &lt;&gt; 0,D18&lt;&gt;0,E18&lt;&gt;0),(EXP(LN(E18/D18)/(E$5-D$5))-1)*100,0)</f>
        <v>1.7177790067413934</v>
      </c>
      <c r="E61" s="43">
        <f>IF(AND(F$5-E$5 &lt;&gt; 0,E18&lt;&gt;0,F18&lt;&gt;0),(EXP(LN(F18/E18)/(F$5-E$5))-1)*100,0)</f>
        <v>1.0101950018486017</v>
      </c>
      <c r="F61" s="43">
        <f t="shared" si="18"/>
        <v>1.2455077280584037</v>
      </c>
      <c r="H61" s="43">
        <f>(B18/B$40)*100</f>
        <v>7.9661192775035001</v>
      </c>
      <c r="I61" s="43">
        <f>(C18/C$40)*100</f>
        <v>7.4966098688490241</v>
      </c>
      <c r="J61" s="43">
        <f>(D18/D$40)*100</f>
        <v>8.6136566407523585</v>
      </c>
      <c r="K61" s="43">
        <f>(E18/E$40)*100</f>
        <v>9.0760709845890748</v>
      </c>
      <c r="L61" s="43">
        <f>(F18/F$40)*100</f>
        <v>9.5578092739936213</v>
      </c>
    </row>
    <row r="62" spans="1:12" ht="12.9" x14ac:dyDescent="0.35">
      <c r="B62" s="39"/>
      <c r="C62" s="43"/>
      <c r="D62" s="39"/>
      <c r="E62" s="39"/>
      <c r="F62" s="43"/>
      <c r="H62" s="39"/>
      <c r="I62" s="39"/>
      <c r="J62" s="39"/>
      <c r="K62" s="39"/>
      <c r="L62" s="39"/>
    </row>
    <row r="63" spans="1:12" s="29" customFormat="1" ht="12.9" x14ac:dyDescent="0.35">
      <c r="A63" s="29" t="str">
        <f>A20</f>
        <v>Trade, accomod. and transport</v>
      </c>
      <c r="B63" s="43">
        <f t="shared" ref="B63:E66" si="22">IF(AND(C$5-B$5 &lt;&gt; 0,B20&lt;&gt;0,C20&lt;&gt;0),(EXP(LN(C20/B20)/(C$5-B$5))-1)*100,0)</f>
        <v>1.0196364900073807</v>
      </c>
      <c r="C63" s="43">
        <f t="shared" si="22"/>
        <v>-1.9575390281518334</v>
      </c>
      <c r="D63" s="43">
        <f t="shared" si="22"/>
        <v>0.62849978497572234</v>
      </c>
      <c r="E63" s="43">
        <f t="shared" si="22"/>
        <v>0.431301542353002</v>
      </c>
      <c r="F63" s="43">
        <f t="shared" si="18"/>
        <v>0.49699131437834776</v>
      </c>
      <c r="H63" s="43">
        <f>(B20/B$40)*100</f>
        <v>26.941018968078605</v>
      </c>
      <c r="I63" s="43">
        <f>(C20/C$40)*100</f>
        <v>26.732911291293387</v>
      </c>
      <c r="J63" s="43">
        <f>(D20/D$40)*100</f>
        <v>26.481353364936606</v>
      </c>
      <c r="K63" s="43">
        <f>(E20/E$40)*100</f>
        <v>26.440590540546538</v>
      </c>
      <c r="L63" s="43">
        <f>(F20/F$40)*100</f>
        <v>26.288780567747803</v>
      </c>
    </row>
    <row r="64" spans="1:12" ht="12.9" x14ac:dyDescent="0.35">
      <c r="A64" t="str">
        <f>A21</f>
        <v>Wholesale and retail trade</v>
      </c>
      <c r="B64" s="39">
        <f t="shared" si="22"/>
        <v>-0.74754095810608545</v>
      </c>
      <c r="C64" s="43">
        <f t="shared" si="22"/>
        <v>-2.4401185857664487</v>
      </c>
      <c r="D64" s="39">
        <f t="shared" si="22"/>
        <v>0.31464657838333743</v>
      </c>
      <c r="E64" s="39">
        <f t="shared" si="22"/>
        <v>0.16068997142020258</v>
      </c>
      <c r="F64" s="43">
        <f t="shared" si="18"/>
        <v>0.21198256882719591</v>
      </c>
      <c r="H64" s="39">
        <f t="shared" ref="H64:L66" si="23">(B21/B$20)*100</f>
        <v>60.545296857253398</v>
      </c>
      <c r="I64" s="39">
        <f t="shared" si="23"/>
        <v>56.41860052833372</v>
      </c>
      <c r="J64" s="39">
        <f t="shared" si="23"/>
        <v>56.14089979526036</v>
      </c>
      <c r="K64" s="39">
        <f t="shared" si="23"/>
        <v>55.270846448452424</v>
      </c>
      <c r="L64" s="39">
        <f t="shared" si="23"/>
        <v>53.799505223733668</v>
      </c>
    </row>
    <row r="65" spans="1:12" ht="12.9" x14ac:dyDescent="0.35">
      <c r="A65" t="str">
        <f>A22</f>
        <v>Transport and storage</v>
      </c>
      <c r="B65" s="39">
        <f>IF(AND(C$5-B$5 &lt;&gt; 0,B22&lt;&gt;0,C22&lt;&gt;0),(EXP(LN(C22/B22)/(C$5-B$5))-1)*100,0)</f>
        <v>6.0099674271038461</v>
      </c>
      <c r="C65" s="43">
        <f t="shared" si="22"/>
        <v>-4.5649786375577488</v>
      </c>
      <c r="D65" s="39">
        <f t="shared" si="22"/>
        <v>1.5864821455125133</v>
      </c>
      <c r="E65" s="39">
        <f t="shared" si="22"/>
        <v>0.2612177709061303</v>
      </c>
      <c r="F65" s="43">
        <f t="shared" si="18"/>
        <v>0.70104034215838773</v>
      </c>
      <c r="H65" s="39">
        <f t="shared" si="23"/>
        <v>16.726469709198593</v>
      </c>
      <c r="I65" s="39">
        <f t="shared" si="23"/>
        <v>20.284667207544306</v>
      </c>
      <c r="J65" s="39">
        <f t="shared" si="23"/>
        <v>19.74519640870588</v>
      </c>
      <c r="K65" s="39">
        <f t="shared" si="23"/>
        <v>20.703133106947149</v>
      </c>
      <c r="L65" s="39">
        <f t="shared" si="23"/>
        <v>20.355178583597205</v>
      </c>
    </row>
    <row r="66" spans="1:12" ht="12.9" x14ac:dyDescent="0.35">
      <c r="A66" t="str">
        <f>A23</f>
        <v>Accommodation and food</v>
      </c>
      <c r="B66" s="39">
        <f t="shared" si="22"/>
        <v>1.6454945542164756</v>
      </c>
      <c r="C66" s="43">
        <f t="shared" si="22"/>
        <v>1.4814629364349408</v>
      </c>
      <c r="D66" s="39">
        <f t="shared" si="22"/>
        <v>0.55504431846196134</v>
      </c>
      <c r="E66" s="39">
        <f t="shared" si="22"/>
        <v>1.1670512665995281</v>
      </c>
      <c r="F66" s="43">
        <f t="shared" si="18"/>
        <v>0.96263619385150712</v>
      </c>
      <c r="H66" s="39">
        <f t="shared" si="23"/>
        <v>22.728233433548017</v>
      </c>
      <c r="I66" s="39">
        <f t="shared" si="23"/>
        <v>23.296732264121967</v>
      </c>
      <c r="J66" s="39">
        <f t="shared" si="23"/>
        <v>24.11390379603376</v>
      </c>
      <c r="K66" s="39">
        <f t="shared" si="23"/>
        <v>24.026020444600423</v>
      </c>
      <c r="L66" s="39">
        <f t="shared" si="23"/>
        <v>25.845316192669131</v>
      </c>
    </row>
    <row r="67" spans="1:12" ht="12.9" x14ac:dyDescent="0.35">
      <c r="B67" s="39"/>
      <c r="C67" s="43"/>
      <c r="D67" s="39"/>
      <c r="E67" s="39"/>
      <c r="F67" s="43"/>
      <c r="H67" s="39"/>
      <c r="I67" s="39"/>
      <c r="J67" s="39"/>
      <c r="K67" s="39"/>
      <c r="L67" s="39"/>
    </row>
    <row r="68" spans="1:12" s="29" customFormat="1" ht="12.9" x14ac:dyDescent="0.35">
      <c r="A68" s="29" t="str">
        <f>A25</f>
        <v>Business and other services</v>
      </c>
      <c r="B68" s="43">
        <f t="shared" ref="B68:E71" si="24">IF(AND(C$5-B$5 &lt;&gt; 0,B25&lt;&gt;0,C25&lt;&gt;0),(EXP(LN(C25/B25)/(C$5-B$5))-1)*100,0)</f>
        <v>1.5070689364364842</v>
      </c>
      <c r="C68" s="43">
        <f t="shared" si="24"/>
        <v>-1.0000407599185301</v>
      </c>
      <c r="D68" s="43">
        <f t="shared" si="24"/>
        <v>0.57189305363016807</v>
      </c>
      <c r="E68" s="43">
        <f t="shared" si="24"/>
        <v>0.53462789924920706</v>
      </c>
      <c r="F68" s="43">
        <f t="shared" si="18"/>
        <v>0.54704808290675366</v>
      </c>
      <c r="H68" s="43">
        <f>(B25/B$40)*100</f>
        <v>32.518287480836904</v>
      </c>
      <c r="I68" s="43">
        <f>(C25/C$40)*100</f>
        <v>32.894390981410467</v>
      </c>
      <c r="J68" s="43">
        <f>(D25/D$40)*100</f>
        <v>32.903082107098278</v>
      </c>
      <c r="K68" s="43">
        <f>(E25/E$40)*100</f>
        <v>32.760135502017974</v>
      </c>
      <c r="L68" s="43">
        <f>(F25/F$40)*100</f>
        <v>32.908706979044574</v>
      </c>
    </row>
    <row r="69" spans="1:12" ht="12.9" x14ac:dyDescent="0.35">
      <c r="A69" t="str">
        <f>A26</f>
        <v>Media</v>
      </c>
      <c r="B69" s="39">
        <f t="shared" si="24"/>
        <v>-5.5616457249345945</v>
      </c>
      <c r="C69" s="43">
        <f t="shared" si="24"/>
        <v>7.1885533469866925</v>
      </c>
      <c r="D69" s="39">
        <f t="shared" si="24"/>
        <v>-0.67521006693416208</v>
      </c>
      <c r="E69" s="39">
        <f t="shared" si="24"/>
        <v>-0.14265026847698481</v>
      </c>
      <c r="F69" s="43">
        <f t="shared" si="18"/>
        <v>-0.32048672311942861</v>
      </c>
      <c r="H69" s="39">
        <f t="shared" ref="H69:L71" si="25">(B26/B$25)*100</f>
        <v>3.6784218773185606</v>
      </c>
      <c r="I69" s="39">
        <f t="shared" si="25"/>
        <v>2.7559417113667193</v>
      </c>
      <c r="J69" s="39">
        <f t="shared" si="25"/>
        <v>2.9838942098313361</v>
      </c>
      <c r="K69" s="39">
        <f t="shared" si="25"/>
        <v>2.8034226211397639</v>
      </c>
      <c r="L69" s="39">
        <f t="shared" si="25"/>
        <v>2.6201863482885468</v>
      </c>
    </row>
    <row r="70" spans="1:12" ht="12.9" x14ac:dyDescent="0.35">
      <c r="A70" t="str">
        <f>A27</f>
        <v>Information technology</v>
      </c>
      <c r="B70" s="39">
        <f t="shared" si="24"/>
        <v>0.40137941871507543</v>
      </c>
      <c r="C70" s="43">
        <f t="shared" si="24"/>
        <v>-1.0868922448519336</v>
      </c>
      <c r="D70" s="39">
        <f t="shared" si="24"/>
        <v>0.83950555842371433</v>
      </c>
      <c r="E70" s="39">
        <f t="shared" si="24"/>
        <v>0.48314393952513246</v>
      </c>
      <c r="F70" s="43">
        <f t="shared" si="18"/>
        <v>0.60179099630182087</v>
      </c>
      <c r="H70" s="39">
        <f t="shared" si="25"/>
        <v>8.3737635693349528</v>
      </c>
      <c r="I70" s="39">
        <f t="shared" si="25"/>
        <v>8.0148290403464557</v>
      </c>
      <c r="J70" s="39">
        <f t="shared" si="25"/>
        <v>8.0077977263036573</v>
      </c>
      <c r="K70" s="39">
        <f t="shared" si="25"/>
        <v>8.1149062686745701</v>
      </c>
      <c r="L70" s="39">
        <f t="shared" si="25"/>
        <v>8.0734453257065226</v>
      </c>
    </row>
    <row r="71" spans="1:12" ht="12.9" x14ac:dyDescent="0.35">
      <c r="A71" t="str">
        <f>A28</f>
        <v>Finance and insurance</v>
      </c>
      <c r="B71" s="39">
        <f t="shared" si="24"/>
        <v>0.41439677092671712</v>
      </c>
      <c r="C71" s="43">
        <f t="shared" si="24"/>
        <v>3.1755249650852191</v>
      </c>
      <c r="D71" s="39">
        <f t="shared" si="24"/>
        <v>-0.68999835437819623</v>
      </c>
      <c r="E71" s="39">
        <f t="shared" si="24"/>
        <v>-0.98719312648641866</v>
      </c>
      <c r="F71" s="43">
        <f t="shared" si="18"/>
        <v>-0.88822715456692292</v>
      </c>
      <c r="H71" s="39">
        <f t="shared" si="25"/>
        <v>7.4997458958127954</v>
      </c>
      <c r="I71" s="39">
        <f t="shared" si="25"/>
        <v>7.1819988871124352</v>
      </c>
      <c r="J71" s="39">
        <f t="shared" si="25"/>
        <v>7.4849172783949678</v>
      </c>
      <c r="K71" s="39">
        <f t="shared" si="25"/>
        <v>7.0269817562712182</v>
      </c>
      <c r="L71" s="39">
        <f t="shared" si="25"/>
        <v>6.0328954739639382</v>
      </c>
    </row>
    <row r="72" spans="1:12" ht="12.9" x14ac:dyDescent="0.35">
      <c r="A72" t="str">
        <f t="shared" ref="A72:A76" si="26">A29</f>
        <v>Real estate</v>
      </c>
      <c r="B72" s="39">
        <f t="shared" ref="B72:E72" si="27">IF(AND(C$5-B$5 &lt;&gt; 0,B29&lt;&gt;0,C29&lt;&gt;0),(EXP(LN(C29/B29)/(C$5-B$5))-1)*100,0)</f>
        <v>3.0913909614871837</v>
      </c>
      <c r="C72" s="43">
        <f t="shared" si="27"/>
        <v>2.5385616782858555</v>
      </c>
      <c r="D72" s="39">
        <f t="shared" si="27"/>
        <v>0.44348568615768524</v>
      </c>
      <c r="E72" s="39">
        <f t="shared" si="27"/>
        <v>1.3586802441962753</v>
      </c>
      <c r="F72" s="43">
        <f t="shared" si="18"/>
        <v>1.0526925871850112</v>
      </c>
      <c r="H72" s="39">
        <f t="shared" ref="H72:L72" si="28">(B29/B$25)*100</f>
        <v>4.5170159215123826</v>
      </c>
      <c r="I72" s="39">
        <f t="shared" si="28"/>
        <v>4.8056935022170117</v>
      </c>
      <c r="J72" s="39">
        <f t="shared" si="28"/>
        <v>4.9774656814657803</v>
      </c>
      <c r="K72" s="39">
        <f t="shared" si="28"/>
        <v>4.9457712762188519</v>
      </c>
      <c r="L72" s="39">
        <f t="shared" si="28"/>
        <v>5.3664458401381037</v>
      </c>
    </row>
    <row r="73" spans="1:12" ht="12.9" x14ac:dyDescent="0.35">
      <c r="A73" t="str">
        <f t="shared" si="26"/>
        <v>Professional services</v>
      </c>
      <c r="B73" s="39">
        <f t="shared" ref="B73:E73" si="29">IF(AND(C$5-B$5 &lt;&gt; 0,B30&lt;&gt;0,C30&lt;&gt;0),(EXP(LN(C30/B30)/(C$5-B$5))-1)*100,0)</f>
        <v>4.4955857760738294</v>
      </c>
      <c r="C73" s="43">
        <f t="shared" si="29"/>
        <v>-6.6930466789364207</v>
      </c>
      <c r="D73" s="39">
        <f t="shared" si="29"/>
        <v>1.055355747144282</v>
      </c>
      <c r="E73" s="39">
        <f t="shared" si="29"/>
        <v>0.79659066921049515</v>
      </c>
      <c r="F73" s="43">
        <f t="shared" si="18"/>
        <v>0.88277198895900799</v>
      </c>
      <c r="H73" s="39">
        <f t="shared" ref="H73:L73" si="30">(B30/B$25)*100</f>
        <v>27.921065687419599</v>
      </c>
      <c r="I73" s="39">
        <f t="shared" si="30"/>
        <v>31.357297026943513</v>
      </c>
      <c r="J73" s="39">
        <f t="shared" si="30"/>
        <v>29.554091460506104</v>
      </c>
      <c r="K73" s="39">
        <f t="shared" si="30"/>
        <v>30.27130646781589</v>
      </c>
      <c r="L73" s="39">
        <f t="shared" si="30"/>
        <v>31.069398457219467</v>
      </c>
    </row>
    <row r="74" spans="1:12" ht="12.9" x14ac:dyDescent="0.35">
      <c r="A74" t="str">
        <f t="shared" si="26"/>
        <v>Support services</v>
      </c>
      <c r="B74" s="39">
        <f t="shared" ref="B74:E74" si="31">IF(AND(C$5-B$5 &lt;&gt; 0,B31&lt;&gt;0,C31&lt;&gt;0),(EXP(LN(C31/B31)/(C$5-B$5))-1)*100,0)</f>
        <v>0.56477601630542384</v>
      </c>
      <c r="C74" s="43">
        <f t="shared" si="31"/>
        <v>-5.9819533432708294</v>
      </c>
      <c r="D74" s="39">
        <f t="shared" si="31"/>
        <v>1.2085806855028247</v>
      </c>
      <c r="E74" s="39">
        <f t="shared" si="31"/>
        <v>0.7328502714468943</v>
      </c>
      <c r="F74" s="43">
        <f t="shared" si="18"/>
        <v>0.89117809248573376</v>
      </c>
      <c r="H74" s="39">
        <f>(B31/B$25)*100</f>
        <v>30.455867894281351</v>
      </c>
      <c r="I74" s="39">
        <f t="shared" ref="I74:L74" si="32">(C31/C$25)*100</f>
        <v>29.340627153881911</v>
      </c>
      <c r="J74" s="39">
        <f t="shared" si="32"/>
        <v>27.86413725688211</v>
      </c>
      <c r="K74" s="39">
        <f t="shared" si="32"/>
        <v>28.757368918231258</v>
      </c>
      <c r="L74" s="39">
        <f t="shared" si="32"/>
        <v>29.329430271239932</v>
      </c>
    </row>
    <row r="75" spans="1:12" ht="12.9" x14ac:dyDescent="0.35">
      <c r="A75" t="str">
        <f t="shared" si="26"/>
        <v>Arts and entertainment</v>
      </c>
      <c r="B75" s="39">
        <f t="shared" ref="B75:E75" si="33">IF(AND(C$5-B$5 &lt;&gt; 0,B32&lt;&gt;0,C32&lt;&gt;0),(EXP(LN(C32/B32)/(C$5-B$5))-1)*100,0)</f>
        <v>3.8857171586723638</v>
      </c>
      <c r="C75" s="43">
        <f t="shared" si="33"/>
        <v>17.9383527039519</v>
      </c>
      <c r="D75" s="39">
        <f t="shared" si="33"/>
        <v>-1.0753048530512954</v>
      </c>
      <c r="E75" s="39">
        <f t="shared" si="33"/>
        <v>0.36399959442086072</v>
      </c>
      <c r="F75" s="43">
        <f t="shared" si="18"/>
        <v>-0.11808043003224133</v>
      </c>
      <c r="H75" s="39">
        <f t="shared" ref="H75:L75" si="34">(B32/B$25)*100</f>
        <v>7.5235964645202493</v>
      </c>
      <c r="I75" s="39">
        <f t="shared" si="34"/>
        <v>8.2539857075038832</v>
      </c>
      <c r="J75" s="39">
        <f t="shared" si="34"/>
        <v>9.832948266415567</v>
      </c>
      <c r="K75" s="39">
        <f t="shared" si="34"/>
        <v>9.0536610786934979</v>
      </c>
      <c r="L75" s="39">
        <f t="shared" si="34"/>
        <v>8.9011697718212499</v>
      </c>
    </row>
    <row r="76" spans="1:12" ht="12.9" x14ac:dyDescent="0.35">
      <c r="A76" t="str">
        <f t="shared" si="26"/>
        <v>Other services</v>
      </c>
      <c r="B76" s="39">
        <f t="shared" ref="B76:E76" si="35">IF(AND(C$5-B$5 &lt;&gt; 0,B33&lt;&gt;0,C33&lt;&gt;0),(EXP(LN(C33/B33)/(C$5-B$5))-1)*100,0)</f>
        <v>-3.2169858631856729</v>
      </c>
      <c r="C76" s="43">
        <f t="shared" si="35"/>
        <v>11.003750627991572</v>
      </c>
      <c r="D76" s="39">
        <f t="shared" si="35"/>
        <v>-1.525059448563848E-2</v>
      </c>
      <c r="E76" s="39">
        <f t="shared" si="35"/>
        <v>5.7274247426541969E-2</v>
      </c>
      <c r="F76" s="43">
        <f t="shared" si="18"/>
        <v>3.3093456833865886E-2</v>
      </c>
      <c r="H76" s="39">
        <f t="shared" ref="H76:L76" si="36">(B33/B$25)*100</f>
        <v>10.030522689800108</v>
      </c>
      <c r="I76" s="39">
        <f t="shared" si="36"/>
        <v>8.2896269706280687</v>
      </c>
      <c r="J76" s="39">
        <f t="shared" si="36"/>
        <v>9.2947481202004791</v>
      </c>
      <c r="K76" s="39">
        <f t="shared" si="36"/>
        <v>9.0265816129549563</v>
      </c>
      <c r="L76" s="39">
        <f t="shared" si="36"/>
        <v>8.6070285116222767</v>
      </c>
    </row>
    <row r="77" spans="1:12" ht="12.9" x14ac:dyDescent="0.35">
      <c r="B77" s="39"/>
      <c r="C77" s="43"/>
      <c r="D77" s="39"/>
      <c r="E77" s="39"/>
      <c r="F77" s="43"/>
      <c r="H77" s="39"/>
      <c r="I77" s="39"/>
      <c r="J77" s="39"/>
      <c r="K77" s="39"/>
      <c r="L77" s="39"/>
    </row>
    <row r="78" spans="1:12" s="29" customFormat="1" ht="12.9" x14ac:dyDescent="0.35">
      <c r="A78" s="29" t="str">
        <f>A35</f>
        <v>Non-marketed services</v>
      </c>
      <c r="B78" s="43">
        <f t="shared" ref="B78:E79" si="37">IF(AND(C$5-B$5 &lt;&gt; 0,B35&lt;&gt;0,C35&lt;&gt;0),(EXP(LN(C35/B35)/(C$5-B$5))-1)*100,0)</f>
        <v>1.7733563434519928</v>
      </c>
      <c r="C78" s="43">
        <f t="shared" ref="C78:C83" si="38">IF(AND(D$5-C$5 &lt;&gt; 0,C35&lt;&gt;0,D35&lt;&gt;0),(EXP(LN(D35/C35)/(D$5-C$5))-1)*100,0)</f>
        <v>-1.224777605815075</v>
      </c>
      <c r="D78" s="43">
        <f t="shared" si="37"/>
        <v>0.84111839095273311</v>
      </c>
      <c r="E78" s="43">
        <f t="shared" si="37"/>
        <v>0.65496044373922757</v>
      </c>
      <c r="F78" s="43">
        <f t="shared" si="18"/>
        <v>0.71697487730901788</v>
      </c>
      <c r="H78" s="43">
        <f>(B35/B$40)*100</f>
        <v>22.840264298940301</v>
      </c>
      <c r="I78" s="43">
        <f>(C35/C$40)*100</f>
        <v>23.347831360273751</v>
      </c>
      <c r="J78" s="43">
        <f>(D35/D$40)*100</f>
        <v>23.300984943682622</v>
      </c>
      <c r="K78" s="43">
        <f>(E35/E$40)*100</f>
        <v>23.511943593932301</v>
      </c>
      <c r="L78" s="43">
        <f>(F35/F$40)*100</f>
        <v>23.902797766652061</v>
      </c>
    </row>
    <row r="79" spans="1:12" ht="12.9" x14ac:dyDescent="0.35">
      <c r="A79" t="str">
        <f>A36</f>
        <v>Public admin. and defence</v>
      </c>
      <c r="B79" s="39">
        <f t="shared" si="37"/>
        <v>-1.6831039817547966</v>
      </c>
      <c r="C79" s="43">
        <f t="shared" si="38"/>
        <v>2.6316998651089163</v>
      </c>
      <c r="D79" s="39">
        <f t="shared" si="37"/>
        <v>1.2788620781638782</v>
      </c>
      <c r="E79" s="39">
        <f t="shared" si="37"/>
        <v>0.58584907604237735</v>
      </c>
      <c r="F79" s="43">
        <f t="shared" si="18"/>
        <v>0.81632490948853054</v>
      </c>
      <c r="H79" s="39">
        <f>(B36/B$35)*100</f>
        <v>13.349132027098371</v>
      </c>
      <c r="I79" s="39">
        <f t="shared" ref="I79:L81" si="39">(C36/C$35)*100</f>
        <v>11.625972069628084</v>
      </c>
      <c r="J79" s="39">
        <f t="shared" si="39"/>
        <v>12.079884480831643</v>
      </c>
      <c r="K79" s="39">
        <f t="shared" si="39"/>
        <v>12.344360007709199</v>
      </c>
      <c r="L79" s="39">
        <f t="shared" si="39"/>
        <v>12.259862987041622</v>
      </c>
    </row>
    <row r="80" spans="1:12" ht="12.9" x14ac:dyDescent="0.35">
      <c r="A80" t="str">
        <f>A37</f>
        <v>Education</v>
      </c>
      <c r="B80" s="39">
        <f t="shared" ref="B80:E81" si="40">IF(AND(C$5-B$5 &lt;&gt; 0,B37&lt;&gt;0,C37&lt;&gt;0),(EXP(LN(C37/B37)/(C$5-B$5))-1)*100,0)</f>
        <v>1.6888602519428142</v>
      </c>
      <c r="C80" s="43">
        <f t="shared" si="38"/>
        <v>0.65495821030743251</v>
      </c>
      <c r="D80" s="39">
        <f t="shared" si="40"/>
        <v>-0.28998882753159538</v>
      </c>
      <c r="E80" s="39">
        <f t="shared" si="40"/>
        <v>0.16392843983084049</v>
      </c>
      <c r="F80" s="43">
        <f t="shared" si="18"/>
        <v>1.2393547226130508E-2</v>
      </c>
      <c r="H80" s="39">
        <f>(B37/B$35)*100</f>
        <v>37.704671408212988</v>
      </c>
      <c r="I80" s="39">
        <f t="shared" si="39"/>
        <v>37.579611879994559</v>
      </c>
      <c r="J80" s="39">
        <f t="shared" si="39"/>
        <v>38.29476838073019</v>
      </c>
      <c r="K80" s="39">
        <f t="shared" si="39"/>
        <v>36.194701853324574</v>
      </c>
      <c r="L80" s="39">
        <f t="shared" si="39"/>
        <v>34.46725293974638</v>
      </c>
    </row>
    <row r="81" spans="1:12" ht="12.9" x14ac:dyDescent="0.35">
      <c r="A81" t="str">
        <f>A38</f>
        <v>Health and social work</v>
      </c>
      <c r="B81" s="39">
        <f>IF(AND(C$5-B$5 &lt;&gt; 0,B38&lt;&gt;0,C38&lt;&gt;0),(EXP(LN(C38/B38)/(C$5-B$5))-1)*100,0)</f>
        <v>2.720790443227572</v>
      </c>
      <c r="C81" s="43">
        <f t="shared" si="38"/>
        <v>-3.4981582399460587</v>
      </c>
      <c r="D81" s="39">
        <f t="shared" si="40"/>
        <v>1.5763216736531582</v>
      </c>
      <c r="E81" s="39">
        <f t="shared" si="40"/>
        <v>1.0038744767301599</v>
      </c>
      <c r="F81" s="43">
        <f t="shared" si="18"/>
        <v>1.1943308522234908</v>
      </c>
      <c r="H81" s="39">
        <f>(B38/B$35)*100</f>
        <v>48.946196564688634</v>
      </c>
      <c r="I81" s="39">
        <f t="shared" si="39"/>
        <v>50.794416050377357</v>
      </c>
      <c r="J81" s="39">
        <f t="shared" si="39"/>
        <v>49.62534713843818</v>
      </c>
      <c r="K81" s="39">
        <f t="shared" si="39"/>
        <v>51.460938138966213</v>
      </c>
      <c r="L81" s="39">
        <f t="shared" si="39"/>
        <v>53.272884073212012</v>
      </c>
    </row>
    <row r="82" spans="1:12" ht="12.9" x14ac:dyDescent="0.35">
      <c r="B82" s="39"/>
      <c r="C82" s="43"/>
      <c r="D82" s="39"/>
      <c r="E82" s="39"/>
      <c r="F82" s="43"/>
      <c r="H82" s="39"/>
      <c r="I82" s="39"/>
      <c r="J82" s="39"/>
      <c r="K82" s="39"/>
      <c r="L82" s="39"/>
    </row>
    <row r="83" spans="1:12" ht="12.9" x14ac:dyDescent="0.35">
      <c r="A83" s="23" t="str">
        <f>A40</f>
        <v>All industries</v>
      </c>
      <c r="B83" s="42">
        <f>IF(AND(C$5-B$5 &lt;&gt; 0,B40&lt;&gt;0,C40&lt;&gt;0),(EXP(LN(C40/B40)/(C$5-B$5))-1)*100,0)</f>
        <v>1.2156670242623679</v>
      </c>
      <c r="C83" s="206">
        <f t="shared" si="38"/>
        <v>-1.0261909268251657</v>
      </c>
      <c r="D83" s="42">
        <f>IF(AND(E$5-D$5 &lt;&gt; 0,D40&lt;&gt;0,E40&lt;&gt;0),(EXP(LN(E40/D40)/(E$5-D$5))-1)*100,0)</f>
        <v>0.65950797804075201</v>
      </c>
      <c r="E83" s="42">
        <f>IF(AND(F$5-E$5 &lt;&gt; 0,E40&lt;&gt;0,F40&lt;&gt;0),(EXP(LN(F40/E40)/(F$5-E$5))-1)*100,0)</f>
        <v>0.48914750314454913</v>
      </c>
      <c r="F83" s="206">
        <f t="shared" si="18"/>
        <v>0.54590226783473028</v>
      </c>
      <c r="G83" s="23"/>
      <c r="H83" s="42">
        <f>(B40/B$40)*100</f>
        <v>100</v>
      </c>
      <c r="I83" s="42">
        <f>(C40/C$40)*100</f>
        <v>100</v>
      </c>
      <c r="J83" s="42">
        <f>(D40/D$40)*100</f>
        <v>100</v>
      </c>
      <c r="K83" s="42">
        <f>(E40/E$40)*100</f>
        <v>100</v>
      </c>
      <c r="L83" s="42">
        <f>(F40/F$40)*100</f>
        <v>100</v>
      </c>
    </row>
    <row r="86" spans="1:12" x14ac:dyDescent="0.3">
      <c r="A86" s="35"/>
      <c r="B86" s="27" t="s">
        <v>14</v>
      </c>
      <c r="C86" s="27"/>
    </row>
    <row r="87" spans="1:12" x14ac:dyDescent="0.3">
      <c r="A87" s="23"/>
      <c r="B87" s="36" t="str">
        <f>B5&amp;"-"&amp;D5</f>
        <v>2015-2020</v>
      </c>
      <c r="C87" s="36" t="str">
        <f>F48</f>
        <v>2020-2035</v>
      </c>
    </row>
    <row r="89" spans="1:12" ht="12.9" x14ac:dyDescent="0.35">
      <c r="A89" s="29" t="str">
        <f>A7</f>
        <v>Primary sector and utilities</v>
      </c>
      <c r="B89" s="43">
        <f>IF(AND(D$5-B$5 &lt;&gt; 0,B7&lt;&gt;0,D7&lt;&gt;0),(EXP(LN(D7/B7)/(D$5-B$5))-1)*100,0)</f>
        <v>-5.1384622305172485</v>
      </c>
      <c r="C89" s="43">
        <f>IF(AND(F$5-D$5 &lt;&gt; 0,D7&lt;&gt;0,F7&lt;&gt;0),(EXP(LN(F7/D7)/(F$5-D$5))-1)*100,0)</f>
        <v>0.24713101632760637</v>
      </c>
    </row>
    <row r="90" spans="1:12" ht="12.9" x14ac:dyDescent="0.35">
      <c r="A90" s="29" t="str">
        <f t="shared" ref="A90:A122" si="41">A8</f>
        <v>Agriculture</v>
      </c>
      <c r="B90" s="43">
        <f t="shared" ref="B90:B122" si="42">IF(AND(D$5-B$5 &lt;&gt; 0,B8&lt;&gt;0,D8&lt;&gt;0),(EXP(LN(D8/B8)/(D$5-B$5))-1)*100,0)</f>
        <v>-9.0174266424126728</v>
      </c>
      <c r="C90" s="43">
        <f t="shared" ref="C90:C122" si="43">IF(AND(F$5-D$5 &lt;&gt; 0,D8&lt;&gt;0,F8&lt;&gt;0),(EXP(LN(F8/D8)/(F$5-D$5))-1)*100,0)</f>
        <v>0.15935461299412257</v>
      </c>
    </row>
    <row r="91" spans="1:12" ht="12.9" x14ac:dyDescent="0.35">
      <c r="A91" s="29" t="str">
        <f t="shared" si="41"/>
        <v>Mining and quarrying</v>
      </c>
      <c r="B91" s="43">
        <f t="shared" si="42"/>
        <v>2.5046577309398632</v>
      </c>
      <c r="C91" s="43">
        <f t="shared" si="43"/>
        <v>-4.4264463795055553</v>
      </c>
    </row>
    <row r="92" spans="1:12" ht="12.9" x14ac:dyDescent="0.35">
      <c r="A92" s="29" t="str">
        <f t="shared" si="41"/>
        <v>Electricity and gas</v>
      </c>
      <c r="B92" s="43">
        <f t="shared" si="42"/>
        <v>-3.1995906014511188</v>
      </c>
      <c r="C92" s="43">
        <f t="shared" si="43"/>
        <v>-0.76223504679517884</v>
      </c>
    </row>
    <row r="93" spans="1:12" ht="12.9" x14ac:dyDescent="0.35">
      <c r="A93" s="29" t="str">
        <f t="shared" si="41"/>
        <v>Water and sewerage</v>
      </c>
      <c r="B93" s="43">
        <f t="shared" si="42"/>
        <v>-0.61433091320027833</v>
      </c>
      <c r="C93" s="43">
        <f t="shared" si="43"/>
        <v>1.0098345442218992</v>
      </c>
    </row>
    <row r="94" spans="1:12" ht="12.9" x14ac:dyDescent="0.35">
      <c r="A94" s="29"/>
      <c r="B94" s="43"/>
      <c r="C94" s="43"/>
    </row>
    <row r="95" spans="1:12" ht="12.9" x14ac:dyDescent="0.35">
      <c r="A95" s="29" t="str">
        <f t="shared" si="41"/>
        <v>Manufacturing</v>
      </c>
      <c r="B95" s="43">
        <f t="shared" si="42"/>
        <v>-0.40395936370751784</v>
      </c>
      <c r="C95" s="43">
        <f t="shared" si="43"/>
        <v>-0.81213891267825078</v>
      </c>
    </row>
    <row r="96" spans="1:12" ht="12.9" x14ac:dyDescent="0.35">
      <c r="A96" s="29" t="str">
        <f t="shared" si="41"/>
        <v>Food drink and tobacco</v>
      </c>
      <c r="B96" s="43">
        <f t="shared" si="42"/>
        <v>0.80638747052073079</v>
      </c>
      <c r="C96" s="43">
        <f t="shared" si="43"/>
        <v>0.90420302521347917</v>
      </c>
    </row>
    <row r="97" spans="1:3" ht="12.9" x14ac:dyDescent="0.35">
      <c r="A97" s="29" t="str">
        <f t="shared" si="41"/>
        <v>Engineering</v>
      </c>
      <c r="B97" s="43">
        <f t="shared" si="42"/>
        <v>-1.4067926739187886</v>
      </c>
      <c r="C97" s="43">
        <f t="shared" si="43"/>
        <v>-1.1276140329146811</v>
      </c>
    </row>
    <row r="98" spans="1:3" ht="12.9" x14ac:dyDescent="0.35">
      <c r="A98" s="29" t="str">
        <f t="shared" si="41"/>
        <v>Rest of manufacturing</v>
      </c>
      <c r="B98" s="43">
        <f t="shared" si="42"/>
        <v>-0.38082755613005892</v>
      </c>
      <c r="C98" s="43">
        <f t="shared" si="43"/>
        <v>-1.1935565378666024</v>
      </c>
    </row>
    <row r="99" spans="1:3" ht="12.9" x14ac:dyDescent="0.35">
      <c r="A99" s="29"/>
      <c r="B99" s="43"/>
      <c r="C99" s="43"/>
    </row>
    <row r="100" spans="1:3" ht="12.9" x14ac:dyDescent="0.35">
      <c r="A100" s="29" t="str">
        <f t="shared" si="41"/>
        <v>Construction</v>
      </c>
      <c r="B100" s="43">
        <f t="shared" si="42"/>
        <v>2.3506017480688035</v>
      </c>
      <c r="C100" s="43">
        <f t="shared" si="43"/>
        <v>1.2455077280584037</v>
      </c>
    </row>
    <row r="101" spans="1:3" ht="12.9" x14ac:dyDescent="0.35">
      <c r="A101" s="29"/>
      <c r="B101" s="43"/>
      <c r="C101" s="43"/>
    </row>
    <row r="102" spans="1:3" ht="12.9" x14ac:dyDescent="0.35">
      <c r="A102" s="29" t="str">
        <f t="shared" si="41"/>
        <v>Trade, accomod. and transport</v>
      </c>
      <c r="B102" s="43">
        <f t="shared" si="42"/>
        <v>0.41705535868024057</v>
      </c>
      <c r="C102" s="43">
        <f t="shared" si="43"/>
        <v>0.49699131437834776</v>
      </c>
    </row>
    <row r="103" spans="1:3" ht="12.9" x14ac:dyDescent="0.35">
      <c r="A103" s="29" t="str">
        <f t="shared" si="41"/>
        <v>Wholesale and retail trade</v>
      </c>
      <c r="B103" s="43">
        <f t="shared" si="42"/>
        <v>-1.088389512974608</v>
      </c>
      <c r="C103" s="43">
        <f t="shared" si="43"/>
        <v>0.21198256882719591</v>
      </c>
    </row>
    <row r="104" spans="1:3" ht="12.9" x14ac:dyDescent="0.35">
      <c r="A104" s="29" t="str">
        <f t="shared" si="41"/>
        <v>Transport and storage</v>
      </c>
      <c r="B104" s="43">
        <f t="shared" si="42"/>
        <v>3.8051537098244603</v>
      </c>
      <c r="C104" s="43">
        <f t="shared" si="43"/>
        <v>0.70104034215838773</v>
      </c>
    </row>
    <row r="105" spans="1:3" ht="12.9" x14ac:dyDescent="0.35">
      <c r="A105" s="29" t="str">
        <f t="shared" si="41"/>
        <v>Accommodation and food</v>
      </c>
      <c r="B105" s="43">
        <f t="shared" si="42"/>
        <v>1.6126670334956517</v>
      </c>
      <c r="C105" s="43">
        <f t="shared" si="43"/>
        <v>0.96263619385150712</v>
      </c>
    </row>
    <row r="106" spans="1:3" ht="12.9" x14ac:dyDescent="0.35">
      <c r="A106" s="29"/>
      <c r="B106" s="43"/>
      <c r="C106" s="43"/>
    </row>
    <row r="107" spans="1:3" ht="12.9" x14ac:dyDescent="0.35">
      <c r="A107" s="29" t="str">
        <f t="shared" si="41"/>
        <v>Business and other services</v>
      </c>
      <c r="B107" s="43">
        <f t="shared" si="42"/>
        <v>1.0006184696311982</v>
      </c>
      <c r="C107" s="43">
        <f t="shared" si="43"/>
        <v>0.54704808290675366</v>
      </c>
    </row>
    <row r="108" spans="1:3" ht="12.9" x14ac:dyDescent="0.35">
      <c r="A108" s="29" t="str">
        <f t="shared" si="41"/>
        <v>Media</v>
      </c>
      <c r="B108" s="43">
        <f t="shared" si="42"/>
        <v>-3.1391200564011679</v>
      </c>
      <c r="C108" s="43">
        <f t="shared" si="43"/>
        <v>-0.32048672311942861</v>
      </c>
    </row>
    <row r="109" spans="1:3" ht="12.9" x14ac:dyDescent="0.35">
      <c r="A109" s="29" t="str">
        <f t="shared" si="41"/>
        <v>Information technology</v>
      </c>
      <c r="B109" s="43">
        <f t="shared" si="42"/>
        <v>0.10194434638812755</v>
      </c>
      <c r="C109" s="43">
        <f t="shared" si="43"/>
        <v>0.60179099630182087</v>
      </c>
    </row>
    <row r="110" spans="1:3" ht="12.9" x14ac:dyDescent="0.35">
      <c r="A110" s="29" t="str">
        <f t="shared" si="41"/>
        <v>Finance and insurance</v>
      </c>
      <c r="B110" s="43">
        <f t="shared" si="42"/>
        <v>0.96064683676744256</v>
      </c>
      <c r="C110" s="43">
        <f t="shared" si="43"/>
        <v>-0.88822715456692292</v>
      </c>
    </row>
    <row r="111" spans="1:3" ht="12.9" x14ac:dyDescent="0.35">
      <c r="A111" s="29" t="str">
        <f t="shared" si="41"/>
        <v>Real estate</v>
      </c>
      <c r="B111" s="43">
        <f t="shared" si="42"/>
        <v>2.9805871744002399</v>
      </c>
      <c r="C111" s="43">
        <f t="shared" si="43"/>
        <v>1.0526925871850112</v>
      </c>
    </row>
    <row r="112" spans="1:3" ht="12.9" x14ac:dyDescent="0.35">
      <c r="A112" s="29" t="str">
        <f t="shared" si="41"/>
        <v>Professional services</v>
      </c>
      <c r="B112" s="43">
        <f t="shared" si="42"/>
        <v>2.1553597832734139</v>
      </c>
      <c r="C112" s="43">
        <f t="shared" si="43"/>
        <v>0.88277198895900799</v>
      </c>
    </row>
    <row r="113" spans="1:3" ht="12.9" x14ac:dyDescent="0.35">
      <c r="A113" s="29" t="str">
        <f t="shared" si="41"/>
        <v>Support services</v>
      </c>
      <c r="B113" s="43">
        <f t="shared" si="42"/>
        <v>-0.78006063158857497</v>
      </c>
      <c r="C113" s="43">
        <f t="shared" si="43"/>
        <v>0.89117809248573376</v>
      </c>
    </row>
    <row r="114" spans="1:3" ht="12.9" x14ac:dyDescent="0.35">
      <c r="A114" s="29" t="str">
        <f t="shared" si="41"/>
        <v>Arts and entertainment</v>
      </c>
      <c r="B114" s="43">
        <f t="shared" si="42"/>
        <v>6.5554543566492152</v>
      </c>
      <c r="C114" s="43">
        <f t="shared" si="43"/>
        <v>-0.11808043003224133</v>
      </c>
    </row>
    <row r="115" spans="1:3" ht="12.9" x14ac:dyDescent="0.35">
      <c r="A115" s="29" t="str">
        <f t="shared" si="41"/>
        <v>Other services</v>
      </c>
      <c r="B115" s="43">
        <f t="shared" si="42"/>
        <v>-0.52662682102594394</v>
      </c>
      <c r="C115" s="43">
        <f t="shared" si="43"/>
        <v>3.3093456833865886E-2</v>
      </c>
    </row>
    <row r="116" spans="1:3" ht="12.9" x14ac:dyDescent="0.35">
      <c r="A116" s="29"/>
      <c r="B116" s="43"/>
      <c r="C116" s="43"/>
    </row>
    <row r="117" spans="1:3" ht="12.9" x14ac:dyDescent="0.35">
      <c r="A117" s="29" t="str">
        <f t="shared" si="41"/>
        <v>Non-marketed services</v>
      </c>
      <c r="B117" s="43">
        <f t="shared" si="42"/>
        <v>1.1665362846994709</v>
      </c>
      <c r="C117" s="43">
        <f t="shared" si="43"/>
        <v>0.71697487730901788</v>
      </c>
    </row>
    <row r="118" spans="1:3" ht="12.9" x14ac:dyDescent="0.35">
      <c r="A118" s="29" t="str">
        <f t="shared" si="41"/>
        <v>Public admin. and defence</v>
      </c>
      <c r="B118" s="43">
        <f t="shared" si="42"/>
        <v>-0.83490516756158373</v>
      </c>
      <c r="C118" s="43">
        <f t="shared" si="43"/>
        <v>0.81632490948853054</v>
      </c>
    </row>
    <row r="119" spans="1:3" ht="12.9" x14ac:dyDescent="0.35">
      <c r="A119" s="29" t="str">
        <f t="shared" si="41"/>
        <v>Education</v>
      </c>
      <c r="B119" s="43">
        <f t="shared" si="42"/>
        <v>1.4812337165341471</v>
      </c>
      <c r="C119" s="43">
        <f t="shared" si="43"/>
        <v>1.2393547226130508E-2</v>
      </c>
    </row>
    <row r="120" spans="1:3" ht="12.9" x14ac:dyDescent="0.35">
      <c r="A120" s="29" t="str">
        <f t="shared" si="41"/>
        <v>Health and social work</v>
      </c>
      <c r="B120" s="43">
        <f t="shared" si="42"/>
        <v>1.4457372122555379</v>
      </c>
      <c r="C120" s="43">
        <f t="shared" si="43"/>
        <v>1.1943308522234908</v>
      </c>
    </row>
    <row r="121" spans="1:3" ht="12.9" x14ac:dyDescent="0.35">
      <c r="A121" s="29"/>
      <c r="B121" s="43"/>
      <c r="C121" s="43"/>
    </row>
    <row r="122" spans="1:3" ht="12.9" x14ac:dyDescent="0.35">
      <c r="A122" s="344" t="str">
        <f t="shared" si="41"/>
        <v>All industries</v>
      </c>
      <c r="B122" s="206">
        <f t="shared" si="42"/>
        <v>0.76326935937189866</v>
      </c>
      <c r="C122" s="206">
        <f t="shared" si="43"/>
        <v>0.54590226783473028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0"/>
  <dimension ref="A1:Q577"/>
  <sheetViews>
    <sheetView showGridLines="0" zoomScale="85" zoomScaleNormal="85" workbookViewId="0"/>
  </sheetViews>
  <sheetFormatPr defaultColWidth="9.15234375" defaultRowHeight="12.45" x14ac:dyDescent="0.3"/>
  <cols>
    <col min="1" max="1" width="22.15234375" style="282" customWidth="1"/>
    <col min="2" max="2" width="9.15234375" style="283"/>
    <col min="3" max="3" width="9.23046875" style="282" customWidth="1"/>
    <col min="4" max="4" width="9.15234375" style="283"/>
    <col min="5" max="5" width="9.23046875" style="282" customWidth="1"/>
    <col min="6" max="6" width="9.15234375" style="283"/>
    <col min="7" max="7" width="9.23046875" style="282" customWidth="1"/>
    <col min="8" max="8" width="9.15234375" style="283"/>
    <col min="9" max="9" width="9.23046875" style="282" customWidth="1"/>
    <col min="10" max="10" width="5.53515625" style="282" customWidth="1"/>
    <col min="11" max="14" width="9.23046875" style="283" customWidth="1"/>
    <col min="15" max="16384" width="9.15234375" style="282"/>
  </cols>
  <sheetData>
    <row r="1" spans="1:17" ht="15.45" x14ac:dyDescent="0.4">
      <c r="A1" s="18" t="str">
        <f>CONCATENATE("Industry Table 5  Employment status by Industry (SIC 2007) and Gender, ",A$8,"-",A$18,", ",Info!B5)</f>
        <v>Industry Table 5  Employment status by Industry (SIC 2007) and Gender, 2020-2035, East</v>
      </c>
    </row>
    <row r="2" spans="1:17" x14ac:dyDescent="0.3">
      <c r="A2" s="1" t="s">
        <v>534</v>
      </c>
    </row>
    <row r="5" spans="1:17" x14ac:dyDescent="0.3">
      <c r="A5" s="288"/>
      <c r="B5" s="289" t="s">
        <v>379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3">
      <c r="N6" s="287" t="s">
        <v>377</v>
      </c>
    </row>
    <row r="7" spans="1:17" x14ac:dyDescent="0.3">
      <c r="A7" s="296" t="s">
        <v>378</v>
      </c>
      <c r="B7" s="371" t="s">
        <v>376</v>
      </c>
      <c r="C7" s="371"/>
      <c r="D7" s="371" t="s">
        <v>375</v>
      </c>
      <c r="E7" s="371"/>
      <c r="F7" s="371" t="s">
        <v>374</v>
      </c>
      <c r="G7" s="371"/>
      <c r="H7" s="371" t="s">
        <v>32</v>
      </c>
      <c r="I7" s="371"/>
      <c r="J7" s="296"/>
      <c r="K7" s="297" t="s">
        <v>339</v>
      </c>
      <c r="L7" s="297" t="s">
        <v>341</v>
      </c>
      <c r="M7" s="297" t="s">
        <v>337</v>
      </c>
      <c r="N7" s="297" t="s">
        <v>32</v>
      </c>
    </row>
    <row r="8" spans="1:17" x14ac:dyDescent="0.3">
      <c r="A8" s="286">
        <f>'Ind T6'!L5</f>
        <v>2020</v>
      </c>
      <c r="B8" s="287" t="s">
        <v>60</v>
      </c>
      <c r="C8" s="19" t="s">
        <v>373</v>
      </c>
      <c r="D8" s="287" t="s">
        <v>60</v>
      </c>
      <c r="E8" s="19" t="s">
        <v>373</v>
      </c>
      <c r="F8" s="287" t="s">
        <v>60</v>
      </c>
      <c r="G8" s="19" t="s">
        <v>373</v>
      </c>
      <c r="H8" s="287" t="s">
        <v>60</v>
      </c>
      <c r="I8" s="19" t="s">
        <v>373</v>
      </c>
      <c r="J8" s="181"/>
      <c r="K8" s="286" t="str">
        <f>CONCATENATE(A8," - ",A13)</f>
        <v>2020 - 2025</v>
      </c>
      <c r="L8" s="285"/>
      <c r="M8" s="285"/>
    </row>
    <row r="9" spans="1:17" x14ac:dyDescent="0.3">
      <c r="A9" s="282" t="s">
        <v>355</v>
      </c>
      <c r="B9" s="249">
        <f>SUM(B30,B51,B72,B93,B114,B135,B156,B177,B198,B219,B240,B261,B282,B303,B324,B345,B366,B387,B408,B429,B450,B471)</f>
        <v>1092.1149999978995</v>
      </c>
      <c r="C9" s="299" t="str">
        <f>CONCATENATE("(",ROUND((B9/$H11)*100,1),")")</f>
        <v>(34.4)</v>
      </c>
      <c r="D9" s="249">
        <f>SUM(D30,D51,D72,D93,D114,D135,D156,D177,D198,D219,D240,D261,D282,D303,D324,D345,D366,D387,D408,D429,D450,D471)</f>
        <v>276.73300000099351</v>
      </c>
      <c r="E9" s="299" t="str">
        <f>CONCATENATE("(",ROUND((D9/$H11)*100,1),")")</f>
        <v>(8.7)</v>
      </c>
      <c r="F9" s="249">
        <f>SUM(F30,F51,F72,F93,F114,F135,F156,F177,F198,F219,F240,F261,F282,F303,F324,F345,F366,F387,F408,F429,F450,F471)</f>
        <v>266.05600000020036</v>
      </c>
      <c r="G9" s="299" t="str">
        <f>CONCATENATE("(",ROUND((F9/$H11)*100,1),")")</f>
        <v>(8.4)</v>
      </c>
      <c r="H9" s="249">
        <f>SUM(H30,H51,H72,H93,H114,H135,H156,H177,H198,H219,H240,H261,H282,H303,H324,H345,H366,H387,H408,H429,H450,H471)</f>
        <v>1634.9039999990932</v>
      </c>
      <c r="I9" s="299" t="str">
        <f>CONCATENATE("(",ROUND((H9/$H11)*100,1),")")</f>
        <v>(51.5)</v>
      </c>
      <c r="K9" s="249">
        <f>B14-B9</f>
        <v>32.436000000521062</v>
      </c>
      <c r="L9" s="249">
        <f>D14-D9</f>
        <v>9.8239999998078247</v>
      </c>
      <c r="M9" s="249">
        <f>F14-F9</f>
        <v>14.912999998801865</v>
      </c>
      <c r="N9" s="249">
        <f>SUM(K9:M9)</f>
        <v>57.172999999130752</v>
      </c>
      <c r="O9" s="298"/>
      <c r="P9" s="298"/>
      <c r="Q9" s="298"/>
    </row>
    <row r="10" spans="1:17" x14ac:dyDescent="0.3">
      <c r="A10" s="282" t="s">
        <v>356</v>
      </c>
      <c r="B10" s="249">
        <f t="shared" ref="B10:B21" si="0">SUM(B31,B52,B73,B94,B115,B136,B157,B178,B199,B220,B241,B262,B283,B304,B325,B346,B367,B388,B409,B430,B451,B472)</f>
        <v>672.33400000230279</v>
      </c>
      <c r="C10" s="299" t="str">
        <f>CONCATENATE("(",ROUND((B10/$H11)*100,1),")")</f>
        <v>(21.2)</v>
      </c>
      <c r="D10" s="249">
        <f t="shared" ref="D10" si="1">SUM(D31,D52,D73,D94,D115,D136,D157,D178,D199,D220,D241,D262,D283,D304,D325,D346,D367,D388,D409,D430,D451,D472)</f>
        <v>697.0729999953578</v>
      </c>
      <c r="E10" s="299" t="str">
        <f>CONCATENATE("(",ROUND((D10/$H11)*100,1),")")</f>
        <v>(22)</v>
      </c>
      <c r="F10" s="249">
        <f t="shared" ref="F10" si="2">SUM(F31,F52,F73,F94,F115,F136,F157,F178,F199,F220,F241,F262,F283,F304,F325,F346,F367,F388,F409,F430,F451,F472)</f>
        <v>169.88100000164576</v>
      </c>
      <c r="G10" s="299" t="str">
        <f>CONCATENATE("(",ROUND((F10/$H11)*100,1),")")</f>
        <v>(5.4)</v>
      </c>
      <c r="H10" s="249">
        <f t="shared" ref="H10" si="3">SUM(H31,H52,H73,H94,H115,H136,H157,H178,H199,H220,H241,H262,H283,H304,H325,H346,H367,H388,H409,H430,H451,H472)</f>
        <v>1539.2879999993058</v>
      </c>
      <c r="I10" s="299" t="str">
        <f>CONCATENATE("(",ROUND((H10/$H11)*100,1),")")</f>
        <v>(48.5)</v>
      </c>
      <c r="K10" s="249">
        <f t="shared" ref="K10:K11" si="4">B15-B10</f>
        <v>34.158000001060145</v>
      </c>
      <c r="L10" s="249">
        <f t="shared" ref="L10:L11" si="5">D15-D10</f>
        <v>9.5190000023130779</v>
      </c>
      <c r="M10" s="249">
        <f t="shared" ref="M10:M11" si="6">F15-F10</f>
        <v>5.2099999991006882</v>
      </c>
      <c r="N10" s="249">
        <f t="shared" ref="N10:N11" si="7">SUM(K10:M10)</f>
        <v>48.887000002473911</v>
      </c>
      <c r="O10" s="298"/>
      <c r="P10" s="298"/>
      <c r="Q10" s="298"/>
    </row>
    <row r="11" spans="1:17" x14ac:dyDescent="0.3">
      <c r="A11" s="282" t="s">
        <v>354</v>
      </c>
      <c r="B11" s="249">
        <f t="shared" si="0"/>
        <v>1764.449000000202</v>
      </c>
      <c r="C11" s="299" t="str">
        <f>CONCATENATE("(",ROUND((B11/$H11)*100,1),")")</f>
        <v>(55.6)</v>
      </c>
      <c r="D11" s="249">
        <f t="shared" ref="D11" si="8">SUM(D32,D53,D74,D95,D116,D137,D158,D179,D200,D221,D242,D263,D284,D305,D326,D347,D368,D389,D410,D431,D452,D473)</f>
        <v>973.80599999635126</v>
      </c>
      <c r="E11" s="299" t="str">
        <f>CONCATENATE("(",ROUND((D11/$H11)*100,1),")")</f>
        <v>(30.7)</v>
      </c>
      <c r="F11" s="249">
        <f t="shared" ref="F11" si="9">SUM(F32,F53,F74,F95,F116,F137,F158,F179,F200,F221,F242,F263,F284,F305,F326,F347,F368,F389,F410,F431,F452,F473)</f>
        <v>435.93700000184612</v>
      </c>
      <c r="G11" s="299" t="str">
        <f>CONCATENATE("(",ROUND((F11/$H11)*100,1),")")</f>
        <v>(13.7)</v>
      </c>
      <c r="H11" s="249">
        <f t="shared" ref="H11" si="10">SUM(H32,H53,H74,H95,H116,H137,H158,H179,H200,H221,H242,H263,H284,H305,H326,H347,H368,H389,H410,H431,H452,H473)</f>
        <v>3174.1919999983993</v>
      </c>
      <c r="I11" s="299" t="str">
        <f>CONCATENATE("(",ROUND((H11/$H11)*100,1),")")</f>
        <v>(100)</v>
      </c>
      <c r="K11" s="249">
        <f t="shared" si="4"/>
        <v>66.594000001581435</v>
      </c>
      <c r="L11" s="249">
        <f t="shared" si="5"/>
        <v>19.343000002121016</v>
      </c>
      <c r="M11" s="249">
        <f t="shared" si="6"/>
        <v>20.122999997902582</v>
      </c>
      <c r="N11" s="249">
        <f t="shared" si="7"/>
        <v>106.06000000160503</v>
      </c>
      <c r="O11" s="298"/>
      <c r="P11" s="298"/>
      <c r="Q11" s="298"/>
    </row>
    <row r="12" spans="1:17" x14ac:dyDescent="0.3">
      <c r="B12" s="249"/>
      <c r="C12" s="284"/>
      <c r="D12" s="249"/>
      <c r="E12" s="284"/>
      <c r="F12" s="249"/>
      <c r="G12" s="284"/>
      <c r="H12" s="249"/>
      <c r="I12" s="284"/>
    </row>
    <row r="13" spans="1:17" x14ac:dyDescent="0.3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3">
      <c r="A14" s="282" t="s">
        <v>355</v>
      </c>
      <c r="B14" s="249">
        <f>SUM(B35,B56,B77,B98,B119,B140,B161,B182,B203,B224,B245,B266,B287,B308,B329,B350,B371,B392,B413,B434,B455,B476)</f>
        <v>1124.5509999984206</v>
      </c>
      <c r="C14" s="299" t="str">
        <f>CONCATENATE("(",ROUND((B14/$H16)*100,1),")")</f>
        <v>(34.3)</v>
      </c>
      <c r="D14" s="249">
        <f t="shared" ref="D14" si="11">SUM(D35,D56,D77,D98,D119,D140,D161,D182,D203,D224,D245,D266,D287,D308,D329,D350,D371,D392,D413,D434,D455,D476)</f>
        <v>286.55700000080134</v>
      </c>
      <c r="E14" s="299" t="str">
        <f>CONCATENATE("(",ROUND((D14/$H16)*100,1),")")</f>
        <v>(8.7)</v>
      </c>
      <c r="F14" s="249">
        <f t="shared" ref="F14" si="12">SUM(F35,F56,F77,F98,F119,F140,F161,F182,F203,F224,F245,F266,F287,F308,F329,F350,F371,F392,F413,F434,F455,F476)</f>
        <v>280.96899999900222</v>
      </c>
      <c r="G14" s="299" t="str">
        <f>CONCATENATE("(",ROUND((F14/$H16)*100,1),")")</f>
        <v>(8.6)</v>
      </c>
      <c r="H14" s="249">
        <f t="shared" ref="H14" si="13">SUM(H35,H56,H77,H98,H119,H140,H161,H182,H203,H224,H245,H266,H287,H308,H329,H350,H371,H392,H413,H434,H455,H476)</f>
        <v>1692.0769999982242</v>
      </c>
      <c r="I14" s="299" t="str">
        <f>CONCATENATE("(",ROUND((H14/$H16)*100,1),")")</f>
        <v>(51.6)</v>
      </c>
      <c r="K14" s="249">
        <f>B19-B14</f>
        <v>32.718999999065318</v>
      </c>
      <c r="L14" s="249">
        <f>D19-D14</f>
        <v>20.081999999729476</v>
      </c>
      <c r="M14" s="249">
        <f>F19-F14</f>
        <v>23.79300000125744</v>
      </c>
      <c r="N14" s="249">
        <f>SUM(K14:M14)</f>
        <v>76.594000000052233</v>
      </c>
    </row>
    <row r="15" spans="1:17" x14ac:dyDescent="0.3">
      <c r="A15" s="282" t="s">
        <v>356</v>
      </c>
      <c r="B15" s="249">
        <f t="shared" si="0"/>
        <v>706.49200000336293</v>
      </c>
      <c r="C15" s="299" t="str">
        <f>CONCATENATE("(",ROUND((B15/$H16)*100,1),")")</f>
        <v>(21.5)</v>
      </c>
      <c r="D15" s="249">
        <f t="shared" ref="D15" si="14">SUM(D36,D57,D78,D99,D120,D141,D162,D183,D204,D225,D246,D267,D288,D309,D330,D351,D372,D393,D414,D435,D456,D477)</f>
        <v>706.59199999767088</v>
      </c>
      <c r="E15" s="299" t="str">
        <f>CONCATENATE("(",ROUND((D15/$H16)*100,1),")")</f>
        <v>(21.5)</v>
      </c>
      <c r="F15" s="249">
        <f t="shared" ref="F15" si="15">SUM(F36,F57,F78,F99,F120,F141,F162,F183,F204,F225,F246,F267,F288,F309,F330,F351,F372,F393,F414,F435,F456,F477)</f>
        <v>175.09100000074645</v>
      </c>
      <c r="G15" s="299" t="str">
        <f>CONCATENATE("(",ROUND((F15/$H16)*100,1),")")</f>
        <v>(5.3)</v>
      </c>
      <c r="H15" s="249">
        <f t="shared" ref="H15" si="16">SUM(H36,H57,H78,H99,H120,H141,H162,H183,H204,H225,H246,H267,H288,H309,H330,H351,H372,H393,H414,H435,H456,H477)</f>
        <v>1588.1750000017805</v>
      </c>
      <c r="I15" s="299" t="str">
        <f>CONCATENATE("(",ROUND((H15/$H16)*100,1),")")</f>
        <v>(48.4)</v>
      </c>
      <c r="K15" s="249">
        <f t="shared" ref="K15:K16" si="17">B20-B15</f>
        <v>60.00399999860565</v>
      </c>
      <c r="L15" s="249">
        <f t="shared" ref="L15:L16" si="18">D20-D15</f>
        <v>13.857999999109097</v>
      </c>
      <c r="M15" s="249">
        <f t="shared" ref="M15:M16" si="19">F20-F15</f>
        <v>13.57500000012891</v>
      </c>
      <c r="N15" s="249">
        <f t="shared" ref="N15:N16" si="20">SUM(K15:M15)</f>
        <v>87.436999997843657</v>
      </c>
    </row>
    <row r="16" spans="1:17" x14ac:dyDescent="0.3">
      <c r="A16" s="282" t="s">
        <v>354</v>
      </c>
      <c r="B16" s="249">
        <f t="shared" si="0"/>
        <v>1831.0430000017834</v>
      </c>
      <c r="C16" s="299" t="str">
        <f>CONCATENATE("(",ROUND((B16/$H16)*100,1),")")</f>
        <v>(55.8)</v>
      </c>
      <c r="D16" s="249">
        <f t="shared" ref="D16" si="21">SUM(D37,D58,D79,D100,D121,D142,D163,D184,D205,D226,D247,D268,D289,D310,D331,D352,D373,D394,D415,D436,D457,D478)</f>
        <v>993.14899999847228</v>
      </c>
      <c r="E16" s="299" t="str">
        <f>CONCATENATE("(",ROUND((D16/$H16)*100,1),")")</f>
        <v>(30.3)</v>
      </c>
      <c r="F16" s="249">
        <f t="shared" ref="F16" si="22">SUM(F37,F58,F79,F100,F121,F142,F163,F184,F205,F226,F247,F268,F289,F310,F331,F352,F373,F394,F415,F436,F457,F478)</f>
        <v>456.0599999997487</v>
      </c>
      <c r="G16" s="299" t="str">
        <f>CONCATENATE("(",ROUND((F16/$H16)*100,1),")")</f>
        <v>(13.9)</v>
      </c>
      <c r="H16" s="249">
        <f t="shared" ref="H16" si="23">SUM(H37,H58,H79,H100,H121,H142,H163,H184,H205,H226,H247,H268,H289,H310,H331,H352,H373,H394,H415,H436,H457,H478)</f>
        <v>3280.252000000004</v>
      </c>
      <c r="I16" s="299" t="str">
        <f>CONCATENATE("(",ROUND((H16/$H16)*100,1),")")</f>
        <v>(100)</v>
      </c>
      <c r="K16" s="249">
        <f t="shared" si="17"/>
        <v>92.722999997670968</v>
      </c>
      <c r="L16" s="249">
        <f t="shared" si="18"/>
        <v>33.939999998838516</v>
      </c>
      <c r="M16" s="249">
        <f t="shared" si="19"/>
        <v>37.368000001386292</v>
      </c>
      <c r="N16" s="249">
        <f t="shared" si="20"/>
        <v>164.03099999789578</v>
      </c>
    </row>
    <row r="17" spans="1:14" x14ac:dyDescent="0.3">
      <c r="B17" s="249"/>
      <c r="C17" s="284"/>
      <c r="D17" s="249"/>
      <c r="E17" s="284"/>
      <c r="F17" s="249"/>
      <c r="G17" s="284"/>
      <c r="H17" s="249"/>
      <c r="I17" s="284"/>
    </row>
    <row r="18" spans="1:14" x14ac:dyDescent="0.3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3">
      <c r="A19" s="282" t="s">
        <v>355</v>
      </c>
      <c r="B19" s="249">
        <f t="shared" si="0"/>
        <v>1157.2699999974859</v>
      </c>
      <c r="C19" s="299" t="str">
        <f>CONCATENATE("(",ROUND((B19/$H21)*100,1),")")</f>
        <v>(33.6)</v>
      </c>
      <c r="D19" s="249">
        <f t="shared" ref="D19" si="24">SUM(D40,D61,D82,D103,D124,D145,D166,D187,D208,D229,D250,D271,D292,D313,D334,D355,D376,D397,D418,D439,D460,D481)</f>
        <v>306.63900000053081</v>
      </c>
      <c r="E19" s="299" t="str">
        <f>CONCATENATE("(",ROUND((D19/$H21)*100,1),")")</f>
        <v>(8.9)</v>
      </c>
      <c r="F19" s="249">
        <f t="shared" ref="F19" si="25">SUM(F40,F61,F82,F103,F124,F145,F166,F187,F208,F229,F250,F271,F292,F313,F334,F355,F376,F397,F418,F439,F460,F481)</f>
        <v>304.76200000025966</v>
      </c>
      <c r="G19" s="299" t="str">
        <f>CONCATENATE("(",ROUND((F19/$H21)*100,1),")")</f>
        <v>(8.8)</v>
      </c>
      <c r="H19" s="249">
        <f t="shared" ref="H19" si="26">SUM(H40,H61,H82,H103,H124,H145,H166,H187,H208,H229,H250,H271,H292,H313,H334,H355,H376,H397,H418,H439,H460,H481)</f>
        <v>1768.670999998277</v>
      </c>
      <c r="I19" s="299" t="str">
        <f>CONCATENATE("(",ROUND((H19/$H21)*100,1),")")</f>
        <v>(51.4)</v>
      </c>
      <c r="K19" s="249">
        <f>B19-B9</f>
        <v>65.15499999958638</v>
      </c>
      <c r="L19" s="249">
        <f>D19-D9</f>
        <v>29.9059999995373</v>
      </c>
      <c r="M19" s="249">
        <f>F19-F9</f>
        <v>38.706000000059305</v>
      </c>
      <c r="N19" s="249">
        <f>SUM(K19:M19)</f>
        <v>133.76699999918299</v>
      </c>
    </row>
    <row r="20" spans="1:14" x14ac:dyDescent="0.3">
      <c r="A20" s="282" t="s">
        <v>356</v>
      </c>
      <c r="B20" s="249">
        <f t="shared" si="0"/>
        <v>766.49600000196858</v>
      </c>
      <c r="C20" s="299" t="str">
        <f>CONCATENATE("(",ROUND((B20/$H21)*100,1),")")</f>
        <v>(22.3)</v>
      </c>
      <c r="D20" s="249">
        <f t="shared" ref="D20" si="27">SUM(D41,D62,D83,D104,D125,D146,D167,D188,D209,D230,D251,D272,D293,D314,D335,D356,D377,D398,D419,D440,D461,D482)</f>
        <v>720.44999999677998</v>
      </c>
      <c r="E20" s="299" t="str">
        <f>CONCATENATE("(",ROUND((D20/$H21)*100,1),")")</f>
        <v>(20.9)</v>
      </c>
      <c r="F20" s="249">
        <f t="shared" ref="F20" si="28">SUM(F41,F62,F83,F104,F125,F146,F167,F188,F209,F230,F251,F272,F293,F314,F335,F356,F377,F398,F419,F440,F461,F482)</f>
        <v>188.66600000087536</v>
      </c>
      <c r="G20" s="299" t="str">
        <f>CONCATENATE("(",ROUND((F20/$H21)*100,1),")")</f>
        <v>(5.5)</v>
      </c>
      <c r="H20" s="249">
        <f t="shared" ref="H20" si="29">SUM(H41,H62,H83,H104,H125,H146,H167,H188,H209,H230,H251,H272,H293,H314,H335,H356,H377,H398,H419,H440,H461,H482)</f>
        <v>1675.6119999996235</v>
      </c>
      <c r="I20" s="299" t="str">
        <f>CONCATENATE("(",ROUND((H20/$H21)*100,1),")")</f>
        <v>(48.6)</v>
      </c>
      <c r="K20" s="249">
        <f t="shared" ref="K20:K21" si="30">B20-B10</f>
        <v>94.161999999665795</v>
      </c>
      <c r="L20" s="249">
        <f t="shared" ref="L20:L21" si="31">D20-D10</f>
        <v>23.377000001422175</v>
      </c>
      <c r="M20" s="249">
        <f t="shared" ref="M20:M21" si="32">F20-F10</f>
        <v>18.784999999229598</v>
      </c>
      <c r="N20" s="249">
        <f t="shared" ref="N20:N21" si="33">SUM(K20:M20)</f>
        <v>136.32400000031757</v>
      </c>
    </row>
    <row r="21" spans="1:14" x14ac:dyDescent="0.3">
      <c r="A21" s="282" t="s">
        <v>354</v>
      </c>
      <c r="B21" s="249">
        <f t="shared" si="0"/>
        <v>1923.7659999994544</v>
      </c>
      <c r="C21" s="299" t="str">
        <f>CONCATENATE("(",ROUND((B21/$H21)*100,1),")")</f>
        <v>(55.9)</v>
      </c>
      <c r="D21" s="249">
        <f t="shared" ref="D21" si="34">SUM(D42,D63,D84,D105,D126,D147,D168,D189,D210,D231,D252,D273,D294,D315,D336,D357,D378,D399,D420,D441,D462,D483)</f>
        <v>1027.0889999973108</v>
      </c>
      <c r="E21" s="299" t="str">
        <f>CONCATENATE("(",ROUND((D21/$H21)*100,1),")")</f>
        <v>(29.8)</v>
      </c>
      <c r="F21" s="249">
        <f>SUM(F42,F63,F84,F105,F126,F147,F168,F189,F210,F231,F252,F273,F294,F315,F336,F357,F378,F399,F420,F441,F462,F483)</f>
        <v>493.42800000113499</v>
      </c>
      <c r="G21" s="299" t="str">
        <f>CONCATENATE("(",ROUND((F21/$H21)*100,1),")")</f>
        <v>(14.3)</v>
      </c>
      <c r="H21" s="249">
        <f t="shared" ref="H21" si="35">SUM(H42,H63,H84,H105,H126,H147,H168,H189,H210,H231,H252,H273,H294,H315,H336,H357,H378,H399,H420,H441,H462,H483)</f>
        <v>3444.2829999978999</v>
      </c>
      <c r="I21" s="299" t="str">
        <f>CONCATENATE("(",ROUND((H21/$H21)*100,1),")")</f>
        <v>(100)</v>
      </c>
      <c r="K21" s="249">
        <f t="shared" si="30"/>
        <v>159.3169999992524</v>
      </c>
      <c r="L21" s="249">
        <f t="shared" si="31"/>
        <v>53.283000000959532</v>
      </c>
      <c r="M21" s="249">
        <f t="shared" si="32"/>
        <v>57.490999999288874</v>
      </c>
      <c r="N21" s="249">
        <f t="shared" si="33"/>
        <v>270.09099999950081</v>
      </c>
    </row>
    <row r="22" spans="1:14" x14ac:dyDescent="0.3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3">
      <c r="A26" s="288"/>
      <c r="B26" s="289" t="s">
        <v>379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3">
      <c r="N27" s="287" t="s">
        <v>377</v>
      </c>
    </row>
    <row r="28" spans="1:14" x14ac:dyDescent="0.3">
      <c r="A28" s="296" t="s">
        <v>378</v>
      </c>
      <c r="B28" s="371" t="s">
        <v>376</v>
      </c>
      <c r="C28" s="371"/>
      <c r="D28" s="371" t="s">
        <v>375</v>
      </c>
      <c r="E28" s="371"/>
      <c r="F28" s="371" t="s">
        <v>374</v>
      </c>
      <c r="G28" s="371"/>
      <c r="H28" s="371" t="s">
        <v>32</v>
      </c>
      <c r="I28" s="371"/>
      <c r="J28" s="296"/>
      <c r="K28" s="297" t="s">
        <v>339</v>
      </c>
      <c r="L28" s="297" t="s">
        <v>341</v>
      </c>
      <c r="M28" s="297" t="s">
        <v>337</v>
      </c>
      <c r="N28" s="297" t="s">
        <v>32</v>
      </c>
    </row>
    <row r="29" spans="1:14" x14ac:dyDescent="0.3">
      <c r="A29" s="292">
        <f>$A$8</f>
        <v>2020</v>
      </c>
      <c r="B29" s="287" t="s">
        <v>60</v>
      </c>
      <c r="C29" s="19" t="s">
        <v>373</v>
      </c>
      <c r="D29" s="287" t="s">
        <v>60</v>
      </c>
      <c r="E29" s="19" t="s">
        <v>373</v>
      </c>
      <c r="F29" s="287" t="s">
        <v>60</v>
      </c>
      <c r="G29" s="19" t="s">
        <v>373</v>
      </c>
      <c r="H29" s="287" t="s">
        <v>60</v>
      </c>
      <c r="I29" s="19" t="s">
        <v>373</v>
      </c>
      <c r="J29" s="181"/>
      <c r="K29" s="286" t="str">
        <f>CONCATENATE(A29," - ",A34)</f>
        <v>2020 - 2025</v>
      </c>
      <c r="L29" s="285"/>
      <c r="M29" s="285"/>
    </row>
    <row r="30" spans="1:14" x14ac:dyDescent="0.3">
      <c r="A30" s="282" t="s">
        <v>355</v>
      </c>
      <c r="B30" s="302">
        <f>'Ind T6'!L10</f>
        <v>14.746000000057702</v>
      </c>
      <c r="C30" s="299" t="str">
        <f>CONCATENATE("(",ROUND((B30/$H32)*100,1),")")</f>
        <v>(58)</v>
      </c>
      <c r="D30" s="302">
        <f>'Ind T6'!M10</f>
        <v>1.1090000000054707</v>
      </c>
      <c r="E30" s="299" t="str">
        <f>CONCATENATE("(",ROUND((D30/$H32)*100,1),")")</f>
        <v>(4.4)</v>
      </c>
      <c r="F30" s="302">
        <f>'Ind T6'!N10</f>
        <v>0</v>
      </c>
      <c r="G30" s="299" t="str">
        <f>CONCATENATE("(",ROUND((F30/$H32)*100,1),")")</f>
        <v>(0)</v>
      </c>
      <c r="H30" s="302">
        <f>SUM(B30,D30,F30)</f>
        <v>15.855000000063173</v>
      </c>
      <c r="I30" s="299" t="str">
        <f>CONCATENATE("(",ROUND((H30/$H32)*100,1),")")</f>
        <v>(62.3)</v>
      </c>
      <c r="K30" s="302">
        <f>B35-B30</f>
        <v>0.94300000006154328</v>
      </c>
      <c r="L30" s="302">
        <f>D35-D30</f>
        <v>4.1000000002561876E-2</v>
      </c>
      <c r="M30" s="302">
        <f>F35-F30</f>
        <v>0</v>
      </c>
      <c r="N30" s="302">
        <f>SUM(K30:M30)</f>
        <v>0.98400000006410515</v>
      </c>
    </row>
    <row r="31" spans="1:14" x14ac:dyDescent="0.3">
      <c r="A31" s="282" t="s">
        <v>356</v>
      </c>
      <c r="B31" s="302">
        <f>'Ind T6'!L9</f>
        <v>3.7179999999534772</v>
      </c>
      <c r="C31" s="299" t="str">
        <f>CONCATENATE("(",ROUND((B31/$H32)*100,1),")")</f>
        <v>(14.6)</v>
      </c>
      <c r="D31" s="302">
        <f>'Ind T6'!M9</f>
        <v>4.1619999999933528</v>
      </c>
      <c r="E31" s="299" t="str">
        <f>CONCATENATE("(",ROUND((D31/$H32)*100,1),")")</f>
        <v>(16.4)</v>
      </c>
      <c r="F31" s="302">
        <f>'Ind T6'!N9</f>
        <v>1.7079999999333819</v>
      </c>
      <c r="G31" s="299" t="str">
        <f>CONCATENATE("(",ROUND((F31/$H32)*100,1),")")</f>
        <v>(6.7)</v>
      </c>
      <c r="H31" s="302">
        <f t="shared" ref="H31" si="36">SUM(B31,D31,F31)</f>
        <v>9.5879999998802123</v>
      </c>
      <c r="I31" s="299" t="str">
        <f>CONCATENATE("(",ROUND((H31/$H32)*100,1),")")</f>
        <v>(37.7)</v>
      </c>
      <c r="K31" s="302">
        <f t="shared" ref="K31:K32" si="37">B36-B31</f>
        <v>0.10900000009199928</v>
      </c>
      <c r="L31" s="302">
        <f t="shared" ref="L31:L32" si="38">D36-D31</f>
        <v>-7.9999999430171442E-3</v>
      </c>
      <c r="M31" s="302">
        <f t="shared" ref="M31:M32" si="39">F36-F31</f>
        <v>7.500000004733165E-2</v>
      </c>
      <c r="N31" s="302">
        <f t="shared" ref="N31:N32" si="40">SUM(K31:M31)</f>
        <v>0.17600000019631379</v>
      </c>
    </row>
    <row r="32" spans="1:14" x14ac:dyDescent="0.3">
      <c r="A32" s="282" t="s">
        <v>354</v>
      </c>
      <c r="B32" s="302">
        <f>SUM(B30:B31)</f>
        <v>18.464000000011179</v>
      </c>
      <c r="C32" s="299" t="str">
        <f>CONCATENATE("(",ROUND((B32/$H32)*100,1),")")</f>
        <v>(72.6)</v>
      </c>
      <c r="D32" s="302">
        <f>SUM(D30:D31)</f>
        <v>5.2709999999988231</v>
      </c>
      <c r="E32" s="299" t="str">
        <f>CONCATENATE("(",ROUND((D32/$H32)*100,1),")")</f>
        <v>(20.7)</v>
      </c>
      <c r="F32" s="302">
        <f>SUM(F30:F31)</f>
        <v>1.7079999999333819</v>
      </c>
      <c r="G32" s="299" t="str">
        <f>CONCATENATE("(",ROUND((F32/$H32)*100,1),")")</f>
        <v>(6.7)</v>
      </c>
      <c r="H32" s="302">
        <f>SUM(H30:H31)</f>
        <v>25.442999999943385</v>
      </c>
      <c r="I32" s="299" t="str">
        <f>CONCATENATE("(",ROUND((H32/$H32)*100,1),")")</f>
        <v>(100)</v>
      </c>
      <c r="K32" s="302">
        <f t="shared" si="37"/>
        <v>1.0520000001535443</v>
      </c>
      <c r="L32" s="302">
        <f t="shared" si="38"/>
        <v>3.3000000059544732E-2</v>
      </c>
      <c r="M32" s="302">
        <f t="shared" si="39"/>
        <v>7.500000004733165E-2</v>
      </c>
      <c r="N32" s="302">
        <f t="shared" si="40"/>
        <v>1.1600000002604207</v>
      </c>
    </row>
    <row r="33" spans="1:14" x14ac:dyDescent="0.3">
      <c r="B33" s="302"/>
      <c r="C33" s="284"/>
      <c r="D33" s="302"/>
      <c r="E33" s="284"/>
      <c r="F33" s="302"/>
      <c r="G33" s="284"/>
      <c r="H33" s="302"/>
      <c r="I33" s="284"/>
    </row>
    <row r="34" spans="1:14" x14ac:dyDescent="0.3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3">
      <c r="A35" s="282" t="s">
        <v>355</v>
      </c>
      <c r="B35" s="302">
        <f>'Ind T6'!Q10</f>
        <v>15.689000000119245</v>
      </c>
      <c r="C35" s="299" t="str">
        <f>CONCATENATE("(",ROUND((B35/$H37)*100,1),")")</f>
        <v>(59)</v>
      </c>
      <c r="D35" s="302">
        <f>'Ind T6'!R10</f>
        <v>1.1500000000080326</v>
      </c>
      <c r="E35" s="299" t="str">
        <f>CONCATENATE("(",ROUND((D35/$H37)*100,1),")")</f>
        <v>(4.3)</v>
      </c>
      <c r="F35" s="302">
        <f>'Ind T6'!S10</f>
        <v>0</v>
      </c>
      <c r="G35" s="299" t="str">
        <f>CONCATENATE("(",ROUND((F35/$H37)*100,1),")")</f>
        <v>(0)</v>
      </c>
      <c r="H35" s="302">
        <f>SUM(B35,D35,F35)</f>
        <v>16.839000000127278</v>
      </c>
      <c r="I35" s="299" t="str">
        <f>CONCATENATE("(",ROUND((H35/$H37)*100,1),")")</f>
        <v>(63.3)</v>
      </c>
      <c r="K35" s="302">
        <f>B40-B35</f>
        <v>0.32000000000414452</v>
      </c>
      <c r="L35" s="302">
        <f>D40-D35</f>
        <v>-6.1999999996204647E-2</v>
      </c>
      <c r="M35" s="302">
        <f>F40-F35</f>
        <v>0</v>
      </c>
      <c r="N35" s="302">
        <f>SUM(K35:M35)</f>
        <v>0.25800000000793988</v>
      </c>
    </row>
    <row r="36" spans="1:14" x14ac:dyDescent="0.3">
      <c r="A36" s="282" t="s">
        <v>356</v>
      </c>
      <c r="B36" s="302">
        <f>'Ind T6'!Q9</f>
        <v>3.8270000000454765</v>
      </c>
      <c r="C36" s="299" t="str">
        <f>CONCATENATE("(",ROUND((B36/$H37)*100,1),")")</f>
        <v>(14.4)</v>
      </c>
      <c r="D36" s="302">
        <f>'Ind T6'!R9</f>
        <v>4.1540000000503357</v>
      </c>
      <c r="E36" s="299" t="str">
        <f>CONCATENATE("(",ROUND((D36/$H37)*100,1),")")</f>
        <v>(15.6)</v>
      </c>
      <c r="F36" s="302">
        <f>'Ind T6'!S9</f>
        <v>1.7829999999807136</v>
      </c>
      <c r="G36" s="299" t="str">
        <f>CONCATENATE("(",ROUND((F36/$H37)*100,1),")")</f>
        <v>(6.7)</v>
      </c>
      <c r="H36" s="302">
        <f t="shared" ref="H36" si="41">SUM(B36,D36,F36)</f>
        <v>9.7640000000765248</v>
      </c>
      <c r="I36" s="299" t="str">
        <f>CONCATENATE("(",ROUND((H36/$H37)*100,1),")")</f>
        <v>(36.7)</v>
      </c>
      <c r="K36" s="302">
        <f t="shared" ref="K36:K37" si="42">B41-B36</f>
        <v>-0.22800000004574805</v>
      </c>
      <c r="L36" s="302">
        <f t="shared" ref="L36:L37" si="43">D41-D36</f>
        <v>-0.52100000007731673</v>
      </c>
      <c r="M36" s="302">
        <f t="shared" ref="M36:M37" si="44">F41-F36</f>
        <v>-5.4000000001866555E-2</v>
      </c>
      <c r="N36" s="302">
        <f t="shared" ref="N36:N37" si="45">SUM(K36:M36)</f>
        <v>-0.80300000012493133</v>
      </c>
    </row>
    <row r="37" spans="1:14" x14ac:dyDescent="0.3">
      <c r="A37" s="282" t="s">
        <v>354</v>
      </c>
      <c r="B37" s="302">
        <f>SUM(B35:B36)</f>
        <v>19.516000000164723</v>
      </c>
      <c r="C37" s="299" t="str">
        <f>CONCATENATE("(",ROUND((B37/$H37)*100,1),")")</f>
        <v>(73.4)</v>
      </c>
      <c r="D37" s="302">
        <f>SUM(D35:D36)</f>
        <v>5.3040000000583678</v>
      </c>
      <c r="E37" s="299" t="str">
        <f>CONCATENATE("(",ROUND((D37/$H37)*100,1),")")</f>
        <v>(19.9)</v>
      </c>
      <c r="F37" s="302">
        <f>SUM(F35:F36)</f>
        <v>1.7829999999807136</v>
      </c>
      <c r="G37" s="299" t="str">
        <f>CONCATENATE("(",ROUND((F37/$H37)*100,1),")")</f>
        <v>(6.7)</v>
      </c>
      <c r="H37" s="302">
        <f>SUM(H35:H36)</f>
        <v>26.603000000203803</v>
      </c>
      <c r="I37" s="299" t="str">
        <f>CONCATENATE("(",ROUND((H37/$H37)*100,1),")")</f>
        <v>(100)</v>
      </c>
      <c r="K37" s="302">
        <f t="shared" si="42"/>
        <v>9.1999999958396472E-2</v>
      </c>
      <c r="L37" s="302">
        <f t="shared" si="43"/>
        <v>-0.58300000007352093</v>
      </c>
      <c r="M37" s="302">
        <f t="shared" si="44"/>
        <v>-5.4000000001866555E-2</v>
      </c>
      <c r="N37" s="302">
        <f t="shared" si="45"/>
        <v>-0.54500000011699101</v>
      </c>
    </row>
    <row r="38" spans="1:14" x14ac:dyDescent="0.3">
      <c r="B38" s="302"/>
      <c r="C38" s="284"/>
      <c r="D38" s="302"/>
      <c r="E38" s="284"/>
      <c r="F38" s="302"/>
      <c r="G38" s="284"/>
      <c r="H38" s="302"/>
      <c r="I38" s="284"/>
    </row>
    <row r="39" spans="1:14" x14ac:dyDescent="0.3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3">
      <c r="A40" s="282" t="s">
        <v>355</v>
      </c>
      <c r="B40" s="302">
        <f>'Ind T6'!V10</f>
        <v>16.00900000012339</v>
      </c>
      <c r="C40" s="299" t="str">
        <f>CONCATENATE("(",ROUND((B40/$H42)*100,1),")")</f>
        <v>(61.4)</v>
      </c>
      <c r="D40" s="302">
        <f>'Ind T6'!W10</f>
        <v>1.088000000011828</v>
      </c>
      <c r="E40" s="299" t="str">
        <f>CONCATENATE("(",ROUND((D40/$H42)*100,1),")")</f>
        <v>(4.2)</v>
      </c>
      <c r="F40" s="302">
        <f>'Ind T6'!X10</f>
        <v>0</v>
      </c>
      <c r="G40" s="299" t="str">
        <f>CONCATENATE("(",ROUND((F40/$H42)*100,1),")")</f>
        <v>(0)</v>
      </c>
      <c r="H40" s="302">
        <f>SUM(B40,D40,F40)</f>
        <v>17.097000000135218</v>
      </c>
      <c r="I40" s="299" t="str">
        <f>CONCATENATE("(",ROUND((H40/$H42)*100,1),")")</f>
        <v>(65.6)</v>
      </c>
      <c r="K40" s="302">
        <f>B40-B30</f>
        <v>1.2630000000656878</v>
      </c>
      <c r="L40" s="302">
        <f>D40-D30</f>
        <v>-2.0999999993642771E-2</v>
      </c>
      <c r="M40" s="302">
        <f>F40-F30</f>
        <v>0</v>
      </c>
      <c r="N40" s="302">
        <f>SUM(K40:M40)</f>
        <v>1.242000000072045</v>
      </c>
    </row>
    <row r="41" spans="1:14" x14ac:dyDescent="0.3">
      <c r="A41" s="282" t="s">
        <v>356</v>
      </c>
      <c r="B41" s="302">
        <f>'Ind T6'!V9</f>
        <v>3.5989999999997284</v>
      </c>
      <c r="C41" s="299" t="str">
        <f>CONCATENATE("(",ROUND((B41/$H42)*100,1),")")</f>
        <v>(13.8)</v>
      </c>
      <c r="D41" s="302">
        <f>'Ind T6'!W9</f>
        <v>3.6329999999730189</v>
      </c>
      <c r="E41" s="299" t="str">
        <f>CONCATENATE("(",ROUND((D41/$H42)*100,1),")")</f>
        <v>(13.9)</v>
      </c>
      <c r="F41" s="302">
        <f>'Ind T6'!X9</f>
        <v>1.728999999978847</v>
      </c>
      <c r="G41" s="299" t="str">
        <f>CONCATENATE("(",ROUND((F41/$H42)*100,1),")")</f>
        <v>(6.6)</v>
      </c>
      <c r="H41" s="302">
        <f t="shared" ref="H41" si="46">SUM(B41,D41,F41)</f>
        <v>8.9609999999515946</v>
      </c>
      <c r="I41" s="299" t="str">
        <f>CONCATENATE("(",ROUND((H41/$H42)*100,1),")")</f>
        <v>(34.4)</v>
      </c>
      <c r="K41" s="302">
        <f t="shared" ref="K41:K42" si="47">B41-B31</f>
        <v>-0.11899999995374877</v>
      </c>
      <c r="L41" s="302">
        <f t="shared" ref="L41:L42" si="48">D41-D31</f>
        <v>-0.52900000002033387</v>
      </c>
      <c r="M41" s="302">
        <f t="shared" ref="M41:M42" si="49">F41-F31</f>
        <v>2.1000000045465095E-2</v>
      </c>
      <c r="N41" s="302">
        <f t="shared" ref="N41:N42" si="50">SUM(K41:M41)</f>
        <v>-0.62699999992861755</v>
      </c>
    </row>
    <row r="42" spans="1:14" x14ac:dyDescent="0.3">
      <c r="A42" s="282" t="s">
        <v>354</v>
      </c>
      <c r="B42" s="302">
        <f>SUM(B40:B41)</f>
        <v>19.60800000012312</v>
      </c>
      <c r="C42" s="299" t="str">
        <f>CONCATENATE("(",ROUND((B42/$H42)*100,1),")")</f>
        <v>(75.2)</v>
      </c>
      <c r="D42" s="302">
        <f>SUM(D40:D41)</f>
        <v>4.7209999999848469</v>
      </c>
      <c r="E42" s="299" t="str">
        <f>CONCATENATE("(",ROUND((D42/$H42)*100,1),")")</f>
        <v>(18.1)</v>
      </c>
      <c r="F42" s="302">
        <f>SUM(F40:F41)</f>
        <v>1.728999999978847</v>
      </c>
      <c r="G42" s="299" t="str">
        <f>CONCATENATE("(",ROUND((F42/$H42)*100,1),")")</f>
        <v>(6.6)</v>
      </c>
      <c r="H42" s="302">
        <f>SUM(H40:H41)</f>
        <v>26.058000000086814</v>
      </c>
      <c r="I42" s="299" t="str">
        <f>CONCATENATE("(",ROUND((H42/$H42)*100,1),")")</f>
        <v>(100)</v>
      </c>
      <c r="K42" s="302">
        <f t="shared" si="47"/>
        <v>1.1440000001119408</v>
      </c>
      <c r="L42" s="302">
        <f t="shared" si="48"/>
        <v>-0.5500000000139762</v>
      </c>
      <c r="M42" s="302">
        <f t="shared" si="49"/>
        <v>2.1000000045465095E-2</v>
      </c>
      <c r="N42" s="302">
        <f t="shared" si="50"/>
        <v>0.6150000001434297</v>
      </c>
    </row>
    <row r="43" spans="1:14" x14ac:dyDescent="0.3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3">
      <c r="C46" s="181"/>
      <c r="E46" s="181"/>
      <c r="G46" s="181"/>
      <c r="I46" s="181"/>
    </row>
    <row r="47" spans="1:14" x14ac:dyDescent="0.3">
      <c r="A47" s="288"/>
      <c r="B47" s="289" t="s">
        <v>379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3">
      <c r="N48" s="287" t="s">
        <v>377</v>
      </c>
    </row>
    <row r="49" spans="1:14" x14ac:dyDescent="0.3">
      <c r="A49" s="181" t="s">
        <v>378</v>
      </c>
      <c r="B49" s="370" t="s">
        <v>376</v>
      </c>
      <c r="C49" s="370"/>
      <c r="D49" s="370" t="s">
        <v>375</v>
      </c>
      <c r="E49" s="370"/>
      <c r="F49" s="370" t="s">
        <v>374</v>
      </c>
      <c r="G49" s="370"/>
      <c r="H49" s="370" t="s">
        <v>32</v>
      </c>
      <c r="I49" s="370"/>
      <c r="J49" s="181"/>
      <c r="K49" s="297" t="s">
        <v>339</v>
      </c>
      <c r="L49" s="297" t="s">
        <v>341</v>
      </c>
      <c r="M49" s="297" t="s">
        <v>337</v>
      </c>
      <c r="N49" s="297" t="s">
        <v>32</v>
      </c>
    </row>
    <row r="50" spans="1:14" x14ac:dyDescent="0.3">
      <c r="A50" s="292">
        <f>$A$8</f>
        <v>2020</v>
      </c>
      <c r="B50" s="287" t="s">
        <v>60</v>
      </c>
      <c r="C50" s="19" t="s">
        <v>373</v>
      </c>
      <c r="D50" s="287" t="s">
        <v>60</v>
      </c>
      <c r="E50" s="19" t="s">
        <v>373</v>
      </c>
      <c r="F50" s="287" t="s">
        <v>60</v>
      </c>
      <c r="G50" s="19" t="s">
        <v>373</v>
      </c>
      <c r="H50" s="287" t="s">
        <v>60</v>
      </c>
      <c r="I50" s="19" t="s">
        <v>373</v>
      </c>
      <c r="J50" s="181"/>
      <c r="K50" s="286" t="str">
        <f>CONCATENATE(A50," - ",A55)</f>
        <v>2020 - 2025</v>
      </c>
      <c r="L50" s="285"/>
      <c r="M50" s="285"/>
    </row>
    <row r="51" spans="1:14" x14ac:dyDescent="0.3">
      <c r="A51" s="282" t="s">
        <v>355</v>
      </c>
      <c r="B51" s="302">
        <f>'Ind T6'!L20</f>
        <v>1.6309999999980693</v>
      </c>
      <c r="C51" s="299" t="str">
        <f>CONCATENATE("(",ROUND((B51/$H53)*100,1),")")</f>
        <v>(59.1)</v>
      </c>
      <c r="D51" s="302">
        <f>'Ind T6'!M20</f>
        <v>4.9999999999647401E-3</v>
      </c>
      <c r="E51" s="299" t="str">
        <f>CONCATENATE("(",ROUND((D51/$H53)*100,1),")")</f>
        <v>(0.2)</v>
      </c>
      <c r="F51" s="302">
        <f>'Ind T6'!N20</f>
        <v>0.86299999999037269</v>
      </c>
      <c r="G51" s="299" t="str">
        <f>CONCATENATE("(",ROUND((F51/$H53)*100,1),")")</f>
        <v>(31.3)</v>
      </c>
      <c r="H51" s="302">
        <f>SUM(B51,D51,F51)</f>
        <v>2.4989999999884067</v>
      </c>
      <c r="I51" s="299" t="str">
        <f>CONCATENATE("(",ROUND((H51/$H53)*100,1),")")</f>
        <v>(90.6)</v>
      </c>
      <c r="K51" s="302">
        <f>B56-B51</f>
        <v>-0.38799999999482271</v>
      </c>
      <c r="L51" s="302">
        <f>D56-D51</f>
        <v>-9.9999999998150093E-4</v>
      </c>
      <c r="M51" s="302">
        <f>F56-F51</f>
        <v>-0.20500000001331153</v>
      </c>
      <c r="N51" s="302">
        <f>SUM(K51:M51)</f>
        <v>-0.59400000000811581</v>
      </c>
    </row>
    <row r="52" spans="1:14" x14ac:dyDescent="0.3">
      <c r="A52" s="282" t="s">
        <v>356</v>
      </c>
      <c r="B52" s="302">
        <f>'Ind T6'!L19</f>
        <v>0.2129999999992313</v>
      </c>
      <c r="C52" s="299" t="str">
        <f>CONCATENATE("(",ROUND((B52/$H53)*100,1),")")</f>
        <v>(7.7)</v>
      </c>
      <c r="D52" s="302">
        <f>'Ind T6'!M19</f>
        <v>4.7000000000267404E-2</v>
      </c>
      <c r="E52" s="299" t="str">
        <f>CONCATENATE("(",ROUND((D52/$H53)*100,1),")")</f>
        <v>(1.7)</v>
      </c>
      <c r="F52" s="302">
        <f>'Ind T6'!N19</f>
        <v>0</v>
      </c>
      <c r="G52" s="299" t="str">
        <f>CONCATENATE("(",ROUND((F52/$H53)*100,1),")")</f>
        <v>(0)</v>
      </c>
      <c r="H52" s="302">
        <f t="shared" ref="H52" si="51">SUM(B52,D52,F52)</f>
        <v>0.25999999999949869</v>
      </c>
      <c r="I52" s="299" t="str">
        <f>CONCATENATE("(",ROUND((H52/$H53)*100,1),")")</f>
        <v>(9.4)</v>
      </c>
      <c r="K52" s="302">
        <f t="shared" ref="K52:K53" si="52">B57-B52</f>
        <v>-5.0999999998432077E-2</v>
      </c>
      <c r="L52" s="302">
        <f t="shared" ref="L52:L53" si="53">D57-D52</f>
        <v>-1.0999999999998102E-2</v>
      </c>
      <c r="M52" s="302">
        <f t="shared" ref="M52:M53" si="54">F57-F52</f>
        <v>0</v>
      </c>
      <c r="N52" s="302">
        <f t="shared" ref="N52:N53" si="55">SUM(K52:M52)</f>
        <v>-6.1999999998430179E-2</v>
      </c>
    </row>
    <row r="53" spans="1:14" x14ac:dyDescent="0.3">
      <c r="A53" s="282" t="s">
        <v>354</v>
      </c>
      <c r="B53" s="302">
        <f>SUM(B51:B52)</f>
        <v>1.8439999999973007</v>
      </c>
      <c r="C53" s="299" t="str">
        <f>CONCATENATE("(",ROUND((B53/$H53)*100,1),")")</f>
        <v>(66.8)</v>
      </c>
      <c r="D53" s="302">
        <f>SUM(D51:D52)</f>
        <v>5.2000000000232145E-2</v>
      </c>
      <c r="E53" s="299" t="str">
        <f>CONCATENATE("(",ROUND((D53/$H53)*100,1),")")</f>
        <v>(1.9)</v>
      </c>
      <c r="F53" s="302">
        <f>SUM(F51:F52)</f>
        <v>0.86299999999037269</v>
      </c>
      <c r="G53" s="299" t="str">
        <f>CONCATENATE("(",ROUND((F53/$H53)*100,1),")")</f>
        <v>(31.3)</v>
      </c>
      <c r="H53" s="302">
        <f>SUM(H51:H52)</f>
        <v>2.7589999999879056</v>
      </c>
      <c r="I53" s="299" t="str">
        <f>CONCATENATE("(",ROUND((H53/$H53)*100,1),")")</f>
        <v>(100)</v>
      </c>
      <c r="K53" s="302">
        <f t="shared" si="52"/>
        <v>-0.43899999999325479</v>
      </c>
      <c r="L53" s="302">
        <f t="shared" si="53"/>
        <v>-1.1999999999979603E-2</v>
      </c>
      <c r="M53" s="302">
        <f t="shared" si="54"/>
        <v>-0.20500000001331153</v>
      </c>
      <c r="N53" s="302">
        <f t="shared" si="55"/>
        <v>-0.6560000000065459</v>
      </c>
    </row>
    <row r="54" spans="1:14" x14ac:dyDescent="0.3">
      <c r="B54" s="302"/>
      <c r="C54" s="284"/>
      <c r="D54" s="302"/>
      <c r="E54" s="284"/>
      <c r="F54" s="302"/>
      <c r="G54" s="284"/>
      <c r="H54" s="302"/>
      <c r="I54" s="284"/>
    </row>
    <row r="55" spans="1:14" x14ac:dyDescent="0.3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3">
      <c r="A56" s="282" t="s">
        <v>355</v>
      </c>
      <c r="B56" s="302">
        <f>'Ind T6'!Q20</f>
        <v>1.2430000000032466</v>
      </c>
      <c r="C56" s="299" t="str">
        <f>CONCATENATE("(",ROUND((B56/$H58)*100,1),")")</f>
        <v>(59.1)</v>
      </c>
      <c r="D56" s="302">
        <f>'Ind T6'!R20</f>
        <v>3.9999999999832392E-3</v>
      </c>
      <c r="E56" s="299" t="str">
        <f>CONCATENATE("(",ROUND((D56/$H58)*100,1),")")</f>
        <v>(0.2)</v>
      </c>
      <c r="F56" s="302">
        <f>'Ind T6'!S20</f>
        <v>0.65799999997706116</v>
      </c>
      <c r="G56" s="299" t="str">
        <f>CONCATENATE("(",ROUND((F56/$H58)*100,1),")")</f>
        <v>(31.3)</v>
      </c>
      <c r="H56" s="302">
        <f>SUM(B56,D56,F56)</f>
        <v>1.9049999999802909</v>
      </c>
      <c r="I56" s="299" t="str">
        <f>CONCATENATE("(",ROUND((H56/$H58)*100,1),")")</f>
        <v>(90.6)</v>
      </c>
      <c r="K56" s="302">
        <f>B61-B56</f>
        <v>-0.39900000000068725</v>
      </c>
      <c r="L56" s="302">
        <f>D61-D56</f>
        <v>-9.9999999999875059E-4</v>
      </c>
      <c r="M56" s="302">
        <f>F61-F56</f>
        <v>-0.23799999999072813</v>
      </c>
      <c r="N56" s="302">
        <f>SUM(K56:M56)</f>
        <v>-0.6379999999914141</v>
      </c>
    </row>
    <row r="57" spans="1:14" x14ac:dyDescent="0.3">
      <c r="A57" s="282" t="s">
        <v>356</v>
      </c>
      <c r="B57" s="302">
        <f>'Ind T6'!Q19</f>
        <v>0.16200000000079923</v>
      </c>
      <c r="C57" s="299" t="str">
        <f>CONCATENATE("(",ROUND((B57/$H58)*100,1),")")</f>
        <v>(7.7)</v>
      </c>
      <c r="D57" s="302">
        <f>'Ind T6'!R19</f>
        <v>3.6000000000269303E-2</v>
      </c>
      <c r="E57" s="299" t="str">
        <f>CONCATENATE("(",ROUND((D57/$H58)*100,1),")")</f>
        <v>(1.7)</v>
      </c>
      <c r="F57" s="302">
        <f>'Ind T6'!S19</f>
        <v>0</v>
      </c>
      <c r="G57" s="299" t="str">
        <f>CONCATENATE("(",ROUND((F57/$H58)*100,1),")")</f>
        <v>(0)</v>
      </c>
      <c r="H57" s="302">
        <f t="shared" ref="H57" si="56">SUM(B57,D57,F57)</f>
        <v>0.19800000000106854</v>
      </c>
      <c r="I57" s="299" t="str">
        <f>CONCATENATE("(",ROUND((H57/$H58)*100,1),")")</f>
        <v>(9.4)</v>
      </c>
      <c r="K57" s="302">
        <f t="shared" ref="K57:K58" si="57">B62-B57</f>
        <v>-5.6000000000802366E-2</v>
      </c>
      <c r="L57" s="302">
        <f t="shared" ref="L57:L58" si="58">D62-D57</f>
        <v>-1.0000000000197889E-2</v>
      </c>
      <c r="M57" s="302">
        <f t="shared" ref="M57:M58" si="59">F62-F57</f>
        <v>0</v>
      </c>
      <c r="N57" s="302">
        <f t="shared" ref="N57:N58" si="60">SUM(K57:M57)</f>
        <v>-6.6000000001000259E-2</v>
      </c>
    </row>
    <row r="58" spans="1:14" x14ac:dyDescent="0.3">
      <c r="A58" s="282" t="s">
        <v>354</v>
      </c>
      <c r="B58" s="302">
        <f>SUM(B56:B57)</f>
        <v>1.4050000000040459</v>
      </c>
      <c r="C58" s="299" t="str">
        <f>CONCATENATE("(",ROUND((B58/$H58)*100,1),")")</f>
        <v>(66.8)</v>
      </c>
      <c r="D58" s="302">
        <f>SUM(D56:D57)</f>
        <v>4.0000000000252542E-2</v>
      </c>
      <c r="E58" s="299" t="str">
        <f>CONCATENATE("(",ROUND((D58/$H58)*100,1),")")</f>
        <v>(1.9)</v>
      </c>
      <c r="F58" s="302">
        <f>SUM(F56:F57)</f>
        <v>0.65799999997706116</v>
      </c>
      <c r="G58" s="299" t="str">
        <f>CONCATENATE("(",ROUND((F58/$H58)*100,1),")")</f>
        <v>(31.3)</v>
      </c>
      <c r="H58" s="302">
        <f>SUM(H56:H57)</f>
        <v>2.1029999999813596</v>
      </c>
      <c r="I58" s="299" t="str">
        <f>CONCATENATE("(",ROUND((H58/$H58)*100,1),")")</f>
        <v>(100)</v>
      </c>
      <c r="K58" s="302">
        <f t="shared" si="57"/>
        <v>-0.45500000000148966</v>
      </c>
      <c r="L58" s="302">
        <f t="shared" si="58"/>
        <v>-1.1000000000196641E-2</v>
      </c>
      <c r="M58" s="302">
        <f t="shared" si="59"/>
        <v>-0.23799999999072813</v>
      </c>
      <c r="N58" s="302">
        <f t="shared" si="60"/>
        <v>-0.70399999999241447</v>
      </c>
    </row>
    <row r="59" spans="1:14" x14ac:dyDescent="0.3">
      <c r="B59" s="302"/>
      <c r="C59" s="284"/>
      <c r="D59" s="302"/>
      <c r="E59" s="284"/>
      <c r="F59" s="302"/>
      <c r="G59" s="284"/>
      <c r="H59" s="302"/>
      <c r="I59" s="284"/>
    </row>
    <row r="60" spans="1:14" x14ac:dyDescent="0.3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3">
      <c r="A61" s="282" t="s">
        <v>355</v>
      </c>
      <c r="B61" s="302">
        <f>'Ind T6'!V20</f>
        <v>0.84400000000255937</v>
      </c>
      <c r="C61" s="299" t="str">
        <f>CONCATENATE("(",ROUND((B61/$H63)*100,1),")")</f>
        <v>(60.3)</v>
      </c>
      <c r="D61" s="302">
        <f>'Ind T6'!W20</f>
        <v>2.9999999999844886E-3</v>
      </c>
      <c r="E61" s="299" t="str">
        <f>CONCATENATE("(",ROUND((D61/$H63)*100,1),")")</f>
        <v>(0.2)</v>
      </c>
      <c r="F61" s="302">
        <f>'Ind T6'!X20</f>
        <v>0.41999999998633303</v>
      </c>
      <c r="G61" s="299" t="str">
        <f>CONCATENATE("(",ROUND((F61/$H63)*100,1),")")</f>
        <v>(30)</v>
      </c>
      <c r="H61" s="302">
        <f>SUM(B61,D61,F61)</f>
        <v>1.2669999999888768</v>
      </c>
      <c r="I61" s="299" t="str">
        <f>CONCATENATE("(",ROUND((H61/$H63)*100,1),")")</f>
        <v>(90.6)</v>
      </c>
      <c r="K61" s="302">
        <f>B61-B51</f>
        <v>-0.78699999999550996</v>
      </c>
      <c r="L61" s="302">
        <f>D61-D51</f>
        <v>-1.9999999999802515E-3</v>
      </c>
      <c r="M61" s="302">
        <f>F61-F51</f>
        <v>-0.44300000000403966</v>
      </c>
      <c r="N61" s="302">
        <f>SUM(K61:M61)</f>
        <v>-1.2319999999995299</v>
      </c>
    </row>
    <row r="62" spans="1:14" x14ac:dyDescent="0.3">
      <c r="A62" s="282" t="s">
        <v>356</v>
      </c>
      <c r="B62" s="302">
        <f>'Ind T6'!V19</f>
        <v>0.10599999999999686</v>
      </c>
      <c r="C62" s="299" t="str">
        <f>CONCATENATE("(",ROUND((B62/$H63)*100,1),")")</f>
        <v>(7.6)</v>
      </c>
      <c r="D62" s="302">
        <f>'Ind T6'!W19</f>
        <v>2.6000000000071414E-2</v>
      </c>
      <c r="E62" s="299" t="str">
        <f>CONCATENATE("(",ROUND((D62/$H63)*100,1),")")</f>
        <v>(1.9)</v>
      </c>
      <c r="F62" s="302">
        <f>'Ind T6'!X19</f>
        <v>0</v>
      </c>
      <c r="G62" s="299" t="str">
        <f>CONCATENATE("(",ROUND((F62/$H63)*100,1),")")</f>
        <v>(0)</v>
      </c>
      <c r="H62" s="302">
        <f t="shared" ref="H62" si="61">SUM(B62,D62,F62)</f>
        <v>0.13200000000006828</v>
      </c>
      <c r="I62" s="299" t="str">
        <f>CONCATENATE("(",ROUND((H62/$H63)*100,1),")")</f>
        <v>(9.4)</v>
      </c>
      <c r="K62" s="302">
        <f t="shared" ref="K62:K63" si="62">B62-B52</f>
        <v>-0.10699999999923444</v>
      </c>
      <c r="L62" s="302">
        <f t="shared" ref="L62:L63" si="63">D62-D52</f>
        <v>-2.100000000019599E-2</v>
      </c>
      <c r="M62" s="302">
        <f t="shared" ref="M62:M63" si="64">F62-F52</f>
        <v>0</v>
      </c>
      <c r="N62" s="302">
        <f t="shared" ref="N62:N63" si="65">SUM(K62:M62)</f>
        <v>-0.12799999999943043</v>
      </c>
    </row>
    <row r="63" spans="1:14" x14ac:dyDescent="0.3">
      <c r="A63" s="282" t="s">
        <v>354</v>
      </c>
      <c r="B63" s="302">
        <f>SUM(B61:B62)</f>
        <v>0.95000000000255624</v>
      </c>
      <c r="C63" s="299" t="str">
        <f>CONCATENATE("(",ROUND((B63/$H63)*100,1),")")</f>
        <v>(67.9)</v>
      </c>
      <c r="D63" s="302">
        <f>SUM(D61:D62)</f>
        <v>2.9000000000055901E-2</v>
      </c>
      <c r="E63" s="299" t="str">
        <f>CONCATENATE("(",ROUND((D63/$H63)*100,1),")")</f>
        <v>(2.1)</v>
      </c>
      <c r="F63" s="302">
        <f>SUM(F61:F62)</f>
        <v>0.41999999998633303</v>
      </c>
      <c r="G63" s="299" t="str">
        <f>CONCATENATE("(",ROUND((F63/$H63)*100,1),")")</f>
        <v>(30)</v>
      </c>
      <c r="H63" s="302">
        <f>SUM(H61:H62)</f>
        <v>1.3989999999889451</v>
      </c>
      <c r="I63" s="299" t="str">
        <f>CONCATENATE("(",ROUND((H63/$H63)*100,1),")")</f>
        <v>(100)</v>
      </c>
      <c r="K63" s="302">
        <f t="shared" si="62"/>
        <v>-0.89399999999474444</v>
      </c>
      <c r="L63" s="302">
        <f t="shared" si="63"/>
        <v>-2.3000000000176244E-2</v>
      </c>
      <c r="M63" s="302">
        <f t="shared" si="64"/>
        <v>-0.44300000000403966</v>
      </c>
      <c r="N63" s="302">
        <f t="shared" si="65"/>
        <v>-1.3599999999989603</v>
      </c>
    </row>
    <row r="64" spans="1:14" x14ac:dyDescent="0.3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3">
      <c r="A68" s="288"/>
      <c r="B68" s="289" t="s">
        <v>379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3">
      <c r="N69" s="287" t="s">
        <v>377</v>
      </c>
    </row>
    <row r="70" spans="1:14" x14ac:dyDescent="0.3">
      <c r="A70" s="181" t="s">
        <v>378</v>
      </c>
      <c r="B70" s="370" t="s">
        <v>376</v>
      </c>
      <c r="C70" s="370"/>
      <c r="D70" s="370" t="s">
        <v>375</v>
      </c>
      <c r="E70" s="370"/>
      <c r="F70" s="370" t="s">
        <v>374</v>
      </c>
      <c r="G70" s="370"/>
      <c r="H70" s="370" t="s">
        <v>32</v>
      </c>
      <c r="I70" s="370"/>
      <c r="J70" s="181"/>
      <c r="K70" s="297" t="s">
        <v>339</v>
      </c>
      <c r="L70" s="297" t="s">
        <v>341</v>
      </c>
      <c r="M70" s="297" t="s">
        <v>337</v>
      </c>
      <c r="N70" s="297" t="s">
        <v>32</v>
      </c>
    </row>
    <row r="71" spans="1:14" x14ac:dyDescent="0.3">
      <c r="A71" s="292">
        <f>$A$8</f>
        <v>2020</v>
      </c>
      <c r="B71" s="287" t="s">
        <v>60</v>
      </c>
      <c r="C71" s="19" t="s">
        <v>373</v>
      </c>
      <c r="D71" s="287" t="s">
        <v>60</v>
      </c>
      <c r="E71" s="19" t="s">
        <v>373</v>
      </c>
      <c r="F71" s="287" t="s">
        <v>60</v>
      </c>
      <c r="G71" s="19" t="s">
        <v>373</v>
      </c>
      <c r="H71" s="287" t="s">
        <v>60</v>
      </c>
      <c r="I71" s="19" t="s">
        <v>373</v>
      </c>
      <c r="J71" s="181"/>
      <c r="K71" s="286" t="str">
        <f>CONCATENATE(A71," - ",A76)</f>
        <v>2020 - 2025</v>
      </c>
      <c r="L71" s="285"/>
      <c r="M71" s="285"/>
    </row>
    <row r="72" spans="1:14" x14ac:dyDescent="0.3">
      <c r="A72" s="282" t="s">
        <v>355</v>
      </c>
      <c r="B72" s="302">
        <f>'Ind T6'!L40</f>
        <v>21.213000000161742</v>
      </c>
      <c r="C72" s="299" t="str">
        <f>CONCATENATE("(",ROUND((B72/$H74)*100,1),")")</f>
        <v>(61.9)</v>
      </c>
      <c r="D72" s="302">
        <f>'Ind T6'!M40</f>
        <v>1.9070000000016623</v>
      </c>
      <c r="E72" s="299" t="str">
        <f>CONCATENATE("(",ROUND((D72/$H74)*100,1),")")</f>
        <v>(5.6)</v>
      </c>
      <c r="F72" s="302">
        <f>'Ind T6'!N40</f>
        <v>0.43299999999556887</v>
      </c>
      <c r="G72" s="299" t="str">
        <f>CONCATENATE("(",ROUND((F72/$H74)*100,1),")")</f>
        <v>(1.3)</v>
      </c>
      <c r="H72" s="302">
        <f>SUM(B72,D72,F72)</f>
        <v>23.553000000158974</v>
      </c>
      <c r="I72" s="299" t="str">
        <f>CONCATENATE("(",ROUND((H72/$H74)*100,1),")")</f>
        <v>(68.7)</v>
      </c>
      <c r="K72" s="302">
        <f>B77-B72</f>
        <v>1.323000000124356</v>
      </c>
      <c r="L72" s="302">
        <f>D77-D72</f>
        <v>0.1410000000067515</v>
      </c>
      <c r="M72" s="302">
        <f>F77-F72</f>
        <v>3.5999999996593923E-2</v>
      </c>
      <c r="N72" s="302">
        <f>SUM(K72:M72)</f>
        <v>1.5000000001277014</v>
      </c>
    </row>
    <row r="73" spans="1:14" x14ac:dyDescent="0.3">
      <c r="A73" s="282" t="s">
        <v>356</v>
      </c>
      <c r="B73" s="302">
        <f>'Ind T6'!L39</f>
        <v>8.0179999998122771</v>
      </c>
      <c r="C73" s="299" t="str">
        <f>CONCATENATE("(",ROUND((B73/$H74)*100,1),")")</f>
        <v>(23.4)</v>
      </c>
      <c r="D73" s="302">
        <f>'Ind T6'!M39</f>
        <v>2.4749999999957013</v>
      </c>
      <c r="E73" s="299" t="str">
        <f>CONCATENATE("(",ROUND((D73/$H74)*100,1),")")</f>
        <v>(7.2)</v>
      </c>
      <c r="F73" s="302">
        <f>'Ind T6'!N39</f>
        <v>0.25099999999444478</v>
      </c>
      <c r="G73" s="299" t="str">
        <f>CONCATENATE("(",ROUND((F73/$H74)*100,1),")")</f>
        <v>(0.7)</v>
      </c>
      <c r="H73" s="302">
        <f t="shared" ref="H73" si="66">SUM(B73,D73,F73)</f>
        <v>10.743999999802423</v>
      </c>
      <c r="I73" s="299" t="str">
        <f>CONCATENATE("(",ROUND((H73/$H74)*100,1),")")</f>
        <v>(31.3)</v>
      </c>
      <c r="K73" s="302">
        <f t="shared" ref="K73:K74" si="67">B78-B73</f>
        <v>0.91500000041604679</v>
      </c>
      <c r="L73" s="302">
        <f t="shared" ref="L73:L74" si="68">D78-D73</f>
        <v>0.17700000005536642</v>
      </c>
      <c r="M73" s="302">
        <f t="shared" ref="M73:M74" si="69">F78-F73</f>
        <v>2.600000000372249E-2</v>
      </c>
      <c r="N73" s="302">
        <f t="shared" ref="N73:N74" si="70">SUM(K73:M73)</f>
        <v>1.1180000004751358</v>
      </c>
    </row>
    <row r="74" spans="1:14" x14ac:dyDescent="0.3">
      <c r="A74" s="282" t="s">
        <v>354</v>
      </c>
      <c r="B74" s="302">
        <f>SUM(B72:B73)</f>
        <v>29.230999999974017</v>
      </c>
      <c r="C74" s="299" t="str">
        <f>CONCATENATE("(",ROUND((B74/$H74)*100,1),")")</f>
        <v>(85.2)</v>
      </c>
      <c r="D74" s="302">
        <f>SUM(D72:D73)</f>
        <v>4.3819999999973636</v>
      </c>
      <c r="E74" s="299" t="str">
        <f>CONCATENATE("(",ROUND((D74/$H74)*100,1),")")</f>
        <v>(12.8)</v>
      </c>
      <c r="F74" s="302">
        <f>SUM(F72:F73)</f>
        <v>0.68399999999001371</v>
      </c>
      <c r="G74" s="299" t="str">
        <f>CONCATENATE("(",ROUND((F74/$H74)*100,1),")")</f>
        <v>(2)</v>
      </c>
      <c r="H74" s="302">
        <f>SUM(H72:H73)</f>
        <v>34.2969999999614</v>
      </c>
      <c r="I74" s="299" t="str">
        <f>CONCATENATE("(",ROUND((H74/$H74)*100,1),")")</f>
        <v>(100)</v>
      </c>
      <c r="K74" s="302">
        <f t="shared" si="67"/>
        <v>2.2380000005404028</v>
      </c>
      <c r="L74" s="302">
        <f t="shared" si="68"/>
        <v>0.31800000006211793</v>
      </c>
      <c r="M74" s="302">
        <f t="shared" si="69"/>
        <v>6.2000000000316358E-2</v>
      </c>
      <c r="N74" s="302">
        <f t="shared" si="70"/>
        <v>2.6180000006028372</v>
      </c>
    </row>
    <row r="75" spans="1:14" x14ac:dyDescent="0.3">
      <c r="B75" s="302"/>
      <c r="C75" s="284"/>
      <c r="D75" s="302"/>
      <c r="E75" s="284"/>
      <c r="F75" s="302"/>
      <c r="G75" s="284"/>
      <c r="H75" s="302"/>
      <c r="I75" s="284"/>
    </row>
    <row r="76" spans="1:14" x14ac:dyDescent="0.3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3">
      <c r="A77" s="282" t="s">
        <v>355</v>
      </c>
      <c r="B77" s="302">
        <f>'Ind T6'!Q40</f>
        <v>22.536000000286098</v>
      </c>
      <c r="C77" s="299" t="str">
        <f>CONCATENATE("(",ROUND((B77/$H79)*100,1),")")</f>
        <v>(61)</v>
      </c>
      <c r="D77" s="302">
        <f>'Ind T6'!R40</f>
        <v>2.0480000000084138</v>
      </c>
      <c r="E77" s="299" t="str">
        <f>CONCATENATE("(",ROUND((D77/$H79)*100,1),")")</f>
        <v>(5.5)</v>
      </c>
      <c r="F77" s="302">
        <f>'Ind T6'!S40</f>
        <v>0.4689999999921628</v>
      </c>
      <c r="G77" s="299" t="str">
        <f>CONCATENATE("(",ROUND((F77/$H79)*100,1),")")</f>
        <v>(1.3)</v>
      </c>
      <c r="H77" s="302">
        <f>SUM(B77,D77,F77)</f>
        <v>25.053000000286676</v>
      </c>
      <c r="I77" s="299" t="str">
        <f>CONCATENATE("(",ROUND((H77/$H79)*100,1),")")</f>
        <v>(67.9)</v>
      </c>
      <c r="K77" s="302">
        <f>B82-B77</f>
        <v>0.82600000005796659</v>
      </c>
      <c r="L77" s="302">
        <f>D82-D77</f>
        <v>0.122999999993473</v>
      </c>
      <c r="M77" s="302">
        <f>F82-F77</f>
        <v>4.6000000000097629E-2</v>
      </c>
      <c r="N77" s="302">
        <f>SUM(K77:M77)</f>
        <v>0.99500000005153721</v>
      </c>
    </row>
    <row r="78" spans="1:14" x14ac:dyDescent="0.3">
      <c r="A78" s="282" t="s">
        <v>356</v>
      </c>
      <c r="B78" s="302">
        <f>'Ind T6'!Q39</f>
        <v>8.9330000002283239</v>
      </c>
      <c r="C78" s="299" t="str">
        <f>CONCATENATE("(",ROUND((B78/$H79)*100,1),")")</f>
        <v>(24.2)</v>
      </c>
      <c r="D78" s="302">
        <f>'Ind T6'!R39</f>
        <v>2.6520000000510677</v>
      </c>
      <c r="E78" s="299" t="str">
        <f>CONCATENATE("(",ROUND((D78/$H79)*100,1),")")</f>
        <v>(7.2)</v>
      </c>
      <c r="F78" s="302">
        <f>'Ind T6'!S39</f>
        <v>0.27699999999816727</v>
      </c>
      <c r="G78" s="299" t="str">
        <f>CONCATENATE("(",ROUND((F78/$H79)*100,1),")")</f>
        <v>(0.8)</v>
      </c>
      <c r="H78" s="302">
        <f t="shared" ref="H78" si="71">SUM(B78,D78,F78)</f>
        <v>11.862000000277559</v>
      </c>
      <c r="I78" s="299" t="str">
        <f>CONCATENATE("(",ROUND((H78/$H79)*100,1),")")</f>
        <v>(32.1)</v>
      </c>
      <c r="K78" s="302">
        <f t="shared" ref="K78:K79" si="72">B83-B78</f>
        <v>1.1779999997203188</v>
      </c>
      <c r="L78" s="302">
        <f t="shared" ref="L78:L79" si="73">D83-D78</f>
        <v>0.13799999991289447</v>
      </c>
      <c r="M78" s="302">
        <f t="shared" ref="M78:M79" si="74">F83-F78</f>
        <v>2.9000000004348492E-2</v>
      </c>
      <c r="N78" s="302">
        <f t="shared" ref="N78:N79" si="75">SUM(K78:M78)</f>
        <v>1.3449999996375617</v>
      </c>
    </row>
    <row r="79" spans="1:14" x14ac:dyDescent="0.3">
      <c r="A79" s="282" t="s">
        <v>354</v>
      </c>
      <c r="B79" s="302">
        <f>SUM(B77:B78)</f>
        <v>31.46900000051442</v>
      </c>
      <c r="C79" s="299" t="str">
        <f>CONCATENATE("(",ROUND((B79/$H79)*100,1),")")</f>
        <v>(85.2)</v>
      </c>
      <c r="D79" s="302">
        <f>SUM(D77:D78)</f>
        <v>4.7000000000594815</v>
      </c>
      <c r="E79" s="299" t="str">
        <f>CONCATENATE("(",ROUND((D79/$H79)*100,1),")")</f>
        <v>(12.7)</v>
      </c>
      <c r="F79" s="302">
        <f>SUM(F77:F78)</f>
        <v>0.74599999999033006</v>
      </c>
      <c r="G79" s="299" t="str">
        <f>CONCATENATE("(",ROUND((F79/$H79)*100,1),")")</f>
        <v>(2)</v>
      </c>
      <c r="H79" s="302">
        <f>SUM(H77:H78)</f>
        <v>36.915000000564234</v>
      </c>
      <c r="I79" s="299" t="str">
        <f>CONCATENATE("(",ROUND((H79/$H79)*100,1),")")</f>
        <v>(100)</v>
      </c>
      <c r="K79" s="302">
        <f t="shared" si="72"/>
        <v>2.0039999997782871</v>
      </c>
      <c r="L79" s="302">
        <f t="shared" si="73"/>
        <v>0.26099999990636746</v>
      </c>
      <c r="M79" s="302">
        <f t="shared" si="74"/>
        <v>7.5000000004446066E-2</v>
      </c>
      <c r="N79" s="302">
        <f t="shared" si="75"/>
        <v>2.3399999996891006</v>
      </c>
    </row>
    <row r="80" spans="1:14" x14ac:dyDescent="0.3">
      <c r="B80" s="302"/>
      <c r="C80" s="284"/>
      <c r="D80" s="302"/>
      <c r="E80" s="284"/>
      <c r="F80" s="302"/>
      <c r="G80" s="284"/>
      <c r="H80" s="302"/>
      <c r="I80" s="284"/>
    </row>
    <row r="81" spans="1:14" x14ac:dyDescent="0.3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3">
      <c r="A82" s="282" t="s">
        <v>355</v>
      </c>
      <c r="B82" s="302">
        <f>'Ind T6'!V40</f>
        <v>23.362000000344064</v>
      </c>
      <c r="C82" s="299" t="str">
        <f>CONCATENATE("(",ROUND((B82/$H84)*100,1),")")</f>
        <v>(59.5)</v>
      </c>
      <c r="D82" s="302">
        <f>'Ind T6'!W40</f>
        <v>2.1710000000018868</v>
      </c>
      <c r="E82" s="299" t="str">
        <f>CONCATENATE("(",ROUND((D82/$H84)*100,1),")")</f>
        <v>(5.5)</v>
      </c>
      <c r="F82" s="302">
        <f>'Ind T6'!X40</f>
        <v>0.51499999999226043</v>
      </c>
      <c r="G82" s="299" t="str">
        <f>CONCATENATE("(",ROUND((F82/$H84)*100,1),")")</f>
        <v>(1.3)</v>
      </c>
      <c r="H82" s="302">
        <f>SUM(B82,D82,F82)</f>
        <v>26.04800000033821</v>
      </c>
      <c r="I82" s="299" t="str">
        <f>CONCATENATE("(",ROUND((H82/$H84)*100,1),")")</f>
        <v>(66.4)</v>
      </c>
      <c r="K82" s="302">
        <f>B82-B72</f>
        <v>2.1490000001823226</v>
      </c>
      <c r="L82" s="302">
        <f>D82-D72</f>
        <v>0.2640000000002245</v>
      </c>
      <c r="M82" s="302">
        <f>F82-F72</f>
        <v>8.1999999996691553E-2</v>
      </c>
      <c r="N82" s="302">
        <f>SUM(K82:M82)</f>
        <v>2.4950000001792385</v>
      </c>
    </row>
    <row r="83" spans="1:14" x14ac:dyDescent="0.3">
      <c r="A83" s="282" t="s">
        <v>356</v>
      </c>
      <c r="B83" s="302">
        <f>'Ind T6'!V39</f>
        <v>10.110999999948643</v>
      </c>
      <c r="C83" s="299" t="str">
        <f>CONCATENATE("(",ROUND((B83/$H84)*100,1),")")</f>
        <v>(25.8)</v>
      </c>
      <c r="D83" s="302">
        <f>'Ind T6'!W39</f>
        <v>2.7899999999639622</v>
      </c>
      <c r="E83" s="299" t="str">
        <f>CONCATENATE("(",ROUND((D83/$H84)*100,1),")")</f>
        <v>(7.1)</v>
      </c>
      <c r="F83" s="302">
        <f>'Ind T6'!X39</f>
        <v>0.30600000000251576</v>
      </c>
      <c r="G83" s="299" t="str">
        <f>CONCATENATE("(",ROUND((F83/$H84)*100,1),")")</f>
        <v>(0.8)</v>
      </c>
      <c r="H83" s="302">
        <f t="shared" ref="H83" si="76">SUM(B83,D83,F83)</f>
        <v>13.206999999915121</v>
      </c>
      <c r="I83" s="299" t="str">
        <f>CONCATENATE("(",ROUND((H83/$H84)*100,1),")")</f>
        <v>(33.6)</v>
      </c>
      <c r="K83" s="302">
        <f t="shared" ref="K83:K84" si="77">B83-B73</f>
        <v>2.0930000001363656</v>
      </c>
      <c r="L83" s="302">
        <f t="shared" ref="L83:L84" si="78">D83-D73</f>
        <v>0.31499999996826089</v>
      </c>
      <c r="M83" s="302">
        <f t="shared" ref="M83:M84" si="79">F83-F73</f>
        <v>5.5000000008070982E-2</v>
      </c>
      <c r="N83" s="302">
        <f t="shared" ref="N83:N84" si="80">SUM(K83:M83)</f>
        <v>2.4630000001126975</v>
      </c>
    </row>
    <row r="84" spans="1:14" x14ac:dyDescent="0.3">
      <c r="A84" s="282" t="s">
        <v>354</v>
      </c>
      <c r="B84" s="302">
        <f>SUM(B82:B83)</f>
        <v>33.473000000292707</v>
      </c>
      <c r="C84" s="299" t="str">
        <f>CONCATENATE("(",ROUND((B84/$H84)*100,1),")")</f>
        <v>(85.3)</v>
      </c>
      <c r="D84" s="302">
        <f>SUM(D82:D83)</f>
        <v>4.960999999965849</v>
      </c>
      <c r="E84" s="299" t="str">
        <f>CONCATENATE("(",ROUND((D84/$H84)*100,1),")")</f>
        <v>(12.6)</v>
      </c>
      <c r="F84" s="302">
        <f>SUM(F82:F83)</f>
        <v>0.82099999999477613</v>
      </c>
      <c r="G84" s="299" t="str">
        <f>CONCATENATE("(",ROUND((F84/$H84)*100,1),")")</f>
        <v>(2.1)</v>
      </c>
      <c r="H84" s="302">
        <f>SUM(H82:H83)</f>
        <v>39.255000000253332</v>
      </c>
      <c r="I84" s="299" t="str">
        <f>CONCATENATE("(",ROUND((H84/$H84)*100,1),")")</f>
        <v>(100)</v>
      </c>
      <c r="K84" s="302">
        <f t="shared" si="77"/>
        <v>4.24200000031869</v>
      </c>
      <c r="L84" s="302">
        <f t="shared" si="78"/>
        <v>0.57899999996848539</v>
      </c>
      <c r="M84" s="302">
        <f t="shared" si="79"/>
        <v>0.13700000000476242</v>
      </c>
      <c r="N84" s="302">
        <f t="shared" si="80"/>
        <v>4.9580000002919373</v>
      </c>
    </row>
    <row r="85" spans="1:14" x14ac:dyDescent="0.3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3">
      <c r="A89" s="288"/>
      <c r="B89" s="289" t="s">
        <v>379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3">
      <c r="N90" s="287" t="s">
        <v>377</v>
      </c>
    </row>
    <row r="91" spans="1:14" x14ac:dyDescent="0.3">
      <c r="A91" s="181" t="s">
        <v>378</v>
      </c>
      <c r="B91" s="370" t="s">
        <v>376</v>
      </c>
      <c r="C91" s="370"/>
      <c r="D91" s="370" t="s">
        <v>375</v>
      </c>
      <c r="E91" s="370"/>
      <c r="F91" s="370" t="s">
        <v>374</v>
      </c>
      <c r="G91" s="370"/>
      <c r="H91" s="370" t="s">
        <v>32</v>
      </c>
      <c r="I91" s="370"/>
      <c r="J91" s="181"/>
      <c r="K91" s="297" t="s">
        <v>339</v>
      </c>
      <c r="L91" s="297" t="s">
        <v>341</v>
      </c>
      <c r="M91" s="297" t="s">
        <v>337</v>
      </c>
      <c r="N91" s="297" t="s">
        <v>32</v>
      </c>
    </row>
    <row r="92" spans="1:14" x14ac:dyDescent="0.3">
      <c r="A92" s="292">
        <f>$A$8</f>
        <v>2020</v>
      </c>
      <c r="B92" s="287" t="s">
        <v>60</v>
      </c>
      <c r="C92" s="19" t="s">
        <v>373</v>
      </c>
      <c r="D92" s="287" t="s">
        <v>60</v>
      </c>
      <c r="E92" s="19" t="s">
        <v>373</v>
      </c>
      <c r="F92" s="287" t="s">
        <v>60</v>
      </c>
      <c r="G92" s="19" t="s">
        <v>373</v>
      </c>
      <c r="H92" s="287" t="s">
        <v>60</v>
      </c>
      <c r="I92" s="19" t="s">
        <v>373</v>
      </c>
      <c r="J92" s="181"/>
      <c r="K92" s="286" t="str">
        <f>CONCATENATE(A92," - ",A97)</f>
        <v>2020 - 2025</v>
      </c>
      <c r="L92" s="285"/>
      <c r="M92" s="285"/>
    </row>
    <row r="93" spans="1:14" x14ac:dyDescent="0.3">
      <c r="A93" s="282" t="s">
        <v>355</v>
      </c>
      <c r="B93" s="302">
        <f>'Ind T6'!L65</f>
        <v>29.307999999941671</v>
      </c>
      <c r="C93" s="299" t="str">
        <f>CONCATENATE("(",ROUND((B93/$H95)*100,1),")")</f>
        <v>(69.9)</v>
      </c>
      <c r="D93" s="302">
        <f>'Ind T6'!M65</f>
        <v>2.511999999984166</v>
      </c>
      <c r="E93" s="299" t="str">
        <f>CONCATENATE("(",ROUND((D93/$H95)*100,1),")")</f>
        <v>(6)</v>
      </c>
      <c r="F93" s="302">
        <f>'Ind T6'!N65</f>
        <v>1.4220000000029334</v>
      </c>
      <c r="G93" s="299" t="str">
        <f>CONCATENATE("(",ROUND((F93/$H95)*100,1),")")</f>
        <v>(3.4)</v>
      </c>
      <c r="H93" s="302">
        <f>SUM(B93,D93,F93)</f>
        <v>33.241999999928773</v>
      </c>
      <c r="I93" s="299" t="str">
        <f>CONCATENATE("(",ROUND((H93/$H95)*100,1),")")</f>
        <v>(79.2)</v>
      </c>
      <c r="K93" s="302">
        <f>B98-B93</f>
        <v>-9.499999986385177E-2</v>
      </c>
      <c r="L93" s="302">
        <f>D98-D93</f>
        <v>6.8999999996874006E-2</v>
      </c>
      <c r="M93" s="302">
        <f>F98-F93</f>
        <v>2.8999999996028869E-2</v>
      </c>
      <c r="N93" s="302">
        <f>SUM(K93:M93)</f>
        <v>3.0000001290511058E-3</v>
      </c>
    </row>
    <row r="94" spans="1:14" x14ac:dyDescent="0.3">
      <c r="A94" s="282" t="s">
        <v>356</v>
      </c>
      <c r="B94" s="302">
        <f>'Ind T6'!L64</f>
        <v>6.5439999999674718</v>
      </c>
      <c r="C94" s="299" t="str">
        <f>CONCATENATE("(",ROUND((B94/$H95)*100,1),")")</f>
        <v>(15.6)</v>
      </c>
      <c r="D94" s="302">
        <f>'Ind T6'!M64</f>
        <v>1.8959999999811501</v>
      </c>
      <c r="E94" s="299" t="str">
        <f>CONCATENATE("(",ROUND((D94/$H95)*100,1),")")</f>
        <v>(4.5)</v>
      </c>
      <c r="F94" s="302">
        <f>'Ind T6'!N64</f>
        <v>0.27500000000135794</v>
      </c>
      <c r="G94" s="299" t="str">
        <f>CONCATENATE("(",ROUND((F94/$H95)*100,1),")")</f>
        <v>(0.7)</v>
      </c>
      <c r="H94" s="302">
        <f t="shared" ref="H94" si="81">SUM(B94,D94,F94)</f>
        <v>8.7149999999499794</v>
      </c>
      <c r="I94" s="299" t="str">
        <f>CONCATENATE("(",ROUND((H94/$H95)*100,1),")")</f>
        <v>(20.8)</v>
      </c>
      <c r="K94" s="302">
        <f t="shared" ref="K94:K95" si="82">B99-B94</f>
        <v>-0.22899999981906305</v>
      </c>
      <c r="L94" s="302">
        <f t="shared" ref="L94:L95" si="83">D99-D94</f>
        <v>2.0000000295641307E-3</v>
      </c>
      <c r="M94" s="302">
        <f t="shared" ref="M94:M95" si="84">F99-F94</f>
        <v>1.9999999997443174E-3</v>
      </c>
      <c r="N94" s="302">
        <f t="shared" ref="N94:N95" si="85">SUM(K94:M94)</f>
        <v>-0.2249999997897546</v>
      </c>
    </row>
    <row r="95" spans="1:14" x14ac:dyDescent="0.3">
      <c r="A95" s="282" t="s">
        <v>354</v>
      </c>
      <c r="B95" s="302">
        <f>SUM(B93:B94)</f>
        <v>35.85199999990914</v>
      </c>
      <c r="C95" s="299" t="str">
        <f>CONCATENATE("(",ROUND((B95/$H95)*100,1),")")</f>
        <v>(85.4)</v>
      </c>
      <c r="D95" s="302">
        <f>SUM(D93:D94)</f>
        <v>4.4079999999653161</v>
      </c>
      <c r="E95" s="299" t="str">
        <f>CONCATENATE("(",ROUND((D95/$H95)*100,1),")")</f>
        <v>(10.5)</v>
      </c>
      <c r="F95" s="302">
        <f>SUM(F93:F94)</f>
        <v>1.6970000000042913</v>
      </c>
      <c r="G95" s="299" t="str">
        <f>CONCATENATE("(",ROUND((F95/$H95)*100,1),")")</f>
        <v>(4)</v>
      </c>
      <c r="H95" s="302">
        <f>SUM(H93:H94)</f>
        <v>41.956999999878754</v>
      </c>
      <c r="I95" s="299" t="str">
        <f>CONCATENATE("(",ROUND((H95/$H95)*100,1),")")</f>
        <v>(100)</v>
      </c>
      <c r="K95" s="302">
        <f t="shared" si="82"/>
        <v>-0.32399999968291127</v>
      </c>
      <c r="L95" s="302">
        <f t="shared" si="83"/>
        <v>7.1000000026438137E-2</v>
      </c>
      <c r="M95" s="302">
        <f t="shared" si="84"/>
        <v>3.0999999995773297E-2</v>
      </c>
      <c r="N95" s="302">
        <f t="shared" si="85"/>
        <v>-0.22199999966069983</v>
      </c>
    </row>
    <row r="96" spans="1:14" x14ac:dyDescent="0.3">
      <c r="B96" s="302"/>
      <c r="C96" s="284"/>
      <c r="D96" s="302"/>
      <c r="E96" s="284"/>
      <c r="F96" s="302"/>
      <c r="G96" s="284"/>
      <c r="H96" s="302"/>
      <c r="I96" s="284"/>
    </row>
    <row r="97" spans="1:14" x14ac:dyDescent="0.3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3">
      <c r="A98" s="282" t="s">
        <v>355</v>
      </c>
      <c r="B98" s="302">
        <f>'Ind T6'!Q65</f>
        <v>29.21300000007782</v>
      </c>
      <c r="C98" s="299" t="str">
        <f>CONCATENATE("(",ROUND((B98/$H100)*100,1),")")</f>
        <v>(70)</v>
      </c>
      <c r="D98" s="302">
        <f>'Ind T6'!R65</f>
        <v>2.58099999998104</v>
      </c>
      <c r="E98" s="299" t="str">
        <f>CONCATENATE("(",ROUND((D98/$H100)*100,1),")")</f>
        <v>(6.2)</v>
      </c>
      <c r="F98" s="302">
        <f>'Ind T6'!S65</f>
        <v>1.4509999999989622</v>
      </c>
      <c r="G98" s="299" t="str">
        <f>CONCATENATE("(",ROUND((F98/$H100)*100,1),")")</f>
        <v>(3.5)</v>
      </c>
      <c r="H98" s="302">
        <f>SUM(B98,D98,F98)</f>
        <v>33.245000000057821</v>
      </c>
      <c r="I98" s="299" t="str">
        <f>CONCATENATE("(",ROUND((H98/$H100)*100,1),")")</f>
        <v>(79.7)</v>
      </c>
      <c r="K98" s="302">
        <f>B103-B98</f>
        <v>-4.4199999999766391</v>
      </c>
      <c r="L98" s="302">
        <f>D103-D98</f>
        <v>-0.25600000000940693</v>
      </c>
      <c r="M98" s="302">
        <f>F103-F98</f>
        <v>-0.15599999999585479</v>
      </c>
      <c r="N98" s="302">
        <f>SUM(K98:M98)</f>
        <v>-4.8319999999819006</v>
      </c>
    </row>
    <row r="99" spans="1:14" x14ac:dyDescent="0.3">
      <c r="A99" s="282" t="s">
        <v>356</v>
      </c>
      <c r="B99" s="302">
        <f>'Ind T6'!Q64</f>
        <v>6.3150000001484088</v>
      </c>
      <c r="C99" s="299" t="str">
        <f>CONCATENATE("(",ROUND((B99/$H100)*100,1),")")</f>
        <v>(15.1)</v>
      </c>
      <c r="D99" s="302">
        <f>'Ind T6'!R64</f>
        <v>1.8980000000107142</v>
      </c>
      <c r="E99" s="299" t="str">
        <f>CONCATENATE("(",ROUND((D99/$H100)*100,1),")")</f>
        <v>(4.5)</v>
      </c>
      <c r="F99" s="302">
        <f>'Ind T6'!S64</f>
        <v>0.27700000000110225</v>
      </c>
      <c r="G99" s="299" t="str">
        <f>CONCATENATE("(",ROUND((F99/$H100)*100,1),")")</f>
        <v>(0.7)</v>
      </c>
      <c r="H99" s="302">
        <f t="shared" ref="H99" si="86">SUM(B99,D99,F99)</f>
        <v>8.4900000001602258</v>
      </c>
      <c r="I99" s="299" t="str">
        <f>CONCATENATE("(",ROUND((H99/$H100)*100,1),")")</f>
        <v>(20.3)</v>
      </c>
      <c r="K99" s="302">
        <f t="shared" ref="K99:K100" si="87">B104-B99</f>
        <v>-1.2260000001336575</v>
      </c>
      <c r="L99" s="302">
        <f t="shared" ref="L99:L100" si="88">D104-D99</f>
        <v>-0.25400000002353851</v>
      </c>
      <c r="M99" s="302">
        <f t="shared" ref="M99:M100" si="89">F104-F99</f>
        <v>-2.9000000001357745E-2</v>
      </c>
      <c r="N99" s="302">
        <f t="shared" ref="N99:N100" si="90">SUM(K99:M99)</f>
        <v>-1.5090000001585537</v>
      </c>
    </row>
    <row r="100" spans="1:14" x14ac:dyDescent="0.3">
      <c r="A100" s="282" t="s">
        <v>354</v>
      </c>
      <c r="B100" s="302">
        <f>SUM(B98:B99)</f>
        <v>35.528000000226228</v>
      </c>
      <c r="C100" s="299" t="str">
        <f>CONCATENATE("(",ROUND((B100/$H100)*100,1),")")</f>
        <v>(85.1)</v>
      </c>
      <c r="D100" s="302">
        <f>SUM(D98:D99)</f>
        <v>4.4789999999917542</v>
      </c>
      <c r="E100" s="299" t="str">
        <f>CONCATENATE("(",ROUND((D100/$H100)*100,1),")")</f>
        <v>(10.7)</v>
      </c>
      <c r="F100" s="302">
        <f>SUM(F98:F99)</f>
        <v>1.7280000000000646</v>
      </c>
      <c r="G100" s="299" t="str">
        <f>CONCATENATE("(",ROUND((F100/$H100)*100,1),")")</f>
        <v>(4.1)</v>
      </c>
      <c r="H100" s="302">
        <f>SUM(H98:H99)</f>
        <v>41.735000000218051</v>
      </c>
      <c r="I100" s="299" t="str">
        <f>CONCATENATE("(",ROUND((H100/$H100)*100,1),")")</f>
        <v>(100)</v>
      </c>
      <c r="K100" s="302">
        <f t="shared" si="87"/>
        <v>-5.6460000001102983</v>
      </c>
      <c r="L100" s="302">
        <f t="shared" si="88"/>
        <v>-0.51000000003294543</v>
      </c>
      <c r="M100" s="302">
        <f t="shared" si="89"/>
        <v>-0.18499999999721273</v>
      </c>
      <c r="N100" s="302">
        <f t="shared" si="90"/>
        <v>-6.3410000001404567</v>
      </c>
    </row>
    <row r="101" spans="1:14" x14ac:dyDescent="0.3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3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3">
      <c r="A103" s="282" t="s">
        <v>355</v>
      </c>
      <c r="B103" s="302">
        <f>'Ind T6'!V65</f>
        <v>24.793000000101181</v>
      </c>
      <c r="C103" s="299" t="str">
        <f>CONCATENATE("(",ROUND((B103/$H105)*100,1),")")</f>
        <v>(70)</v>
      </c>
      <c r="D103" s="302">
        <f>'Ind T6'!W65</f>
        <v>2.3249999999716331</v>
      </c>
      <c r="E103" s="299" t="str">
        <f>CONCATENATE("(",ROUND((D103/$H105)*100,1),")")</f>
        <v>(6.6)</v>
      </c>
      <c r="F103" s="302">
        <f>'Ind T6'!X65</f>
        <v>1.2950000000031074</v>
      </c>
      <c r="G103" s="299" t="str">
        <f>CONCATENATE("(",ROUND((F103/$H105)*100,1),")")</f>
        <v>(3.7)</v>
      </c>
      <c r="H103" s="302">
        <f>SUM(B103,D103,F103)</f>
        <v>28.413000000075922</v>
      </c>
      <c r="I103" s="299" t="str">
        <f>CONCATENATE("(",ROUND((H103/$H105)*100,1),")")</f>
        <v>(80.3)</v>
      </c>
      <c r="K103" s="302">
        <f>B103-B93</f>
        <v>-4.5149999998404908</v>
      </c>
      <c r="L103" s="302">
        <f>D103-D93</f>
        <v>-0.18700000001253292</v>
      </c>
      <c r="M103" s="302">
        <f>F103-F93</f>
        <v>-0.12699999999982592</v>
      </c>
      <c r="N103" s="302">
        <f>SUM(K103:M103)</f>
        <v>-4.8289999998528499</v>
      </c>
    </row>
    <row r="104" spans="1:14" x14ac:dyDescent="0.3">
      <c r="A104" s="282" t="s">
        <v>356</v>
      </c>
      <c r="B104" s="302">
        <f>'Ind T6'!V64</f>
        <v>5.0890000000147513</v>
      </c>
      <c r="C104" s="299" t="str">
        <f>CONCATENATE("(",ROUND((B104/$H105)*100,1),")")</f>
        <v>(14.4)</v>
      </c>
      <c r="D104" s="302">
        <f>'Ind T6'!W64</f>
        <v>1.6439999999871757</v>
      </c>
      <c r="E104" s="299" t="str">
        <f>CONCATENATE("(",ROUND((D104/$H105)*100,1),")")</f>
        <v>(4.6)</v>
      </c>
      <c r="F104" s="302">
        <f>'Ind T6'!X64</f>
        <v>0.24799999999974451</v>
      </c>
      <c r="G104" s="299" t="str">
        <f>CONCATENATE("(",ROUND((F104/$H105)*100,1),")")</f>
        <v>(0.7)</v>
      </c>
      <c r="H104" s="302">
        <f t="shared" ref="H104" si="91">SUM(B104,D104,F104)</f>
        <v>6.9810000000016714</v>
      </c>
      <c r="I104" s="299" t="str">
        <f>CONCATENATE("(",ROUND((H104/$H105)*100,1),")")</f>
        <v>(19.7)</v>
      </c>
      <c r="K104" s="302">
        <f t="shared" ref="K104:K105" si="92">B104-B94</f>
        <v>-1.4549999999527206</v>
      </c>
      <c r="L104" s="302">
        <f t="shared" ref="L104:L105" si="93">D104-D94</f>
        <v>-0.25199999999397438</v>
      </c>
      <c r="M104" s="302">
        <f t="shared" ref="M104:M105" si="94">F104-F94</f>
        <v>-2.7000000001613428E-2</v>
      </c>
      <c r="N104" s="302">
        <f t="shared" ref="N104:N105" si="95">SUM(K104:M104)</f>
        <v>-1.7339999999483084</v>
      </c>
    </row>
    <row r="105" spans="1:14" x14ac:dyDescent="0.3">
      <c r="A105" s="282" t="s">
        <v>354</v>
      </c>
      <c r="B105" s="302">
        <f>SUM(B103:B104)</f>
        <v>29.88200000011593</v>
      </c>
      <c r="C105" s="299" t="str">
        <f>CONCATENATE("(",ROUND((B105/$H105)*100,1),")")</f>
        <v>(84.4)</v>
      </c>
      <c r="D105" s="302">
        <f>SUM(D103:D104)</f>
        <v>3.9689999999588088</v>
      </c>
      <c r="E105" s="299" t="str">
        <f>CONCATENATE("(",ROUND((D105/$H105)*100,1),")")</f>
        <v>(11.2)</v>
      </c>
      <c r="F105" s="302">
        <f>SUM(F103:F104)</f>
        <v>1.5430000000028519</v>
      </c>
      <c r="G105" s="299" t="str">
        <f>CONCATENATE("(",ROUND((F105/$H105)*100,1),")")</f>
        <v>(4.4)</v>
      </c>
      <c r="H105" s="302">
        <f>SUM(H103:H104)</f>
        <v>35.394000000077597</v>
      </c>
      <c r="I105" s="299" t="str">
        <f>CONCATENATE("(",ROUND((H105/$H105)*100,1),")")</f>
        <v>(100)</v>
      </c>
      <c r="K105" s="302">
        <f t="shared" si="92"/>
        <v>-5.9699999997932096</v>
      </c>
      <c r="L105" s="302">
        <f t="shared" si="93"/>
        <v>-0.4390000000065073</v>
      </c>
      <c r="M105" s="302">
        <f t="shared" si="94"/>
        <v>-0.15400000000143943</v>
      </c>
      <c r="N105" s="302">
        <f t="shared" si="95"/>
        <v>-6.5629999998011561</v>
      </c>
    </row>
    <row r="106" spans="1:14" x14ac:dyDescent="0.3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3">
      <c r="A107" s="295"/>
    </row>
    <row r="109" spans="1:14" x14ac:dyDescent="0.3">
      <c r="C109" s="181"/>
      <c r="E109" s="181"/>
      <c r="G109" s="181"/>
      <c r="I109" s="181"/>
    </row>
    <row r="110" spans="1:14" x14ac:dyDescent="0.3">
      <c r="A110" s="288"/>
      <c r="B110" s="289" t="s">
        <v>379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3">
      <c r="N111" s="287" t="s">
        <v>377</v>
      </c>
    </row>
    <row r="112" spans="1:14" x14ac:dyDescent="0.3">
      <c r="A112" s="181" t="s">
        <v>378</v>
      </c>
      <c r="B112" s="370" t="s">
        <v>376</v>
      </c>
      <c r="C112" s="370"/>
      <c r="D112" s="370" t="s">
        <v>375</v>
      </c>
      <c r="E112" s="370"/>
      <c r="F112" s="370" t="s">
        <v>374</v>
      </c>
      <c r="G112" s="370"/>
      <c r="H112" s="370" t="s">
        <v>32</v>
      </c>
      <c r="I112" s="370"/>
      <c r="J112" s="181"/>
      <c r="K112" s="297" t="s">
        <v>339</v>
      </c>
      <c r="L112" s="297" t="s">
        <v>341</v>
      </c>
      <c r="M112" s="297" t="s">
        <v>337</v>
      </c>
      <c r="N112" s="297" t="s">
        <v>32</v>
      </c>
    </row>
    <row r="113" spans="1:14" x14ac:dyDescent="0.3">
      <c r="A113" s="292">
        <f>$A$8</f>
        <v>2020</v>
      </c>
      <c r="B113" s="287" t="s">
        <v>60</v>
      </c>
      <c r="C113" s="19" t="s">
        <v>373</v>
      </c>
      <c r="D113" s="287" t="s">
        <v>60</v>
      </c>
      <c r="E113" s="19" t="s">
        <v>373</v>
      </c>
      <c r="F113" s="287" t="s">
        <v>60</v>
      </c>
      <c r="G113" s="19" t="s">
        <v>373</v>
      </c>
      <c r="H113" s="287" t="s">
        <v>60</v>
      </c>
      <c r="I113" s="19" t="s">
        <v>373</v>
      </c>
      <c r="J113" s="181"/>
      <c r="K113" s="286" t="str">
        <f>CONCATENATE(A113," - ",A118)</f>
        <v>2020 - 2025</v>
      </c>
      <c r="L113" s="285"/>
      <c r="M113" s="285"/>
    </row>
    <row r="114" spans="1:14" x14ac:dyDescent="0.3">
      <c r="A114" s="282" t="s">
        <v>355</v>
      </c>
      <c r="B114" s="302">
        <f>'Ind T6'!L155</f>
        <v>93.557999999997847</v>
      </c>
      <c r="C114" s="299" t="str">
        <f>CONCATENATE("(",ROUND((B114/$H116)*100,1),")")</f>
        <v>(64.8)</v>
      </c>
      <c r="D114" s="302">
        <f>'Ind T6'!M155</f>
        <v>7.5580000000360563</v>
      </c>
      <c r="E114" s="299" t="str">
        <f>CONCATENATE("(",ROUND((D114/$H116)*100,1),")")</f>
        <v>(5.2)</v>
      </c>
      <c r="F114" s="302">
        <f>'Ind T6'!N155</f>
        <v>10.020999999980466</v>
      </c>
      <c r="G114" s="299" t="str">
        <f>CONCATENATE("(",ROUND((F114/$H116)*100,1),")")</f>
        <v>(6.9)</v>
      </c>
      <c r="H114" s="302">
        <f>SUM(B114,D114,F114)</f>
        <v>111.13700000001437</v>
      </c>
      <c r="I114" s="299" t="str">
        <f>CONCATENATE("(",ROUND((H114/$H116)*100,1),")")</f>
        <v>(77)</v>
      </c>
      <c r="K114" s="302">
        <f>B119-B114</f>
        <v>-7.1719999996444415</v>
      </c>
      <c r="L114" s="302">
        <f>D119-D114</f>
        <v>-0.48000000000207077</v>
      </c>
      <c r="M114" s="302">
        <f>F119-F114</f>
        <v>-0.84800000011468235</v>
      </c>
      <c r="N114" s="302">
        <f>SUM(K114:M114)</f>
        <v>-8.4999999997611937</v>
      </c>
    </row>
    <row r="115" spans="1:14" x14ac:dyDescent="0.3">
      <c r="A115" s="282" t="s">
        <v>356</v>
      </c>
      <c r="B115" s="302">
        <f>'Ind T6'!L154</f>
        <v>23.125999999903364</v>
      </c>
      <c r="C115" s="299" t="str">
        <f>CONCATENATE("(",ROUND((B115/$H116)*100,1),")")</f>
        <v>(16)</v>
      </c>
      <c r="D115" s="302">
        <f>'Ind T6'!M154</f>
        <v>8.4659999999283571</v>
      </c>
      <c r="E115" s="299" t="str">
        <f>CONCATENATE("(",ROUND((D115/$H116)*100,1),")")</f>
        <v>(5.9)</v>
      </c>
      <c r="F115" s="302">
        <f>'Ind T6'!N154</f>
        <v>1.6569999999807337</v>
      </c>
      <c r="G115" s="299" t="str">
        <f>CONCATENATE("(",ROUND((F115/$H116)*100,1),")")</f>
        <v>(1.1)</v>
      </c>
      <c r="H115" s="302">
        <f t="shared" ref="H115" si="96">SUM(B115,D115,F115)</f>
        <v>33.248999999812455</v>
      </c>
      <c r="I115" s="299" t="str">
        <f>CONCATENATE("(",ROUND((H115/$H116)*100,1),")")</f>
        <v>(23)</v>
      </c>
      <c r="K115" s="302">
        <f t="shared" ref="K115:K116" si="97">B120-B115</f>
        <v>-1.3949999993651403</v>
      </c>
      <c r="L115" s="302">
        <f t="shared" ref="L115:L116" si="98">D120-D115</f>
        <v>-0.57599999985379124</v>
      </c>
      <c r="M115" s="302">
        <f t="shared" ref="M115:M116" si="99">F120-F115</f>
        <v>-0.18499999997917738</v>
      </c>
      <c r="N115" s="302">
        <f t="shared" ref="N115:N116" si="100">SUM(K115:M115)</f>
        <v>-2.1559999991981087</v>
      </c>
    </row>
    <row r="116" spans="1:14" x14ac:dyDescent="0.3">
      <c r="A116" s="282" t="s">
        <v>354</v>
      </c>
      <c r="B116" s="302">
        <f>SUM(B114:B115)</f>
        <v>116.6839999999012</v>
      </c>
      <c r="C116" s="299" t="str">
        <f>CONCATENATE("(",ROUND((B116/$H116)*100,1),")")</f>
        <v>(80.8)</v>
      </c>
      <c r="D116" s="302">
        <f>SUM(D114:D115)</f>
        <v>16.023999999964413</v>
      </c>
      <c r="E116" s="299" t="str">
        <f>CONCATENATE("(",ROUND((D116/$H116)*100,1),")")</f>
        <v>(11.1)</v>
      </c>
      <c r="F116" s="302">
        <f>SUM(F114:F115)</f>
        <v>11.6779999999612</v>
      </c>
      <c r="G116" s="299" t="str">
        <f>CONCATENATE("(",ROUND((F116/$H116)*100,1),")")</f>
        <v>(8.1)</v>
      </c>
      <c r="H116" s="302">
        <f>SUM(H114:H115)</f>
        <v>144.38599999982682</v>
      </c>
      <c r="I116" s="299" t="str">
        <f>CONCATENATE("(",ROUND((H116/$H116)*100,1),")")</f>
        <v>(100)</v>
      </c>
      <c r="K116" s="302">
        <f t="shared" si="97"/>
        <v>-8.5669999990095675</v>
      </c>
      <c r="L116" s="302">
        <f t="shared" si="98"/>
        <v>-1.055999999855862</v>
      </c>
      <c r="M116" s="302">
        <f t="shared" si="99"/>
        <v>-1.0330000000938604</v>
      </c>
      <c r="N116" s="302">
        <f t="shared" si="100"/>
        <v>-10.65599999895929</v>
      </c>
    </row>
    <row r="117" spans="1:14" x14ac:dyDescent="0.3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3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3">
      <c r="A119" s="282" t="s">
        <v>355</v>
      </c>
      <c r="B119" s="302">
        <f>'Ind T6'!Q155</f>
        <v>86.386000000353405</v>
      </c>
      <c r="C119" s="299" t="str">
        <f>CONCATENATE("(",ROUND((B119/$H121)*100,1),")")</f>
        <v>(64.6)</v>
      </c>
      <c r="D119" s="302">
        <f>'Ind T6'!R155</f>
        <v>7.0780000000339856</v>
      </c>
      <c r="E119" s="299" t="str">
        <f>CONCATENATE("(",ROUND((D119/$H121)*100,1),")")</f>
        <v>(5.3)</v>
      </c>
      <c r="F119" s="302">
        <f>'Ind T6'!S155</f>
        <v>9.1729999998657838</v>
      </c>
      <c r="G119" s="299" t="str">
        <f>CONCATENATE("(",ROUND((F119/$H121)*100,1),")")</f>
        <v>(6.9)</v>
      </c>
      <c r="H119" s="302">
        <f>SUM(B119,D119,F119)</f>
        <v>102.63700000025317</v>
      </c>
      <c r="I119" s="299" t="str">
        <f>CONCATENATE("(",ROUND((H119/$H121)*100,1),")")</f>
        <v>(76.7)</v>
      </c>
      <c r="K119" s="302">
        <f>B124-B119</f>
        <v>-9.1960000000370883</v>
      </c>
      <c r="L119" s="302">
        <f>D124-D119</f>
        <v>-0.58899999998452834</v>
      </c>
      <c r="M119" s="302">
        <f>F124-F119</f>
        <v>-0.73699999994340004</v>
      </c>
      <c r="N119" s="302">
        <f>SUM(K119:M119)</f>
        <v>-10.521999999965017</v>
      </c>
    </row>
    <row r="120" spans="1:14" x14ac:dyDescent="0.3">
      <c r="A120" s="282" t="s">
        <v>356</v>
      </c>
      <c r="B120" s="302">
        <f>'Ind T6'!Q154</f>
        <v>21.731000000538224</v>
      </c>
      <c r="C120" s="299" t="str">
        <f>CONCATENATE("(",ROUND((B120/$H121)*100,1),")")</f>
        <v>(16.2)</v>
      </c>
      <c r="D120" s="302">
        <f>'Ind T6'!R154</f>
        <v>7.8900000000745658</v>
      </c>
      <c r="E120" s="299" t="str">
        <f>CONCATENATE("(",ROUND((D120/$H121)*100,1),")")</f>
        <v>(5.9)</v>
      </c>
      <c r="F120" s="302">
        <f>'Ind T6'!S154</f>
        <v>1.4720000000015563</v>
      </c>
      <c r="G120" s="299" t="str">
        <f>CONCATENATE("(",ROUND((F120/$H121)*100,1),")")</f>
        <v>(1.1)</v>
      </c>
      <c r="H120" s="302">
        <f t="shared" ref="H120" si="101">SUM(B120,D120,F120)</f>
        <v>31.093000000614346</v>
      </c>
      <c r="I120" s="299" t="str">
        <f>CONCATENATE("(",ROUND((H120/$H121)*100,1),")")</f>
        <v>(23.3)</v>
      </c>
      <c r="K120" s="302">
        <f t="shared" ref="K120:K121" si="102">B125-B120</f>
        <v>-1.81700000045495</v>
      </c>
      <c r="L120" s="302">
        <f t="shared" ref="L120:L121" si="103">D125-D120</f>
        <v>-0.62400000013636703</v>
      </c>
      <c r="M120" s="302">
        <f t="shared" ref="M120:M121" si="104">F125-F120</f>
        <v>-0.17899999999296523</v>
      </c>
      <c r="N120" s="302">
        <f t="shared" ref="N120:N121" si="105">SUM(K120:M120)</f>
        <v>-2.6200000005842821</v>
      </c>
    </row>
    <row r="121" spans="1:14" x14ac:dyDescent="0.3">
      <c r="A121" s="282" t="s">
        <v>354</v>
      </c>
      <c r="B121" s="302">
        <f>SUM(B119:B120)</f>
        <v>108.11700000089164</v>
      </c>
      <c r="C121" s="299" t="str">
        <f>CONCATENATE("(",ROUND((B121/$H121)*100,1),")")</f>
        <v>(80.8)</v>
      </c>
      <c r="D121" s="302">
        <f>SUM(D119:D120)</f>
        <v>14.968000000108551</v>
      </c>
      <c r="E121" s="299" t="str">
        <f>CONCATENATE("(",ROUND((D121/$H121)*100,1),")")</f>
        <v>(11.2)</v>
      </c>
      <c r="F121" s="302">
        <f>SUM(F119:F120)</f>
        <v>10.644999999867339</v>
      </c>
      <c r="G121" s="299" t="str">
        <f>CONCATENATE("(",ROUND((F121/$H121)*100,1),")")</f>
        <v>(8)</v>
      </c>
      <c r="H121" s="302">
        <f>SUM(H119:H120)</f>
        <v>133.73000000086751</v>
      </c>
      <c r="I121" s="299" t="str">
        <f>CONCATENATE("(",ROUND((H121/$H121)*100,1),")")</f>
        <v>(100)</v>
      </c>
      <c r="K121" s="302">
        <f t="shared" si="102"/>
        <v>-11.013000000492042</v>
      </c>
      <c r="L121" s="302">
        <f t="shared" si="103"/>
        <v>-1.2130000001208945</v>
      </c>
      <c r="M121" s="302">
        <f t="shared" si="104"/>
        <v>-0.91599999993636416</v>
      </c>
      <c r="N121" s="302">
        <f t="shared" si="105"/>
        <v>-13.142000000549301</v>
      </c>
    </row>
    <row r="122" spans="1:14" x14ac:dyDescent="0.3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3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3">
      <c r="A124" s="282" t="s">
        <v>355</v>
      </c>
      <c r="B124" s="302">
        <f>'Ind T6'!V155</f>
        <v>77.190000000316317</v>
      </c>
      <c r="C124" s="299" t="str">
        <f>CONCATENATE("(",ROUND((B124/$H126)*100,1),")")</f>
        <v>(64)</v>
      </c>
      <c r="D124" s="302">
        <f>'Ind T6'!W155</f>
        <v>6.4890000000494572</v>
      </c>
      <c r="E124" s="299" t="str">
        <f>CONCATENATE("(",ROUND((D124/$H126)*100,1),")")</f>
        <v>(5.4)</v>
      </c>
      <c r="F124" s="302">
        <f>'Ind T6'!X155</f>
        <v>8.4359999999223838</v>
      </c>
      <c r="G124" s="299" t="str">
        <f>CONCATENATE("(",ROUND((F124/$H126)*100,1),")")</f>
        <v>(7)</v>
      </c>
      <c r="H124" s="302">
        <f>SUM(B124,D124,F124)</f>
        <v>92.115000000288163</v>
      </c>
      <c r="I124" s="299" t="str">
        <f>CONCATENATE("(",ROUND((H124/$H126)*100,1),")")</f>
        <v>(76.4)</v>
      </c>
      <c r="K124" s="302">
        <f>B124-B114</f>
        <v>-16.36799999968153</v>
      </c>
      <c r="L124" s="302">
        <f>D124-D114</f>
        <v>-1.0689999999865991</v>
      </c>
      <c r="M124" s="302">
        <f>F124-F114</f>
        <v>-1.5850000000580824</v>
      </c>
      <c r="N124" s="302">
        <f>SUM(K124:M124)</f>
        <v>-19.021999999726212</v>
      </c>
    </row>
    <row r="125" spans="1:14" x14ac:dyDescent="0.3">
      <c r="A125" s="282" t="s">
        <v>356</v>
      </c>
      <c r="B125" s="302">
        <f>'Ind T6'!V154</f>
        <v>19.914000000083274</v>
      </c>
      <c r="C125" s="299" t="str">
        <f>CONCATENATE("(",ROUND((B125/$H126)*100,1),")")</f>
        <v>(16.5)</v>
      </c>
      <c r="D125" s="302">
        <f>'Ind T6'!W154</f>
        <v>7.2659999999381988</v>
      </c>
      <c r="E125" s="299" t="str">
        <f>CONCATENATE("(",ROUND((D125/$H126)*100,1),")")</f>
        <v>(6)</v>
      </c>
      <c r="F125" s="302">
        <f>'Ind T6'!X154</f>
        <v>1.2930000000085911</v>
      </c>
      <c r="G125" s="299" t="str">
        <f>CONCATENATE("(",ROUND((F125/$H126)*100,1),")")</f>
        <v>(1.1)</v>
      </c>
      <c r="H125" s="302">
        <f t="shared" ref="H125" si="106">SUM(B125,D125,F125)</f>
        <v>28.473000000030062</v>
      </c>
      <c r="I125" s="299" t="str">
        <f>CONCATENATE("(",ROUND((H125/$H126)*100,1),")")</f>
        <v>(23.6)</v>
      </c>
      <c r="K125" s="302">
        <f t="shared" ref="K125:K126" si="107">B125-B115</f>
        <v>-3.2119999998200903</v>
      </c>
      <c r="L125" s="302">
        <f t="shared" ref="L125:L126" si="108">D125-D115</f>
        <v>-1.1999999999901583</v>
      </c>
      <c r="M125" s="302">
        <f t="shared" ref="M125:M126" si="109">F125-F115</f>
        <v>-0.36399999997214261</v>
      </c>
      <c r="N125" s="302">
        <f t="shared" ref="N125:N126" si="110">SUM(K125:M125)</f>
        <v>-4.7759999997823908</v>
      </c>
    </row>
    <row r="126" spans="1:14" x14ac:dyDescent="0.3">
      <c r="A126" s="282" t="s">
        <v>354</v>
      </c>
      <c r="B126" s="302">
        <f>SUM(B124:B125)</f>
        <v>97.104000000399594</v>
      </c>
      <c r="C126" s="299" t="str">
        <f>CONCATENATE("(",ROUND((B126/$H126)*100,1),")")</f>
        <v>(80.5)</v>
      </c>
      <c r="D126" s="302">
        <f>SUM(D124:D125)</f>
        <v>13.754999999987657</v>
      </c>
      <c r="E126" s="299" t="str">
        <f>CONCATENATE("(",ROUND((D126/$H126)*100,1),")")</f>
        <v>(11.4)</v>
      </c>
      <c r="F126" s="302">
        <f>SUM(F124:F125)</f>
        <v>9.7289999999309753</v>
      </c>
      <c r="G126" s="299" t="str">
        <f>CONCATENATE("(",ROUND((F126/$H126)*100,1),")")</f>
        <v>(8.1)</v>
      </c>
      <c r="H126" s="302">
        <f>SUM(H124:H125)</f>
        <v>120.58800000031823</v>
      </c>
      <c r="I126" s="299" t="str">
        <f>CONCATENATE("(",ROUND((H126/$H126)*100,1),")")</f>
        <v>(100)</v>
      </c>
      <c r="K126" s="302">
        <f t="shared" si="107"/>
        <v>-19.579999999501609</v>
      </c>
      <c r="L126" s="302">
        <f t="shared" si="108"/>
        <v>-2.2689999999767565</v>
      </c>
      <c r="M126" s="302">
        <f t="shared" si="109"/>
        <v>-1.9490000000302246</v>
      </c>
      <c r="N126" s="302">
        <f t="shared" si="110"/>
        <v>-23.79799999950859</v>
      </c>
    </row>
    <row r="127" spans="1:14" x14ac:dyDescent="0.3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3">
      <c r="A131" s="288"/>
      <c r="B131" s="289" t="s">
        <v>379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3">
      <c r="N132" s="287" t="s">
        <v>377</v>
      </c>
    </row>
    <row r="133" spans="1:14" x14ac:dyDescent="0.3">
      <c r="A133" s="181" t="s">
        <v>378</v>
      </c>
      <c r="B133" s="370" t="s">
        <v>376</v>
      </c>
      <c r="C133" s="370"/>
      <c r="D133" s="370" t="s">
        <v>375</v>
      </c>
      <c r="E133" s="370"/>
      <c r="F133" s="370" t="s">
        <v>374</v>
      </c>
      <c r="G133" s="370"/>
      <c r="H133" s="370" t="s">
        <v>32</v>
      </c>
      <c r="I133" s="370"/>
      <c r="J133" s="181"/>
      <c r="K133" s="297" t="s">
        <v>339</v>
      </c>
      <c r="L133" s="297" t="s">
        <v>341</v>
      </c>
      <c r="M133" s="297" t="s">
        <v>337</v>
      </c>
      <c r="N133" s="297" t="s">
        <v>32</v>
      </c>
    </row>
    <row r="134" spans="1:14" x14ac:dyDescent="0.3">
      <c r="A134" s="292">
        <f>$A$8</f>
        <v>2020</v>
      </c>
      <c r="B134" s="287" t="s">
        <v>60</v>
      </c>
      <c r="C134" s="19" t="s">
        <v>373</v>
      </c>
      <c r="D134" s="287" t="s">
        <v>60</v>
      </c>
      <c r="E134" s="19" t="s">
        <v>373</v>
      </c>
      <c r="F134" s="287" t="s">
        <v>60</v>
      </c>
      <c r="G134" s="19" t="s">
        <v>373</v>
      </c>
      <c r="H134" s="287" t="s">
        <v>60</v>
      </c>
      <c r="I134" s="19" t="s">
        <v>373</v>
      </c>
      <c r="J134" s="181"/>
      <c r="K134" s="286" t="str">
        <f>CONCATENATE(A134," - ",A139)</f>
        <v>2020 - 2025</v>
      </c>
      <c r="L134" s="285"/>
      <c r="M134" s="285"/>
    </row>
    <row r="135" spans="1:14" x14ac:dyDescent="0.3">
      <c r="A135" s="282" t="s">
        <v>355</v>
      </c>
      <c r="B135" s="302">
        <f>'Ind T6'!L165</f>
        <v>3.245999999977065</v>
      </c>
      <c r="C135" s="299" t="str">
        <f>CONCATENATE("(",ROUND((B135/$H137)*100,1),")")</f>
        <v>(54.7)</v>
      </c>
      <c r="D135" s="302">
        <f>'Ind T6'!M165</f>
        <v>3.4999999999998047E-2</v>
      </c>
      <c r="E135" s="299" t="str">
        <f>CONCATENATE("(",ROUND((D135/$H137)*100,1),")")</f>
        <v>(0.6)</v>
      </c>
      <c r="F135" s="302">
        <f>'Ind T6'!N165</f>
        <v>1.4379999999866961</v>
      </c>
      <c r="G135" s="299" t="str">
        <f>CONCATENATE("(",ROUND((F135/$H137)*100,1),")")</f>
        <v>(24.2)</v>
      </c>
      <c r="H135" s="302">
        <f>SUM(B135,D135,F135)</f>
        <v>4.7189999999637591</v>
      </c>
      <c r="I135" s="299" t="str">
        <f>CONCATENATE("(",ROUND((H135/$H137)*100,1),")")</f>
        <v>(79.6)</v>
      </c>
      <c r="K135" s="302">
        <f>B140-B135</f>
        <v>-0.23699999998717836</v>
      </c>
      <c r="L135" s="302">
        <f>D140-D135</f>
        <v>-1.9999999999117321E-3</v>
      </c>
      <c r="M135" s="302">
        <f>F140-F135</f>
        <v>-9.0999999991532299E-2</v>
      </c>
      <c r="N135" s="302">
        <f>SUM(K135:M135)</f>
        <v>-0.32999999997862239</v>
      </c>
    </row>
    <row r="136" spans="1:14" x14ac:dyDescent="0.3">
      <c r="A136" s="282" t="s">
        <v>356</v>
      </c>
      <c r="B136" s="302">
        <f>'Ind T6'!L164</f>
        <v>0.98999999998505928</v>
      </c>
      <c r="C136" s="299" t="str">
        <f>CONCATENATE("(",ROUND((B136/$H137)*100,1),")")</f>
        <v>(16.7)</v>
      </c>
      <c r="D136" s="302">
        <f>'Ind T6'!M164</f>
        <v>0.22099999999959832</v>
      </c>
      <c r="E136" s="299" t="str">
        <f>CONCATENATE("(",ROUND((D136/$H137)*100,1),")")</f>
        <v>(3.7)</v>
      </c>
      <c r="F136" s="302">
        <f>'Ind T6'!N164</f>
        <v>0</v>
      </c>
      <c r="G136" s="299" t="str">
        <f>CONCATENATE("(",ROUND((F136/$H137)*100,1),")")</f>
        <v>(0)</v>
      </c>
      <c r="H136" s="302">
        <f t="shared" ref="H136" si="111">SUM(B136,D136,F136)</f>
        <v>1.2109999999846577</v>
      </c>
      <c r="I136" s="299" t="str">
        <f>CONCATENATE("(",ROUND((H136/$H137)*100,1),")")</f>
        <v>(20.4)</v>
      </c>
      <c r="K136" s="302">
        <f t="shared" ref="K136:K137" si="112">B141-B136</f>
        <v>-5.6999999970963389E-2</v>
      </c>
      <c r="L136" s="302">
        <f t="shared" ref="L136:L137" si="113">D141-D136</f>
        <v>-1.4999999996614694E-2</v>
      </c>
      <c r="M136" s="302">
        <f t="shared" ref="M136:M137" si="114">F141-F136</f>
        <v>0</v>
      </c>
      <c r="N136" s="302">
        <f t="shared" ref="N136:N137" si="115">SUM(K136:M136)</f>
        <v>-7.1999999967578082E-2</v>
      </c>
    </row>
    <row r="137" spans="1:14" x14ac:dyDescent="0.3">
      <c r="A137" s="282" t="s">
        <v>354</v>
      </c>
      <c r="B137" s="302">
        <f>SUM(B135:B136)</f>
        <v>4.2359999999621243</v>
      </c>
      <c r="C137" s="299" t="str">
        <f>CONCATENATE("(",ROUND((B137/$H137)*100,1),")")</f>
        <v>(71.4)</v>
      </c>
      <c r="D137" s="302">
        <f>SUM(D135:D136)</f>
        <v>0.25599999999959638</v>
      </c>
      <c r="E137" s="299" t="str">
        <f>CONCATENATE("(",ROUND((D137/$H137)*100,1),")")</f>
        <v>(4.3)</v>
      </c>
      <c r="F137" s="302">
        <f>SUM(F135:F136)</f>
        <v>1.4379999999866961</v>
      </c>
      <c r="G137" s="299" t="str">
        <f>CONCATENATE("(",ROUND((F137/$H137)*100,1),")")</f>
        <v>(24.2)</v>
      </c>
      <c r="H137" s="302">
        <f>SUM(H135:H136)</f>
        <v>5.929999999948417</v>
      </c>
      <c r="I137" s="299" t="str">
        <f>CONCATENATE("(",ROUND((H137/$H137)*100,1),")")</f>
        <v>(100)</v>
      </c>
      <c r="K137" s="302">
        <f t="shared" si="112"/>
        <v>-0.29399999995814152</v>
      </c>
      <c r="L137" s="302">
        <f t="shared" si="113"/>
        <v>-1.6999999996526433E-2</v>
      </c>
      <c r="M137" s="302">
        <f t="shared" si="114"/>
        <v>-9.0999999991532299E-2</v>
      </c>
      <c r="N137" s="302">
        <f t="shared" si="115"/>
        <v>-0.40199999994620028</v>
      </c>
    </row>
    <row r="138" spans="1:14" x14ac:dyDescent="0.3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3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3">
      <c r="A140" s="282" t="s">
        <v>355</v>
      </c>
      <c r="B140" s="302">
        <f>'Ind T6'!Q165</f>
        <v>3.0089999999898867</v>
      </c>
      <c r="C140" s="299" t="str">
        <f>CONCATENATE("(",ROUND((B140/$H142)*100,1),")")</f>
        <v>(54.4)</v>
      </c>
      <c r="D140" s="302">
        <f>'Ind T6'!R165</f>
        <v>3.3000000000086314E-2</v>
      </c>
      <c r="E140" s="299" t="str">
        <f>CONCATENATE("(",ROUND((D140/$H142)*100,1),")")</f>
        <v>(0.6)</v>
      </c>
      <c r="F140" s="302">
        <f>'Ind T6'!S165</f>
        <v>1.3469999999951638</v>
      </c>
      <c r="G140" s="299" t="str">
        <f>CONCATENATE("(",ROUND((F140/$H142)*100,1),")")</f>
        <v>(24.4)</v>
      </c>
      <c r="H140" s="302">
        <f>SUM(B140,D140,F140)</f>
        <v>4.3889999999851366</v>
      </c>
      <c r="I140" s="299" t="str">
        <f>CONCATENATE("(",ROUND((H140/$H142)*100,1),")")</f>
        <v>(79.4)</v>
      </c>
      <c r="K140" s="302">
        <f>B145-B140</f>
        <v>-0.16500000001098769</v>
      </c>
      <c r="L140" s="302">
        <f>D145-D140</f>
        <v>-9.999999999952755E-4</v>
      </c>
      <c r="M140" s="302">
        <f>F145-F140</f>
        <v>-4.3000000011073514E-2</v>
      </c>
      <c r="N140" s="302">
        <f>SUM(K140:M140)</f>
        <v>-0.20900000002205649</v>
      </c>
    </row>
    <row r="141" spans="1:14" x14ac:dyDescent="0.3">
      <c r="A141" s="282" t="s">
        <v>356</v>
      </c>
      <c r="B141" s="302">
        <f>'Ind T6'!Q164</f>
        <v>0.93300000001409589</v>
      </c>
      <c r="C141" s="299" t="str">
        <f>CONCATENATE("(",ROUND((B141/$H142)*100,1),")")</f>
        <v>(16.9)</v>
      </c>
      <c r="D141" s="302">
        <f>'Ind T6'!R164</f>
        <v>0.20600000000298363</v>
      </c>
      <c r="E141" s="299" t="str">
        <f>CONCATENATE("(",ROUND((D141/$H142)*100,1),")")</f>
        <v>(3.7)</v>
      </c>
      <c r="F141" s="302">
        <f>'Ind T6'!S164</f>
        <v>0</v>
      </c>
      <c r="G141" s="299" t="str">
        <f>CONCATENATE("(",ROUND((F141/$H142)*100,1),")")</f>
        <v>(0)</v>
      </c>
      <c r="H141" s="302">
        <f t="shared" ref="H141" si="116">SUM(B141,D141,F141)</f>
        <v>1.1390000000170795</v>
      </c>
      <c r="I141" s="299" t="str">
        <f>CONCATENATE("(",ROUND((H141/$H142)*100,1),")")</f>
        <v>(20.6)</v>
      </c>
      <c r="K141" s="302">
        <f t="shared" ref="K141:K142" si="117">B146-B141</f>
        <v>-2.3000000024112177E-2</v>
      </c>
      <c r="L141" s="302">
        <f t="shared" ref="L141:L142" si="118">D146-D141</f>
        <v>-9.0000000054532014E-3</v>
      </c>
      <c r="M141" s="302">
        <f t="shared" ref="M141:M142" si="119">F146-F141</f>
        <v>0</v>
      </c>
      <c r="N141" s="302">
        <f t="shared" ref="N141:N142" si="120">SUM(K141:M141)</f>
        <v>-3.2000000029565379E-2</v>
      </c>
    </row>
    <row r="142" spans="1:14" x14ac:dyDescent="0.3">
      <c r="A142" s="282" t="s">
        <v>354</v>
      </c>
      <c r="B142" s="302">
        <f>SUM(B140:B141)</f>
        <v>3.9420000000039828</v>
      </c>
      <c r="C142" s="299" t="str">
        <f>CONCATENATE("(",ROUND((B142/$H142)*100,1),")")</f>
        <v>(71.3)</v>
      </c>
      <c r="D142" s="302">
        <f>SUM(D140:D141)</f>
        <v>0.23900000000306995</v>
      </c>
      <c r="E142" s="299" t="str">
        <f>CONCATENATE("(",ROUND((D142/$H142)*100,1),")")</f>
        <v>(4.3)</v>
      </c>
      <c r="F142" s="302">
        <f>SUM(F140:F141)</f>
        <v>1.3469999999951638</v>
      </c>
      <c r="G142" s="299" t="str">
        <f>CONCATENATE("(",ROUND((F142/$H142)*100,1),")")</f>
        <v>(24.4)</v>
      </c>
      <c r="H142" s="302">
        <f>SUM(H140:H141)</f>
        <v>5.5280000000022156</v>
      </c>
      <c r="I142" s="299" t="str">
        <f>CONCATENATE("(",ROUND((H142/$H142)*100,1),")")</f>
        <v>(100)</v>
      </c>
      <c r="K142" s="302">
        <f t="shared" si="117"/>
        <v>-0.18800000003510009</v>
      </c>
      <c r="L142" s="302">
        <f t="shared" si="118"/>
        <v>-1.0000000005448484E-2</v>
      </c>
      <c r="M142" s="302">
        <f t="shared" si="119"/>
        <v>-4.3000000011073514E-2</v>
      </c>
      <c r="N142" s="302">
        <f t="shared" si="120"/>
        <v>-0.24100000005162209</v>
      </c>
    </row>
    <row r="143" spans="1:14" x14ac:dyDescent="0.3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3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3">
      <c r="A145" s="282" t="s">
        <v>355</v>
      </c>
      <c r="B145" s="302">
        <f>'Ind T6'!V165</f>
        <v>2.843999999978899</v>
      </c>
      <c r="C145" s="299" t="str">
        <f>CONCATENATE("(",ROUND((B145/$H147)*100,1),")")</f>
        <v>(53.8)</v>
      </c>
      <c r="D145" s="302">
        <f>'Ind T6'!W165</f>
        <v>3.2000000000091039E-2</v>
      </c>
      <c r="E145" s="299" t="str">
        <f>CONCATENATE("(",ROUND((D145/$H147)*100,1),")")</f>
        <v>(0.6)</v>
      </c>
      <c r="F145" s="302">
        <f>'Ind T6'!X165</f>
        <v>1.3039999999840903</v>
      </c>
      <c r="G145" s="299" t="str">
        <f>CONCATENATE("(",ROUND((F145/$H147)*100,1),")")</f>
        <v>(24.7)</v>
      </c>
      <c r="H145" s="302">
        <f>SUM(B145,D145,F145)</f>
        <v>4.1799999999630799</v>
      </c>
      <c r="I145" s="299" t="str">
        <f>CONCATENATE("(",ROUND((H145/$H147)*100,1),")")</f>
        <v>(79.1)</v>
      </c>
      <c r="K145" s="302">
        <f>B145-B135</f>
        <v>-0.40199999999816605</v>
      </c>
      <c r="L145" s="302">
        <f>D145-D135</f>
        <v>-2.9999999999070076E-3</v>
      </c>
      <c r="M145" s="302">
        <f>F145-F135</f>
        <v>-0.13400000000260581</v>
      </c>
      <c r="N145" s="302">
        <f>SUM(K145:M145)</f>
        <v>-0.53900000000067894</v>
      </c>
    </row>
    <row r="146" spans="1:14" x14ac:dyDescent="0.3">
      <c r="A146" s="282" t="s">
        <v>356</v>
      </c>
      <c r="B146" s="302">
        <f>'Ind T6'!V164</f>
        <v>0.90999999998998371</v>
      </c>
      <c r="C146" s="299" t="str">
        <f>CONCATENATE("(",ROUND((B146/$H147)*100,1),")")</f>
        <v>(17.2)</v>
      </c>
      <c r="D146" s="302">
        <f>'Ind T6'!W164</f>
        <v>0.19699999999753043</v>
      </c>
      <c r="E146" s="299" t="str">
        <f>CONCATENATE("(",ROUND((D146/$H147)*100,1),")")</f>
        <v>(3.7)</v>
      </c>
      <c r="F146" s="302">
        <f>'Ind T6'!X164</f>
        <v>0</v>
      </c>
      <c r="G146" s="299" t="str">
        <f>CONCATENATE("(",ROUND((F146/$H147)*100,1),")")</f>
        <v>(0)</v>
      </c>
      <c r="H146" s="302">
        <f t="shared" ref="H146" si="121">SUM(B146,D146,F146)</f>
        <v>1.1069999999875142</v>
      </c>
      <c r="I146" s="299" t="str">
        <f>CONCATENATE("(",ROUND((H146/$H147)*100,1),")")</f>
        <v>(20.9)</v>
      </c>
      <c r="K146" s="302">
        <f t="shared" ref="K146:K147" si="122">B146-B136</f>
        <v>-7.9999999995075566E-2</v>
      </c>
      <c r="L146" s="302">
        <f t="shared" ref="L146:L147" si="123">D146-D136</f>
        <v>-2.4000000002067895E-2</v>
      </c>
      <c r="M146" s="302">
        <f t="shared" ref="M146:M147" si="124">F146-F136</f>
        <v>0</v>
      </c>
      <c r="N146" s="302">
        <f t="shared" ref="N146:N147" si="125">SUM(K146:M146)</f>
        <v>-0.10399999999714346</v>
      </c>
    </row>
    <row r="147" spans="1:14" x14ac:dyDescent="0.3">
      <c r="A147" s="282" t="s">
        <v>354</v>
      </c>
      <c r="B147" s="302">
        <f>SUM(B145:B146)</f>
        <v>3.7539999999688827</v>
      </c>
      <c r="C147" s="299" t="str">
        <f>CONCATENATE("(",ROUND((B147/$H147)*100,1),")")</f>
        <v>(71)</v>
      </c>
      <c r="D147" s="302">
        <f>SUM(D145:D146)</f>
        <v>0.22899999999762147</v>
      </c>
      <c r="E147" s="299" t="str">
        <f>CONCATENATE("(",ROUND((D147/$H147)*100,1),")")</f>
        <v>(4.3)</v>
      </c>
      <c r="F147" s="302">
        <f>SUM(F145:F146)</f>
        <v>1.3039999999840903</v>
      </c>
      <c r="G147" s="299" t="str">
        <f>CONCATENATE("(",ROUND((F147/$H147)*100,1),")")</f>
        <v>(24.7)</v>
      </c>
      <c r="H147" s="302">
        <f>SUM(H145:H146)</f>
        <v>5.2869999999505941</v>
      </c>
      <c r="I147" s="299" t="str">
        <f>CONCATENATE("(",ROUND((H147/$H147)*100,1),")")</f>
        <v>(100)</v>
      </c>
      <c r="K147" s="302">
        <f t="shared" si="122"/>
        <v>-0.48199999999324161</v>
      </c>
      <c r="L147" s="302">
        <f t="shared" si="123"/>
        <v>-2.7000000001974916E-2</v>
      </c>
      <c r="M147" s="302">
        <f t="shared" si="124"/>
        <v>-0.13400000000260581</v>
      </c>
      <c r="N147" s="302">
        <f t="shared" si="125"/>
        <v>-0.64299999999782231</v>
      </c>
    </row>
    <row r="148" spans="1:14" x14ac:dyDescent="0.3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3">
      <c r="C151" s="181"/>
      <c r="E151" s="181"/>
      <c r="G151" s="181"/>
      <c r="I151" s="181"/>
    </row>
    <row r="152" spans="1:14" x14ac:dyDescent="0.3">
      <c r="A152" s="288"/>
      <c r="B152" s="289" t="s">
        <v>379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3">
      <c r="N153" s="287" t="s">
        <v>377</v>
      </c>
    </row>
    <row r="154" spans="1:14" x14ac:dyDescent="0.3">
      <c r="A154" s="181" t="s">
        <v>378</v>
      </c>
      <c r="B154" s="370" t="s">
        <v>376</v>
      </c>
      <c r="C154" s="370"/>
      <c r="D154" s="370" t="s">
        <v>375</v>
      </c>
      <c r="E154" s="370"/>
      <c r="F154" s="370" t="s">
        <v>374</v>
      </c>
      <c r="G154" s="370"/>
      <c r="H154" s="370" t="s">
        <v>32</v>
      </c>
      <c r="I154" s="370"/>
      <c r="J154" s="181"/>
      <c r="K154" s="297" t="s">
        <v>339</v>
      </c>
      <c r="L154" s="297" t="s">
        <v>341</v>
      </c>
      <c r="M154" s="297" t="s">
        <v>337</v>
      </c>
      <c r="N154" s="297" t="s">
        <v>32</v>
      </c>
    </row>
    <row r="155" spans="1:14" x14ac:dyDescent="0.3">
      <c r="A155" s="292">
        <f>$A$8</f>
        <v>2020</v>
      </c>
      <c r="B155" s="287" t="s">
        <v>60</v>
      </c>
      <c r="C155" s="19" t="s">
        <v>373</v>
      </c>
      <c r="D155" s="287" t="s">
        <v>60</v>
      </c>
      <c r="E155" s="19" t="s">
        <v>373</v>
      </c>
      <c r="F155" s="287" t="s">
        <v>60</v>
      </c>
      <c r="G155" s="19" t="s">
        <v>373</v>
      </c>
      <c r="H155" s="287" t="s">
        <v>60</v>
      </c>
      <c r="I155" s="19" t="s">
        <v>373</v>
      </c>
      <c r="J155" s="181"/>
      <c r="K155" s="286" t="str">
        <f>CONCATENATE(A155," - ",A160)</f>
        <v>2020 - 2025</v>
      </c>
      <c r="L155" s="285"/>
      <c r="M155" s="285"/>
    </row>
    <row r="156" spans="1:14" x14ac:dyDescent="0.3">
      <c r="A156" s="282" t="s">
        <v>355</v>
      </c>
      <c r="B156" s="302">
        <f>'Ind T6'!L190</f>
        <v>14.544000000029751</v>
      </c>
      <c r="C156" s="299" t="str">
        <f>CONCATENATE("(",ROUND((B156/$H158)*100,1),")")</f>
        <v>(67.9)</v>
      </c>
      <c r="D156" s="302">
        <f>'Ind T6'!M190</f>
        <v>0.52100000000281677</v>
      </c>
      <c r="E156" s="299" t="str">
        <f>CONCATENATE("(",ROUND((D156/$H158)*100,1),")")</f>
        <v>(2.4)</v>
      </c>
      <c r="F156" s="302">
        <f>'Ind T6'!N190</f>
        <v>0.76399999999539914</v>
      </c>
      <c r="G156" s="299" t="str">
        <f>CONCATENATE("(",ROUND((F156/$H158)*100,1),")")</f>
        <v>(3.6)</v>
      </c>
      <c r="H156" s="302">
        <f>SUM(B156,D156,F156)</f>
        <v>15.829000000027966</v>
      </c>
      <c r="I156" s="299" t="str">
        <f>CONCATENATE("(",ROUND((H156/$H158)*100,1),")")</f>
        <v>(73.9)</v>
      </c>
      <c r="K156" s="302">
        <f>B161-B156</f>
        <v>0.7560000000601601</v>
      </c>
      <c r="L156" s="302">
        <f>D161-D156</f>
        <v>3.3000000001514818E-2</v>
      </c>
      <c r="M156" s="302">
        <f>F161-F156</f>
        <v>1.5999999993578817E-2</v>
      </c>
      <c r="N156" s="302">
        <f>SUM(K156:M156)</f>
        <v>0.80500000005525374</v>
      </c>
    </row>
    <row r="157" spans="1:14" x14ac:dyDescent="0.3">
      <c r="A157" s="282" t="s">
        <v>356</v>
      </c>
      <c r="B157" s="302">
        <f>'Ind T6'!L189</f>
        <v>4.1069999999858453</v>
      </c>
      <c r="C157" s="299" t="str">
        <f>CONCATENATE("(",ROUND((B157/$H158)*100,1),")")</f>
        <v>(19.2)</v>
      </c>
      <c r="D157" s="302">
        <f>'Ind T6'!M189</f>
        <v>1.3969999999992331</v>
      </c>
      <c r="E157" s="299" t="str">
        <f>CONCATENATE("(",ROUND((D157/$H158)*100,1),")")</f>
        <v>(6.5)</v>
      </c>
      <c r="F157" s="302">
        <f>'Ind T6'!N189</f>
        <v>7.8999999999661952E-2</v>
      </c>
      <c r="G157" s="299" t="str">
        <f>CONCATENATE("(",ROUND((F157/$H158)*100,1),")")</f>
        <v>(0.4)</v>
      </c>
      <c r="H157" s="302">
        <f t="shared" ref="H157" si="126">SUM(B157,D157,F157)</f>
        <v>5.5829999999847404</v>
      </c>
      <c r="I157" s="299" t="str">
        <f>CONCATENATE("(",ROUND((H157/$H158)*100,1),")")</f>
        <v>(26.1)</v>
      </c>
      <c r="K157" s="302">
        <f t="shared" ref="K157:K158" si="127">B162-B157</f>
        <v>0.41400000010130089</v>
      </c>
      <c r="L157" s="302">
        <f t="shared" ref="L157:L158" si="128">D162-D157</f>
        <v>0.10000000001139919</v>
      </c>
      <c r="M157" s="302">
        <f t="shared" ref="M157:M158" si="129">F162-F157</f>
        <v>5.0000000004539469E-3</v>
      </c>
      <c r="N157" s="302">
        <f t="shared" ref="N157:N158" si="130">SUM(K157:M157)</f>
        <v>0.51900000011315406</v>
      </c>
    </row>
    <row r="158" spans="1:14" x14ac:dyDescent="0.3">
      <c r="A158" s="282" t="s">
        <v>354</v>
      </c>
      <c r="B158" s="302">
        <f>SUM(B156:B157)</f>
        <v>18.651000000015596</v>
      </c>
      <c r="C158" s="299" t="str">
        <f>CONCATENATE("(",ROUND((B158/$H158)*100,1),")")</f>
        <v>(87.1)</v>
      </c>
      <c r="D158" s="302">
        <f>SUM(D156:D157)</f>
        <v>1.9180000000020498</v>
      </c>
      <c r="E158" s="299" t="str">
        <f>CONCATENATE("(",ROUND((D158/$H158)*100,1),")")</f>
        <v>(9)</v>
      </c>
      <c r="F158" s="302">
        <f>SUM(F156:F157)</f>
        <v>0.84299999999506103</v>
      </c>
      <c r="G158" s="299" t="str">
        <f>CONCATENATE("(",ROUND((F158/$H158)*100,1),")")</f>
        <v>(3.9)</v>
      </c>
      <c r="H158" s="302">
        <f>SUM(H156:H157)</f>
        <v>21.412000000012707</v>
      </c>
      <c r="I158" s="299" t="str">
        <f>CONCATENATE("(",ROUND((H158/$H158)*100,1),")")</f>
        <v>(100)</v>
      </c>
      <c r="K158" s="302">
        <f t="shared" si="127"/>
        <v>1.1700000001614619</v>
      </c>
      <c r="L158" s="302">
        <f t="shared" si="128"/>
        <v>0.1330000000129139</v>
      </c>
      <c r="M158" s="302">
        <f t="shared" si="129"/>
        <v>2.0999999994032792E-2</v>
      </c>
      <c r="N158" s="302">
        <f t="shared" si="130"/>
        <v>1.3240000001684087</v>
      </c>
    </row>
    <row r="159" spans="1:14" x14ac:dyDescent="0.3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3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3">
      <c r="A161" s="282" t="s">
        <v>355</v>
      </c>
      <c r="B161" s="302">
        <f>'Ind T6'!Q190</f>
        <v>15.300000000089911</v>
      </c>
      <c r="C161" s="299" t="str">
        <f>CONCATENATE("(",ROUND((B161/$H163)*100,1),")")</f>
        <v>(67.3)</v>
      </c>
      <c r="D161" s="302">
        <f>'Ind T6'!R190</f>
        <v>0.55400000000433158</v>
      </c>
      <c r="E161" s="299" t="str">
        <f>CONCATENATE("(",ROUND((D161/$H163)*100,1),")")</f>
        <v>(2.4)</v>
      </c>
      <c r="F161" s="302">
        <f>'Ind T6'!S190</f>
        <v>0.77999999998897795</v>
      </c>
      <c r="G161" s="299" t="str">
        <f>CONCATENATE("(",ROUND((F161/$H163)*100,1),")")</f>
        <v>(3.4)</v>
      </c>
      <c r="H161" s="302">
        <f>SUM(B161,D161,F161)</f>
        <v>16.634000000083219</v>
      </c>
      <c r="I161" s="299" t="str">
        <f>CONCATENATE("(",ROUND((H161/$H163)*100,1),")")</f>
        <v>(73.2)</v>
      </c>
      <c r="K161" s="302">
        <f>B166-B161</f>
        <v>1.1480000000108657</v>
      </c>
      <c r="L161" s="302">
        <f>D166-D161</f>
        <v>5.0000000001011013E-2</v>
      </c>
      <c r="M161" s="302">
        <f>F166-F161</f>
        <v>1.0000000035113032E-3</v>
      </c>
      <c r="N161" s="302">
        <f>SUM(K161:M161)</f>
        <v>1.199000000015388</v>
      </c>
    </row>
    <row r="162" spans="1:14" x14ac:dyDescent="0.3">
      <c r="A162" s="282" t="s">
        <v>356</v>
      </c>
      <c r="B162" s="302">
        <f>'Ind T6'!Q189</f>
        <v>4.5210000000871462</v>
      </c>
      <c r="C162" s="299" t="str">
        <f>CONCATENATE("(",ROUND((B162/$H163)*100,1),")")</f>
        <v>(19.9)</v>
      </c>
      <c r="D162" s="302">
        <f>'Ind T6'!R189</f>
        <v>1.4970000000106323</v>
      </c>
      <c r="E162" s="299" t="str">
        <f>CONCATENATE("(",ROUND((D162/$H163)*100,1),")")</f>
        <v>(6.6)</v>
      </c>
      <c r="F162" s="302">
        <f>'Ind T6'!S189</f>
        <v>8.4000000000115899E-2</v>
      </c>
      <c r="G162" s="299" t="str">
        <f>CONCATENATE("(",ROUND((F162/$H163)*100,1),")")</f>
        <v>(0.4)</v>
      </c>
      <c r="H162" s="302">
        <f t="shared" ref="H162" si="131">SUM(B162,D162,F162)</f>
        <v>6.1020000000978944</v>
      </c>
      <c r="I162" s="299" t="str">
        <f>CONCATENATE("(",ROUND((H162/$H163)*100,1),")")</f>
        <v>(26.8)</v>
      </c>
      <c r="K162" s="302">
        <f t="shared" ref="K162:K163" si="132">B167-B162</f>
        <v>0.78499999993942815</v>
      </c>
      <c r="L162" s="302">
        <f t="shared" ref="L162:L163" si="133">D167-D162</f>
        <v>0.17099999998418891</v>
      </c>
      <c r="M162" s="302">
        <f t="shared" ref="M162:M163" si="134">F167-F162</f>
        <v>4.0000000009196568E-3</v>
      </c>
      <c r="N162" s="302">
        <f t="shared" ref="N162:N163" si="135">SUM(K162:M162)</f>
        <v>0.95999999992453677</v>
      </c>
    </row>
    <row r="163" spans="1:14" x14ac:dyDescent="0.3">
      <c r="A163" s="282" t="s">
        <v>354</v>
      </c>
      <c r="B163" s="302">
        <f>SUM(B161:B162)</f>
        <v>19.821000000177058</v>
      </c>
      <c r="C163" s="299" t="str">
        <f>CONCATENATE("(",ROUND((B163/$H163)*100,1),")")</f>
        <v>(87.2)</v>
      </c>
      <c r="D163" s="302">
        <f>SUM(D161:D162)</f>
        <v>2.0510000000149637</v>
      </c>
      <c r="E163" s="299" t="str">
        <f>CONCATENATE("(",ROUND((D163/$H163)*100,1),")")</f>
        <v>(9)</v>
      </c>
      <c r="F163" s="302">
        <f>SUM(F161:F162)</f>
        <v>0.86399999998909383</v>
      </c>
      <c r="G163" s="299" t="str">
        <f>CONCATENATE("(",ROUND((F163/$H163)*100,1),")")</f>
        <v>(3.8)</v>
      </c>
      <c r="H163" s="302">
        <f>SUM(H161:H162)</f>
        <v>22.736000000181114</v>
      </c>
      <c r="I163" s="299" t="str">
        <f>CONCATENATE("(",ROUND((H163/$H163)*100,1),")")</f>
        <v>(100)</v>
      </c>
      <c r="K163" s="302">
        <f t="shared" si="132"/>
        <v>1.9329999999502938</v>
      </c>
      <c r="L163" s="302">
        <f t="shared" si="133"/>
        <v>0.22099999998519992</v>
      </c>
      <c r="M163" s="302">
        <f t="shared" si="134"/>
        <v>5.0000000044310156E-3</v>
      </c>
      <c r="N163" s="302">
        <f t="shared" si="135"/>
        <v>2.1589999999399248</v>
      </c>
    </row>
    <row r="164" spans="1:14" x14ac:dyDescent="0.3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3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3">
      <c r="A166" s="282" t="s">
        <v>355</v>
      </c>
      <c r="B166" s="302">
        <f>'Ind T6'!V190</f>
        <v>16.448000000100777</v>
      </c>
      <c r="C166" s="299" t="str">
        <f>CONCATENATE("(",ROUND((B166/$H168)*100,1),")")</f>
        <v>(66.1)</v>
      </c>
      <c r="D166" s="302">
        <f>'Ind T6'!W190</f>
        <v>0.6040000000053426</v>
      </c>
      <c r="E166" s="299" t="str">
        <f>CONCATENATE("(",ROUND((D166/$H168)*100,1),")")</f>
        <v>(2.4)</v>
      </c>
      <c r="F166" s="302">
        <f>'Ind T6'!X190</f>
        <v>0.78099999999248926</v>
      </c>
      <c r="G166" s="299" t="str">
        <f>CONCATENATE("(",ROUND((F166/$H168)*100,1),")")</f>
        <v>(3.1)</v>
      </c>
      <c r="H166" s="302">
        <f>SUM(B166,D166,F166)</f>
        <v>17.833000000098608</v>
      </c>
      <c r="I166" s="299" t="str">
        <f>CONCATENATE("(",ROUND((H166/$H168)*100,1),")")</f>
        <v>(71.6)</v>
      </c>
      <c r="K166" s="302">
        <f>B166-B156</f>
        <v>1.9040000000710258</v>
      </c>
      <c r="L166" s="302">
        <f>D166-D156</f>
        <v>8.3000000002525831E-2</v>
      </c>
      <c r="M166" s="302">
        <f>F166-F156</f>
        <v>1.6999999997090121E-2</v>
      </c>
      <c r="N166" s="302">
        <f>SUM(K166:M166)</f>
        <v>2.0040000000706417</v>
      </c>
    </row>
    <row r="167" spans="1:14" x14ac:dyDescent="0.3">
      <c r="A167" s="282" t="s">
        <v>356</v>
      </c>
      <c r="B167" s="302">
        <f>'Ind T6'!V189</f>
        <v>5.3060000000265743</v>
      </c>
      <c r="C167" s="299" t="str">
        <f>CONCATENATE("(",ROUND((B167/$H168)*100,1),")")</f>
        <v>(21.3)</v>
      </c>
      <c r="D167" s="302">
        <f>'Ind T6'!W189</f>
        <v>1.6679999999948212</v>
      </c>
      <c r="E167" s="299" t="str">
        <f>CONCATENATE("(",ROUND((D167/$H168)*100,1),")")</f>
        <v>(6.7)</v>
      </c>
      <c r="F167" s="302">
        <f>'Ind T6'!X189</f>
        <v>8.8000000001035555E-2</v>
      </c>
      <c r="G167" s="299" t="str">
        <f>CONCATENATE("(",ROUND((F167/$H168)*100,1),")")</f>
        <v>(0.4)</v>
      </c>
      <c r="H167" s="302">
        <f t="shared" ref="H167" si="136">SUM(B167,D167,F167)</f>
        <v>7.0620000000224312</v>
      </c>
      <c r="I167" s="299" t="str">
        <f>CONCATENATE("(",ROUND((H167/$H168)*100,1),")")</f>
        <v>(28.4)</v>
      </c>
      <c r="K167" s="302">
        <f t="shared" ref="K167:K168" si="137">B167-B157</f>
        <v>1.199000000040729</v>
      </c>
      <c r="L167" s="302">
        <f t="shared" ref="L167:L168" si="138">D167-D157</f>
        <v>0.2709999999955881</v>
      </c>
      <c r="M167" s="302">
        <f t="shared" ref="M167:M168" si="139">F167-F157</f>
        <v>9.0000000013736037E-3</v>
      </c>
      <c r="N167" s="302">
        <f t="shared" ref="N167:N168" si="140">SUM(K167:M167)</f>
        <v>1.4790000000376908</v>
      </c>
    </row>
    <row r="168" spans="1:14" x14ac:dyDescent="0.3">
      <c r="A168" s="282" t="s">
        <v>354</v>
      </c>
      <c r="B168" s="302">
        <f>SUM(B166:B167)</f>
        <v>21.754000000127352</v>
      </c>
      <c r="C168" s="299" t="str">
        <f>CONCATENATE("(",ROUND((B168/$H168)*100,1),")")</f>
        <v>(87.4)</v>
      </c>
      <c r="D168" s="302">
        <f>SUM(D166:D167)</f>
        <v>2.2720000000001637</v>
      </c>
      <c r="E168" s="299" t="str">
        <f>CONCATENATE("(",ROUND((D168/$H168)*100,1),")")</f>
        <v>(9.1)</v>
      </c>
      <c r="F168" s="302">
        <f>SUM(F166:F167)</f>
        <v>0.86899999999352484</v>
      </c>
      <c r="G168" s="299" t="str">
        <f>CONCATENATE("(",ROUND((F168/$H168)*100,1),")")</f>
        <v>(3.5)</v>
      </c>
      <c r="H168" s="302">
        <f>SUM(H166:H167)</f>
        <v>24.895000000121037</v>
      </c>
      <c r="I168" s="299" t="str">
        <f>CONCATENATE("(",ROUND((H168/$H168)*100,1),")")</f>
        <v>(100)</v>
      </c>
      <c r="K168" s="302">
        <f t="shared" si="137"/>
        <v>3.1030000001117557</v>
      </c>
      <c r="L168" s="302">
        <f t="shared" si="138"/>
        <v>0.35399999999811382</v>
      </c>
      <c r="M168" s="302">
        <f t="shared" si="139"/>
        <v>2.5999999998463807E-2</v>
      </c>
      <c r="N168" s="302">
        <f t="shared" si="140"/>
        <v>3.483000000108333</v>
      </c>
    </row>
    <row r="169" spans="1:14" x14ac:dyDescent="0.3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3">
      <c r="A173" s="288"/>
      <c r="B173" s="289" t="s">
        <v>379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3">
      <c r="N174" s="287" t="s">
        <v>377</v>
      </c>
    </row>
    <row r="175" spans="1:14" x14ac:dyDescent="0.3">
      <c r="A175" s="181" t="s">
        <v>378</v>
      </c>
      <c r="B175" s="370" t="s">
        <v>376</v>
      </c>
      <c r="C175" s="370"/>
      <c r="D175" s="370" t="s">
        <v>375</v>
      </c>
      <c r="E175" s="370"/>
      <c r="F175" s="370" t="s">
        <v>374</v>
      </c>
      <c r="G175" s="370"/>
      <c r="H175" s="370" t="s">
        <v>32</v>
      </c>
      <c r="I175" s="370"/>
      <c r="J175" s="181"/>
      <c r="K175" s="297" t="s">
        <v>339</v>
      </c>
      <c r="L175" s="297" t="s">
        <v>341</v>
      </c>
      <c r="M175" s="297" t="s">
        <v>337</v>
      </c>
      <c r="N175" s="297" t="s">
        <v>32</v>
      </c>
    </row>
    <row r="176" spans="1:14" x14ac:dyDescent="0.3">
      <c r="A176" s="292">
        <f>$A$8</f>
        <v>2020</v>
      </c>
      <c r="B176" s="287" t="s">
        <v>60</v>
      </c>
      <c r="C176" s="19" t="s">
        <v>373</v>
      </c>
      <c r="D176" s="287" t="s">
        <v>60</v>
      </c>
      <c r="E176" s="19" t="s">
        <v>373</v>
      </c>
      <c r="F176" s="287" t="s">
        <v>60</v>
      </c>
      <c r="G176" s="19" t="s">
        <v>373</v>
      </c>
      <c r="H176" s="287" t="s">
        <v>60</v>
      </c>
      <c r="I176" s="19" t="s">
        <v>373</v>
      </c>
      <c r="J176" s="181"/>
      <c r="K176" s="286" t="str">
        <f>CONCATENATE(A176," - ",A181)</f>
        <v>2020 - 2025</v>
      </c>
      <c r="L176" s="285"/>
      <c r="M176" s="285"/>
    </row>
    <row r="177" spans="1:14" x14ac:dyDescent="0.3">
      <c r="A177" s="282" t="s">
        <v>355</v>
      </c>
      <c r="B177" s="302">
        <f>'Ind T6'!L215</f>
        <v>123.82900000043352</v>
      </c>
      <c r="C177" s="299" t="str">
        <f>CONCATENATE("(",ROUND((B177/$H179)*100,1),")")</f>
        <v>(45.3)</v>
      </c>
      <c r="D177" s="302">
        <f>'Ind T6'!M215</f>
        <v>9.6639999999987989</v>
      </c>
      <c r="E177" s="299" t="str">
        <f>CONCATENATE("(",ROUND((D177/$H179)*100,1),")")</f>
        <v>(3.5)</v>
      </c>
      <c r="F177" s="302">
        <f>'Ind T6'!N215</f>
        <v>98.155999997917036</v>
      </c>
      <c r="G177" s="299" t="str">
        <f>CONCATENATE("(",ROUND((F177/$H179)*100,1),")")</f>
        <v>(35.9)</v>
      </c>
      <c r="H177" s="302">
        <f>SUM(B177,D177,F177)</f>
        <v>231.64899999834935</v>
      </c>
      <c r="I177" s="299" t="str">
        <f>CONCATENATE("(",ROUND((H177/$H179)*100,1),")")</f>
        <v>(84.7)</v>
      </c>
      <c r="K177" s="302">
        <f>B182-B177</f>
        <v>9.355000000598352</v>
      </c>
      <c r="L177" s="302">
        <f>D182-D177</f>
        <v>1.0540000000032546</v>
      </c>
      <c r="M177" s="302">
        <f>F182-F177</f>
        <v>9.8349999937718593</v>
      </c>
      <c r="N177" s="302">
        <f>SUM(K177:M177)</f>
        <v>20.243999994373468</v>
      </c>
    </row>
    <row r="178" spans="1:14" x14ac:dyDescent="0.3">
      <c r="A178" s="282" t="s">
        <v>356</v>
      </c>
      <c r="B178" s="302">
        <f>'Ind T6'!L214</f>
        <v>21.733999999998996</v>
      </c>
      <c r="C178" s="299" t="str">
        <f>CONCATENATE("(",ROUND((B178/$H179)*100,1),")")</f>
        <v>(7.9)</v>
      </c>
      <c r="D178" s="302">
        <f>'Ind T6'!M214</f>
        <v>15.458999999864222</v>
      </c>
      <c r="E178" s="299" t="str">
        <f>CONCATENATE("(",ROUND((D178/$H179)*100,1),")")</f>
        <v>(5.7)</v>
      </c>
      <c r="F178" s="302">
        <f>'Ind T6'!N214</f>
        <v>4.5719999998795569</v>
      </c>
      <c r="G178" s="299" t="str">
        <f>CONCATENATE("(",ROUND((F178/$H179)*100,1),")")</f>
        <v>(1.7)</v>
      </c>
      <c r="H178" s="302">
        <f t="shared" ref="H178" si="141">SUM(B178,D178,F178)</f>
        <v>41.764999999742777</v>
      </c>
      <c r="I178" s="299" t="str">
        <f>CONCATENATE("(",ROUND((H178/$H179)*100,1),")")</f>
        <v>(15.3)</v>
      </c>
      <c r="K178" s="302">
        <f t="shared" ref="K178:K179" si="142">B183-B178</f>
        <v>2.0430000006789548</v>
      </c>
      <c r="L178" s="302">
        <f t="shared" ref="L178:L179" si="143">D183-D178</f>
        <v>1.5650000001786317</v>
      </c>
      <c r="M178" s="302">
        <f t="shared" ref="M178:M179" si="144">F183-F178</f>
        <v>0.45200000007990848</v>
      </c>
      <c r="N178" s="302">
        <f t="shared" ref="N178:N179" si="145">SUM(K178:M178)</f>
        <v>4.060000000937495</v>
      </c>
    </row>
    <row r="179" spans="1:14" x14ac:dyDescent="0.3">
      <c r="A179" s="282" t="s">
        <v>354</v>
      </c>
      <c r="B179" s="302">
        <f>SUM(B177:B178)</f>
        <v>145.56300000043251</v>
      </c>
      <c r="C179" s="299" t="str">
        <f>CONCATENATE("(",ROUND((B179/$H179)*100,1),")")</f>
        <v>(53.2)</v>
      </c>
      <c r="D179" s="302">
        <f>SUM(D177:D178)</f>
        <v>25.122999999863019</v>
      </c>
      <c r="E179" s="299" t="str">
        <f>CONCATENATE("(",ROUND((D179/$H179)*100,1),")")</f>
        <v>(9.2)</v>
      </c>
      <c r="F179" s="302">
        <f>SUM(F177:F178)</f>
        <v>102.72799999779659</v>
      </c>
      <c r="G179" s="299" t="str">
        <f>CONCATENATE("(",ROUND((F179/$H179)*100,1),")")</f>
        <v>(37.6)</v>
      </c>
      <c r="H179" s="302">
        <f>SUM(H177:H178)</f>
        <v>273.41399999809215</v>
      </c>
      <c r="I179" s="299" t="str">
        <f>CONCATENATE("(",ROUND((H179/$H179)*100,1),")")</f>
        <v>(100)</v>
      </c>
      <c r="K179" s="302">
        <f t="shared" si="142"/>
        <v>11.398000001277325</v>
      </c>
      <c r="L179" s="302">
        <f t="shared" si="143"/>
        <v>2.6190000001818881</v>
      </c>
      <c r="M179" s="302">
        <f t="shared" si="144"/>
        <v>10.286999993851779</v>
      </c>
      <c r="N179" s="302">
        <f t="shared" si="145"/>
        <v>24.303999995310992</v>
      </c>
    </row>
    <row r="180" spans="1:14" x14ac:dyDescent="0.3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3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3">
      <c r="A182" s="282" t="s">
        <v>355</v>
      </c>
      <c r="B182" s="302">
        <f>'Ind T6'!Q215</f>
        <v>133.18400000103188</v>
      </c>
      <c r="C182" s="299" t="str">
        <f>CONCATENATE("(",ROUND((B182/$H184)*100,1),")")</f>
        <v>(44.7)</v>
      </c>
      <c r="D182" s="302">
        <f>'Ind T6'!R215</f>
        <v>10.718000000002053</v>
      </c>
      <c r="E182" s="299" t="str">
        <f>CONCATENATE("(",ROUND((D182/$H184)*100,1),")")</f>
        <v>(3.6)</v>
      </c>
      <c r="F182" s="302">
        <f>'Ind T6'!S215</f>
        <v>107.99099999168889</v>
      </c>
      <c r="G182" s="299" t="str">
        <f>CONCATENATE("(",ROUND((F182/$H184)*100,1),")")</f>
        <v>(36.3)</v>
      </c>
      <c r="H182" s="302">
        <f>SUM(B182,D182,F182)</f>
        <v>251.89299999272282</v>
      </c>
      <c r="I182" s="299" t="str">
        <f>CONCATENATE("(",ROUND((H182/$H184)*100,1),")")</f>
        <v>(84.6)</v>
      </c>
      <c r="K182" s="302">
        <f>B187-B182</f>
        <v>9.6540000005200852</v>
      </c>
      <c r="L182" s="302">
        <f>D187-D182</f>
        <v>1.5839999999567542</v>
      </c>
      <c r="M182" s="302">
        <f>F187-F182</f>
        <v>14.249000003119178</v>
      </c>
      <c r="N182" s="302">
        <f>SUM(K182:M182)</f>
        <v>25.487000003596016</v>
      </c>
    </row>
    <row r="183" spans="1:14" x14ac:dyDescent="0.3">
      <c r="A183" s="282" t="s">
        <v>356</v>
      </c>
      <c r="B183" s="302">
        <f>'Ind T6'!Q214</f>
        <v>23.777000000677951</v>
      </c>
      <c r="C183" s="299" t="str">
        <f>CONCATENATE("(",ROUND((B183/$H184)*100,1),")")</f>
        <v>(8)</v>
      </c>
      <c r="D183" s="302">
        <f>'Ind T6'!R214</f>
        <v>17.024000000042854</v>
      </c>
      <c r="E183" s="299" t="str">
        <f>CONCATENATE("(",ROUND((D183/$H184)*100,1),")")</f>
        <v>(5.7)</v>
      </c>
      <c r="F183" s="302">
        <f>'Ind T6'!S214</f>
        <v>5.0239999999594653</v>
      </c>
      <c r="G183" s="299" t="str">
        <f>CONCATENATE("(",ROUND((F183/$H184)*100,1),")")</f>
        <v>(1.7)</v>
      </c>
      <c r="H183" s="302">
        <f t="shared" ref="H183" si="146">SUM(B183,D183,F183)</f>
        <v>45.825000000680269</v>
      </c>
      <c r="I183" s="299" t="str">
        <f>CONCATENATE("(",ROUND((H183/$H184)*100,1),")")</f>
        <v>(15.4)</v>
      </c>
      <c r="K183" s="302">
        <f t="shared" ref="K183:K184" si="147">B188-B183</f>
        <v>2.9159999995744954</v>
      </c>
      <c r="L183" s="302">
        <f t="shared" ref="L183:L184" si="148">D188-D183</f>
        <v>2.3009999998299762</v>
      </c>
      <c r="M183" s="302">
        <f t="shared" ref="M183:M184" si="149">F188-F183</f>
        <v>0.77599999998155145</v>
      </c>
      <c r="N183" s="302">
        <f t="shared" ref="N183:N184" si="150">SUM(K183:M183)</f>
        <v>5.992999999386023</v>
      </c>
    </row>
    <row r="184" spans="1:14" x14ac:dyDescent="0.3">
      <c r="A184" s="282" t="s">
        <v>354</v>
      </c>
      <c r="B184" s="302">
        <f>SUM(B182:B183)</f>
        <v>156.96100000170983</v>
      </c>
      <c r="C184" s="299" t="str">
        <f>CONCATENATE("(",ROUND((B184/$H184)*100,1),")")</f>
        <v>(52.7)</v>
      </c>
      <c r="D184" s="302">
        <f>SUM(D182:D183)</f>
        <v>27.742000000044907</v>
      </c>
      <c r="E184" s="299" t="str">
        <f>CONCATENATE("(",ROUND((D184/$H184)*100,1),")")</f>
        <v>(9.3)</v>
      </c>
      <c r="F184" s="302">
        <f>SUM(F182:F183)</f>
        <v>113.01499999164837</v>
      </c>
      <c r="G184" s="299" t="str">
        <f>CONCATENATE("(",ROUND((F184/$H184)*100,1),")")</f>
        <v>(38)</v>
      </c>
      <c r="H184" s="302">
        <f>SUM(H182:H183)</f>
        <v>297.71799999340311</v>
      </c>
      <c r="I184" s="299" t="str">
        <f>CONCATENATE("(",ROUND((H184/$H184)*100,1),")")</f>
        <v>(100)</v>
      </c>
      <c r="K184" s="302">
        <f t="shared" si="147"/>
        <v>12.570000000094581</v>
      </c>
      <c r="L184" s="302">
        <f t="shared" si="148"/>
        <v>3.8849999997867322</v>
      </c>
      <c r="M184" s="302">
        <f t="shared" si="149"/>
        <v>15.025000003100715</v>
      </c>
      <c r="N184" s="302">
        <f t="shared" si="150"/>
        <v>31.480000002982027</v>
      </c>
    </row>
    <row r="185" spans="1:14" x14ac:dyDescent="0.3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3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3">
      <c r="A187" s="282" t="s">
        <v>355</v>
      </c>
      <c r="B187" s="302">
        <f>'Ind T6'!V215</f>
        <v>142.83800000155196</v>
      </c>
      <c r="C187" s="299" t="str">
        <f>CONCATENATE("(",ROUND((B187/$H189)*100,1),")")</f>
        <v>(43.4)</v>
      </c>
      <c r="D187" s="302">
        <f>'Ind T6'!W215</f>
        <v>12.301999999958808</v>
      </c>
      <c r="E187" s="299" t="str">
        <f>CONCATENATE("(",ROUND((D187/$H189)*100,1),")")</f>
        <v>(3.7)</v>
      </c>
      <c r="F187" s="302">
        <f>'Ind T6'!X215</f>
        <v>122.23999999480807</v>
      </c>
      <c r="G187" s="299" t="str">
        <f>CONCATENATE("(",ROUND((F187/$H189)*100,1),")")</f>
        <v>(37.1)</v>
      </c>
      <c r="H187" s="302">
        <f>SUM(B187,D187,F187)</f>
        <v>277.37999999631882</v>
      </c>
      <c r="I187" s="299" t="str">
        <f>CONCATENATE("(",ROUND((H187/$H189)*100,1),")")</f>
        <v>(84.3)</v>
      </c>
      <c r="K187" s="302">
        <f>B187-B177</f>
        <v>19.009000001118437</v>
      </c>
      <c r="L187" s="302">
        <f>D187-D177</f>
        <v>2.6379999999600088</v>
      </c>
      <c r="M187" s="302">
        <f>F187-F177</f>
        <v>24.083999996891038</v>
      </c>
      <c r="N187" s="302">
        <f>SUM(K187:M187)</f>
        <v>45.730999997969484</v>
      </c>
    </row>
    <row r="188" spans="1:14" x14ac:dyDescent="0.3">
      <c r="A188" s="282" t="s">
        <v>356</v>
      </c>
      <c r="B188" s="302">
        <f>'Ind T6'!V214</f>
        <v>26.693000000252447</v>
      </c>
      <c r="C188" s="299" t="str">
        <f>CONCATENATE("(",ROUND((B188/$H189)*100,1),")")</f>
        <v>(8.1)</v>
      </c>
      <c r="D188" s="302">
        <f>'Ind T6'!W214</f>
        <v>19.32499999987283</v>
      </c>
      <c r="E188" s="299" t="str">
        <f>CONCATENATE("(",ROUND((D188/$H189)*100,1),")")</f>
        <v>(5.9)</v>
      </c>
      <c r="F188" s="302">
        <f>'Ind T6'!X214</f>
        <v>5.7999999999410168</v>
      </c>
      <c r="G188" s="299" t="str">
        <f>CONCATENATE("(",ROUND((F188/$H189)*100,1),")")</f>
        <v>(1.8)</v>
      </c>
      <c r="H188" s="302">
        <f t="shared" ref="H188" si="151">SUM(B188,D188,F188)</f>
        <v>51.818000000066291</v>
      </c>
      <c r="I188" s="299" t="str">
        <f>CONCATENATE("(",ROUND((H188/$H189)*100,1),")")</f>
        <v>(15.7)</v>
      </c>
      <c r="K188" s="302">
        <f t="shared" ref="K188:K189" si="152">B188-B178</f>
        <v>4.9590000002534502</v>
      </c>
      <c r="L188" s="302">
        <f t="shared" ref="L188:L189" si="153">D188-D178</f>
        <v>3.8660000000086079</v>
      </c>
      <c r="M188" s="302">
        <f t="shared" ref="M188:M189" si="154">F188-F178</f>
        <v>1.2280000000614599</v>
      </c>
      <c r="N188" s="302">
        <f t="shared" ref="N188:N189" si="155">SUM(K188:M188)</f>
        <v>10.053000000323518</v>
      </c>
    </row>
    <row r="189" spans="1:14" x14ac:dyDescent="0.3">
      <c r="A189" s="282" t="s">
        <v>354</v>
      </c>
      <c r="B189" s="302">
        <f>SUM(B187:B188)</f>
        <v>169.53100000180441</v>
      </c>
      <c r="C189" s="299" t="str">
        <f>CONCATENATE("(",ROUND((B189/$H189)*100,1),")")</f>
        <v>(51.5)</v>
      </c>
      <c r="D189" s="302">
        <f>SUM(D187:D188)</f>
        <v>31.626999999831639</v>
      </c>
      <c r="E189" s="299" t="str">
        <f>CONCATENATE("(",ROUND((D189/$H189)*100,1),")")</f>
        <v>(9.6)</v>
      </c>
      <c r="F189" s="302">
        <f>SUM(F187:F188)</f>
        <v>128.03999999474908</v>
      </c>
      <c r="G189" s="299" t="str">
        <f>CONCATENATE("(",ROUND((F189/$H189)*100,1),")")</f>
        <v>(38.9)</v>
      </c>
      <c r="H189" s="302">
        <f>SUM(H187:H188)</f>
        <v>329.19799999638508</v>
      </c>
      <c r="I189" s="299" t="str">
        <f>CONCATENATE("(",ROUND((H189/$H189)*100,1),")")</f>
        <v>(100)</v>
      </c>
      <c r="K189" s="302">
        <f t="shared" si="152"/>
        <v>23.968000001371905</v>
      </c>
      <c r="L189" s="302">
        <f t="shared" si="153"/>
        <v>6.5039999999686202</v>
      </c>
      <c r="M189" s="302">
        <f t="shared" si="154"/>
        <v>25.311999996952494</v>
      </c>
      <c r="N189" s="302">
        <f t="shared" si="155"/>
        <v>55.783999998293019</v>
      </c>
    </row>
    <row r="190" spans="1:14" x14ac:dyDescent="0.3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3">
      <c r="A194" s="288"/>
      <c r="B194" s="289" t="s">
        <v>379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3">
      <c r="N195" s="287" t="s">
        <v>377</v>
      </c>
    </row>
    <row r="196" spans="1:14" x14ac:dyDescent="0.3">
      <c r="A196" s="181" t="s">
        <v>378</v>
      </c>
      <c r="B196" s="370" t="s">
        <v>376</v>
      </c>
      <c r="C196" s="370"/>
      <c r="D196" s="370" t="s">
        <v>375</v>
      </c>
      <c r="E196" s="370"/>
      <c r="F196" s="370" t="s">
        <v>374</v>
      </c>
      <c r="G196" s="370"/>
      <c r="H196" s="370" t="s">
        <v>32</v>
      </c>
      <c r="I196" s="370"/>
      <c r="J196" s="181"/>
      <c r="K196" s="297" t="s">
        <v>339</v>
      </c>
      <c r="L196" s="297" t="s">
        <v>341</v>
      </c>
      <c r="M196" s="297" t="s">
        <v>337</v>
      </c>
      <c r="N196" s="297" t="s">
        <v>32</v>
      </c>
    </row>
    <row r="197" spans="1:14" x14ac:dyDescent="0.3">
      <c r="A197" s="292">
        <f>$A$8</f>
        <v>2020</v>
      </c>
      <c r="B197" s="287" t="s">
        <v>60</v>
      </c>
      <c r="C197" s="19" t="s">
        <v>373</v>
      </c>
      <c r="D197" s="287" t="s">
        <v>60</v>
      </c>
      <c r="E197" s="19" t="s">
        <v>373</v>
      </c>
      <c r="F197" s="287" t="s">
        <v>60</v>
      </c>
      <c r="G197" s="19" t="s">
        <v>373</v>
      </c>
      <c r="H197" s="287" t="s">
        <v>60</v>
      </c>
      <c r="I197" s="19" t="s">
        <v>373</v>
      </c>
      <c r="J197" s="181"/>
      <c r="K197" s="286" t="str">
        <f>CONCATENATE(A197," - ",A202)</f>
        <v>2020 - 2025</v>
      </c>
      <c r="L197" s="285"/>
      <c r="M197" s="285"/>
    </row>
    <row r="198" spans="1:14" x14ac:dyDescent="0.3">
      <c r="A198" s="282" t="s">
        <v>355</v>
      </c>
      <c r="B198" s="302">
        <f>'Ind T6'!L240</f>
        <v>177.97300000101751</v>
      </c>
      <c r="C198" s="299" t="str">
        <f>CONCATENATE("(",ROUND((B198/$H200)*100,1),")")</f>
        <v>(37.7)</v>
      </c>
      <c r="D198" s="302">
        <f>'Ind T6'!M240</f>
        <v>57.613000000132168</v>
      </c>
      <c r="E198" s="299" t="str">
        <f>CONCATENATE("(",ROUND((D198/$H200)*100,1),")")</f>
        <v>(12.2)</v>
      </c>
      <c r="F198" s="302">
        <f>'Ind T6'!N240</f>
        <v>16.631000000190557</v>
      </c>
      <c r="G198" s="299" t="str">
        <f>CONCATENATE("(",ROUND((F198/$H200)*100,1),")")</f>
        <v>(3.5)</v>
      </c>
      <c r="H198" s="302">
        <f>SUM(B198,D198,F198)</f>
        <v>252.21700000134024</v>
      </c>
      <c r="I198" s="299" t="str">
        <f>CONCATENATE("(",ROUND((H198/$H200)*100,1),")")</f>
        <v>(53.4)</v>
      </c>
      <c r="K198" s="302">
        <f>B203-B198</f>
        <v>5.3270000006812097</v>
      </c>
      <c r="L198" s="302">
        <f>D203-D198</f>
        <v>0.50300000030304659</v>
      </c>
      <c r="M198" s="302">
        <f>F203-F198</f>
        <v>0.48700000008230049</v>
      </c>
      <c r="N198" s="302">
        <f>SUM(K198:M198)</f>
        <v>6.3170000010665568</v>
      </c>
    </row>
    <row r="199" spans="1:14" x14ac:dyDescent="0.3">
      <c r="A199" s="282" t="s">
        <v>356</v>
      </c>
      <c r="B199" s="302">
        <f>'Ind T6'!L239</f>
        <v>88.292999997958844</v>
      </c>
      <c r="C199" s="299" t="str">
        <f>CONCATENATE("(",ROUND((B199/$H200)*100,1),")")</f>
        <v>(18.7)</v>
      </c>
      <c r="D199" s="302">
        <f>'Ind T6'!M239</f>
        <v>118.42700000159356</v>
      </c>
      <c r="E199" s="299" t="str">
        <f>CONCATENATE("(",ROUND((D199/$H200)*100,1),")")</f>
        <v>(25.1)</v>
      </c>
      <c r="F199" s="302">
        <f>'Ind T6'!N239</f>
        <v>12.965999999760896</v>
      </c>
      <c r="G199" s="299" t="str">
        <f>CONCATENATE("(",ROUND((F199/$H200)*100,1),")")</f>
        <v>(2.7)</v>
      </c>
      <c r="H199" s="302">
        <f t="shared" ref="H199" si="156">SUM(B199,D199,F199)</f>
        <v>219.68599999931328</v>
      </c>
      <c r="I199" s="299" t="str">
        <f>CONCATENATE("(",ROUND((H199/$H200)*100,1),")")</f>
        <v>(46.6)</v>
      </c>
      <c r="K199" s="302">
        <f t="shared" ref="K199:K200" si="157">B204-B199</f>
        <v>4.4700000036600045</v>
      </c>
      <c r="L199" s="302">
        <f t="shared" ref="L199:L200" si="158">D204-D199</f>
        <v>-3.799999995782315</v>
      </c>
      <c r="M199" s="302">
        <f t="shared" ref="M199:M200" si="159">F204-F199</f>
        <v>0.48400000018918909</v>
      </c>
      <c r="N199" s="302">
        <f t="shared" ref="N199:N200" si="160">SUM(K199:M199)</f>
        <v>1.1540000080668786</v>
      </c>
    </row>
    <row r="200" spans="1:14" x14ac:dyDescent="0.3">
      <c r="A200" s="282" t="s">
        <v>354</v>
      </c>
      <c r="B200" s="302">
        <f>SUM(B198:B199)</f>
        <v>266.26599999897633</v>
      </c>
      <c r="C200" s="299" t="str">
        <f>CONCATENATE("(",ROUND((B200/$H200)*100,1),")")</f>
        <v>(56.4)</v>
      </c>
      <c r="D200" s="302">
        <f>SUM(D198:D199)</f>
        <v>176.04000000172573</v>
      </c>
      <c r="E200" s="299" t="str">
        <f>CONCATENATE("(",ROUND((D200/$H200)*100,1),")")</f>
        <v>(37.3)</v>
      </c>
      <c r="F200" s="302">
        <f>SUM(F198:F199)</f>
        <v>29.596999999951453</v>
      </c>
      <c r="G200" s="299" t="str">
        <f>CONCATENATE("(",ROUND((F200/$H200)*100,1),")")</f>
        <v>(6.3)</v>
      </c>
      <c r="H200" s="302">
        <f>SUM(H198:H199)</f>
        <v>471.90300000065349</v>
      </c>
      <c r="I200" s="299" t="str">
        <f>CONCATENATE("(",ROUND((H200/$H200)*100,1),")")</f>
        <v>(100)</v>
      </c>
      <c r="K200" s="302">
        <f t="shared" si="157"/>
        <v>9.7970000043412711</v>
      </c>
      <c r="L200" s="302">
        <f t="shared" si="158"/>
        <v>-3.2969999954792684</v>
      </c>
      <c r="M200" s="302">
        <f t="shared" si="159"/>
        <v>0.97100000027149136</v>
      </c>
      <c r="N200" s="302">
        <f t="shared" si="160"/>
        <v>7.471000009133494</v>
      </c>
    </row>
    <row r="201" spans="1:14" x14ac:dyDescent="0.3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3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3">
      <c r="A203" s="282" t="s">
        <v>355</v>
      </c>
      <c r="B203" s="302">
        <f>'Ind T6'!Q240</f>
        <v>183.30000000169872</v>
      </c>
      <c r="C203" s="299" t="str">
        <f>CONCATENATE("(",ROUND((B203/$H205)*100,1),")")</f>
        <v>(38.2)</v>
      </c>
      <c r="D203" s="302">
        <f>'Ind T6'!R240</f>
        <v>58.116000000435214</v>
      </c>
      <c r="E203" s="299" t="str">
        <f>CONCATENATE("(",ROUND((D203/$H205)*100,1),")")</f>
        <v>(12.1)</v>
      </c>
      <c r="F203" s="302">
        <f>'Ind T6'!S240</f>
        <v>17.118000000272858</v>
      </c>
      <c r="G203" s="299" t="str">
        <f>CONCATENATE("(",ROUND((F203/$H205)*100,1),")")</f>
        <v>(3.6)</v>
      </c>
      <c r="H203" s="302">
        <f>SUM(B203,D203,F203)</f>
        <v>258.5340000024068</v>
      </c>
      <c r="I203" s="299" t="str">
        <f>CONCATENATE("(",ROUND((H203/$H205)*100,1),")")</f>
        <v>(53.9)</v>
      </c>
      <c r="K203" s="302">
        <f>B208-B203</f>
        <v>5.8400000003239541</v>
      </c>
      <c r="L203" s="302">
        <f>D208-D203</f>
        <v>0.6390000000225271</v>
      </c>
      <c r="M203" s="302">
        <f>F208-F203</f>
        <v>0.6030000000435578</v>
      </c>
      <c r="N203" s="302">
        <f>SUM(K203:M203)</f>
        <v>7.082000000390039</v>
      </c>
    </row>
    <row r="204" spans="1:14" x14ac:dyDescent="0.3">
      <c r="A204" s="282" t="s">
        <v>356</v>
      </c>
      <c r="B204" s="302">
        <f>'Ind T6'!Q239</f>
        <v>92.763000001618849</v>
      </c>
      <c r="C204" s="299" t="str">
        <f>CONCATENATE("(",ROUND((B204/$H205)*100,1),")")</f>
        <v>(19.4)</v>
      </c>
      <c r="D204" s="302">
        <f>'Ind T6'!R239</f>
        <v>114.62700000581124</v>
      </c>
      <c r="E204" s="299" t="str">
        <f>CONCATENATE("(",ROUND((D204/$H205)*100,1),")")</f>
        <v>(23.9)</v>
      </c>
      <c r="F204" s="302">
        <f>'Ind T6'!S239</f>
        <v>13.449999999950085</v>
      </c>
      <c r="G204" s="299" t="str">
        <f>CONCATENATE("(",ROUND((F204/$H205)*100,1),")")</f>
        <v>(2.8)</v>
      </c>
      <c r="H204" s="302">
        <f t="shared" ref="H204" si="161">SUM(B204,D204,F204)</f>
        <v>220.84000000738018</v>
      </c>
      <c r="I204" s="299" t="str">
        <f>CONCATENATE("(",ROUND((H204/$H205)*100,1),")")</f>
        <v>(46.1)</v>
      </c>
      <c r="K204" s="302">
        <f t="shared" ref="K204:K205" si="162">B209-B204</f>
        <v>7.7369999971643466</v>
      </c>
      <c r="L204" s="302">
        <f t="shared" ref="L204:L205" si="163">D209-D204</f>
        <v>-7.9600000076429467</v>
      </c>
      <c r="M204" s="302">
        <f t="shared" ref="M204:M205" si="164">F209-F204</f>
        <v>0.90000000002918235</v>
      </c>
      <c r="N204" s="302">
        <f t="shared" ref="N204:N205" si="165">SUM(K204:M204)</f>
        <v>0.67699998955058227</v>
      </c>
    </row>
    <row r="205" spans="1:14" x14ac:dyDescent="0.3">
      <c r="A205" s="282" t="s">
        <v>354</v>
      </c>
      <c r="B205" s="302">
        <f>SUM(B203:B204)</f>
        <v>276.0630000033176</v>
      </c>
      <c r="C205" s="299" t="str">
        <f>CONCATENATE("(",ROUND((B205/$H205)*100,1),")")</f>
        <v>(57.6)</v>
      </c>
      <c r="D205" s="302">
        <f>SUM(D203:D204)</f>
        <v>172.74300000624646</v>
      </c>
      <c r="E205" s="299" t="str">
        <f>CONCATENATE("(",ROUND((D205/$H205)*100,1),")")</f>
        <v>(36)</v>
      </c>
      <c r="F205" s="302">
        <f>SUM(F203:F204)</f>
        <v>30.568000000222945</v>
      </c>
      <c r="G205" s="299" t="str">
        <f>CONCATENATE("(",ROUND((F205/$H205)*100,1),")")</f>
        <v>(6.4)</v>
      </c>
      <c r="H205" s="302">
        <f>SUM(H203:H204)</f>
        <v>479.37400000978698</v>
      </c>
      <c r="I205" s="299" t="str">
        <f>CONCATENATE("(",ROUND((H205/$H205)*100,1),")")</f>
        <v>(100)</v>
      </c>
      <c r="K205" s="302">
        <f t="shared" si="162"/>
        <v>13.576999997488258</v>
      </c>
      <c r="L205" s="302">
        <f t="shared" si="163"/>
        <v>-7.3210000076204267</v>
      </c>
      <c r="M205" s="302">
        <f t="shared" si="164"/>
        <v>1.5030000000727384</v>
      </c>
      <c r="N205" s="302">
        <f t="shared" si="165"/>
        <v>7.7589999899405697</v>
      </c>
    </row>
    <row r="206" spans="1:14" x14ac:dyDescent="0.3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3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3">
      <c r="A208" s="282" t="s">
        <v>355</v>
      </c>
      <c r="B208" s="302">
        <f>'Ind T6'!V240</f>
        <v>189.14000000202267</v>
      </c>
      <c r="C208" s="299" t="str">
        <f>CONCATENATE("(",ROUND((B208/$H210)*100,1),")")</f>
        <v>(38.8)</v>
      </c>
      <c r="D208" s="302">
        <f>'Ind T6'!W240</f>
        <v>58.755000000457741</v>
      </c>
      <c r="E208" s="299" t="str">
        <f>CONCATENATE("(",ROUND((D208/$H210)*100,1),")")</f>
        <v>(12.1)</v>
      </c>
      <c r="F208" s="302">
        <f>'Ind T6'!X240</f>
        <v>17.721000000316415</v>
      </c>
      <c r="G208" s="299" t="str">
        <f>CONCATENATE("(",ROUND((F208/$H210)*100,1),")")</f>
        <v>(3.6)</v>
      </c>
      <c r="H208" s="302">
        <f>SUM(B208,D208,F208)</f>
        <v>265.6160000027968</v>
      </c>
      <c r="I208" s="299" t="str">
        <f>CONCATENATE("(",ROUND((H208/$H210)*100,1),")")</f>
        <v>(54.5)</v>
      </c>
      <c r="K208" s="302">
        <f>B208-B198</f>
        <v>11.167000001005164</v>
      </c>
      <c r="L208" s="302">
        <f>D208-D198</f>
        <v>1.1420000003255737</v>
      </c>
      <c r="M208" s="302">
        <f>F208-F198</f>
        <v>1.0900000001258583</v>
      </c>
      <c r="N208" s="302">
        <f>SUM(K208:M208)</f>
        <v>13.399000001456596</v>
      </c>
    </row>
    <row r="209" spans="1:14" x14ac:dyDescent="0.3">
      <c r="A209" s="282" t="s">
        <v>356</v>
      </c>
      <c r="B209" s="302">
        <f>'Ind T6'!V239</f>
        <v>100.4999999987832</v>
      </c>
      <c r="C209" s="299" t="str">
        <f>CONCATENATE("(",ROUND((B209/$H210)*100,1),")")</f>
        <v>(20.6)</v>
      </c>
      <c r="D209" s="302">
        <f>'Ind T6'!W239</f>
        <v>106.66699999816829</v>
      </c>
      <c r="E209" s="299" t="str">
        <f>CONCATENATE("(",ROUND((D209/$H210)*100,1),")")</f>
        <v>(21.9)</v>
      </c>
      <c r="F209" s="302">
        <f>'Ind T6'!X239</f>
        <v>14.349999999979268</v>
      </c>
      <c r="G209" s="299" t="str">
        <f>CONCATENATE("(",ROUND((F209/$H210)*100,1),")")</f>
        <v>(2.9)</v>
      </c>
      <c r="H209" s="302">
        <f t="shared" ref="H209" si="166">SUM(B209,D209,F209)</f>
        <v>221.51699999693076</v>
      </c>
      <c r="I209" s="299" t="str">
        <f>CONCATENATE("(",ROUND((H209/$H210)*100,1),")")</f>
        <v>(45.5)</v>
      </c>
      <c r="K209" s="302">
        <f t="shared" ref="K209:K210" si="167">B209-B199</f>
        <v>12.207000000824351</v>
      </c>
      <c r="L209" s="302">
        <f t="shared" ref="L209:L210" si="168">D209-D199</f>
        <v>-11.760000003425262</v>
      </c>
      <c r="M209" s="302">
        <f t="shared" ref="M209:M210" si="169">F209-F199</f>
        <v>1.3840000002183714</v>
      </c>
      <c r="N209" s="302">
        <f t="shared" ref="N209:N210" si="170">SUM(K209:M209)</f>
        <v>1.8309999976174609</v>
      </c>
    </row>
    <row r="210" spans="1:14" x14ac:dyDescent="0.3">
      <c r="A210" s="282" t="s">
        <v>354</v>
      </c>
      <c r="B210" s="302">
        <f>SUM(B208:B209)</f>
        <v>289.64000000080586</v>
      </c>
      <c r="C210" s="299" t="str">
        <f>CONCATENATE("(",ROUND((B210/$H210)*100,1),")")</f>
        <v>(59.5)</v>
      </c>
      <c r="D210" s="302">
        <f>SUM(D208:D209)</f>
        <v>165.42199999862603</v>
      </c>
      <c r="E210" s="299" t="str">
        <f>CONCATENATE("(",ROUND((D210/$H210)*100,1),")")</f>
        <v>(34)</v>
      </c>
      <c r="F210" s="302">
        <f>SUM(F208:F209)</f>
        <v>32.071000000295683</v>
      </c>
      <c r="G210" s="299" t="str">
        <f>CONCATENATE("(",ROUND((F210/$H210)*100,1),")")</f>
        <v>(6.6)</v>
      </c>
      <c r="H210" s="302">
        <f>SUM(H208:H209)</f>
        <v>487.13299999972753</v>
      </c>
      <c r="I210" s="299" t="str">
        <f>CONCATENATE("(",ROUND((H210/$H210)*100,1),")")</f>
        <v>(100)</v>
      </c>
      <c r="K210" s="302">
        <f t="shared" si="167"/>
        <v>23.374000001829529</v>
      </c>
      <c r="L210" s="302">
        <f t="shared" si="168"/>
        <v>-10.618000003099695</v>
      </c>
      <c r="M210" s="302">
        <f t="shared" si="169"/>
        <v>2.4740000003442297</v>
      </c>
      <c r="N210" s="302">
        <f t="shared" si="170"/>
        <v>15.229999999074064</v>
      </c>
    </row>
    <row r="211" spans="1:14" x14ac:dyDescent="0.3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3">
      <c r="A215" s="288"/>
      <c r="B215" s="289" t="s">
        <v>379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3">
      <c r="N216" s="287" t="s">
        <v>377</v>
      </c>
    </row>
    <row r="217" spans="1:14" x14ac:dyDescent="0.3">
      <c r="A217" s="181" t="s">
        <v>378</v>
      </c>
      <c r="B217" s="370" t="s">
        <v>376</v>
      </c>
      <c r="C217" s="370"/>
      <c r="D217" s="370" t="s">
        <v>375</v>
      </c>
      <c r="E217" s="370"/>
      <c r="F217" s="370" t="s">
        <v>374</v>
      </c>
      <c r="G217" s="370"/>
      <c r="H217" s="370" t="s">
        <v>32</v>
      </c>
      <c r="I217" s="370"/>
      <c r="J217" s="181"/>
      <c r="K217" s="297" t="s">
        <v>339</v>
      </c>
      <c r="L217" s="297" t="s">
        <v>341</v>
      </c>
      <c r="M217" s="297" t="s">
        <v>337</v>
      </c>
      <c r="N217" s="297" t="s">
        <v>32</v>
      </c>
    </row>
    <row r="218" spans="1:14" x14ac:dyDescent="0.3">
      <c r="A218" s="292">
        <f>$A$8</f>
        <v>2020</v>
      </c>
      <c r="B218" s="287" t="s">
        <v>60</v>
      </c>
      <c r="C218" s="19" t="s">
        <v>373</v>
      </c>
      <c r="D218" s="287" t="s">
        <v>60</v>
      </c>
      <c r="E218" s="19" t="s">
        <v>373</v>
      </c>
      <c r="F218" s="287" t="s">
        <v>60</v>
      </c>
      <c r="G218" s="19" t="s">
        <v>373</v>
      </c>
      <c r="H218" s="287" t="s">
        <v>60</v>
      </c>
      <c r="I218" s="19" t="s">
        <v>373</v>
      </c>
      <c r="J218" s="181"/>
      <c r="K218" s="286" t="str">
        <f>CONCATENATE(A218," - ",A223)</f>
        <v>2020 - 2025</v>
      </c>
      <c r="L218" s="285"/>
      <c r="M218" s="285"/>
    </row>
    <row r="219" spans="1:14" x14ac:dyDescent="0.3">
      <c r="A219" s="282" t="s">
        <v>355</v>
      </c>
      <c r="B219" s="302">
        <f>'Ind T6'!L275</f>
        <v>86.980000000667815</v>
      </c>
      <c r="C219" s="299" t="str">
        <f>CONCATENATE("(",ROUND((B219/$H221)*100,1),")")</f>
        <v>(52.4)</v>
      </c>
      <c r="D219" s="302">
        <f>'Ind T6'!M275</f>
        <v>12.20600000010033</v>
      </c>
      <c r="E219" s="299" t="str">
        <f>CONCATENATE("(",ROUND((D219/$H221)*100,1),")")</f>
        <v>(7.4)</v>
      </c>
      <c r="F219" s="302">
        <f>'Ind T6'!N275</f>
        <v>27.927000000804941</v>
      </c>
      <c r="G219" s="299" t="str">
        <f>CONCATENATE("(",ROUND((F219/$H221)*100,1),")")</f>
        <v>(16.8)</v>
      </c>
      <c r="H219" s="302">
        <f>SUM(B219,D219,F219)</f>
        <v>127.11300000157308</v>
      </c>
      <c r="I219" s="299" t="str">
        <f>CONCATENATE("(",ROUND((H219/$H221)*100,1),")")</f>
        <v>(76.6)</v>
      </c>
      <c r="K219" s="302">
        <f>B224-B219</f>
        <v>5.5690000004478151</v>
      </c>
      <c r="L219" s="302">
        <f>D224-D219</f>
        <v>0.90000000003859348</v>
      </c>
      <c r="M219" s="302">
        <f>F224-F219</f>
        <v>2.782000001524505</v>
      </c>
      <c r="N219" s="302">
        <f>SUM(K219:M219)</f>
        <v>9.2510000020109135</v>
      </c>
    </row>
    <row r="220" spans="1:14" x14ac:dyDescent="0.3">
      <c r="A220" s="282" t="s">
        <v>356</v>
      </c>
      <c r="B220" s="302">
        <f>'Ind T6'!L274</f>
        <v>22.670999999603829</v>
      </c>
      <c r="C220" s="299" t="str">
        <f>CONCATENATE("(",ROUND((B220/$H221)*100,1),")")</f>
        <v>(13.7)</v>
      </c>
      <c r="D220" s="302">
        <f>'Ind T6'!M274</f>
        <v>11.657999999872526</v>
      </c>
      <c r="E220" s="299" t="str">
        <f>CONCATENATE("(",ROUND((D220/$H221)*100,1),")")</f>
        <v>(7)</v>
      </c>
      <c r="F220" s="302">
        <f>'Ind T6'!N274</f>
        <v>4.5299999998675862</v>
      </c>
      <c r="G220" s="299" t="str">
        <f>CONCATENATE("(",ROUND((F220/$H221)*100,1),")")</f>
        <v>(2.7)</v>
      </c>
      <c r="H220" s="302">
        <f t="shared" ref="H220" si="171">SUM(B220,D220,F220)</f>
        <v>38.858999999343936</v>
      </c>
      <c r="I220" s="299" t="str">
        <f>CONCATENATE("(",ROUND((H220/$H221)*100,1),")")</f>
        <v>(23.4)</v>
      </c>
      <c r="K220" s="302">
        <f t="shared" ref="K220:K221" si="172">B225-B220</f>
        <v>2.4880000009756209</v>
      </c>
      <c r="L220" s="302">
        <f t="shared" ref="L220:L221" si="173">D225-D220</f>
        <v>1.5260000002669418</v>
      </c>
      <c r="M220" s="302">
        <f t="shared" ref="M220:M221" si="174">F225-F220</f>
        <v>0.32500000008655583</v>
      </c>
      <c r="N220" s="302">
        <f t="shared" ref="N220:N221" si="175">SUM(K220:M220)</f>
        <v>4.3390000013291186</v>
      </c>
    </row>
    <row r="221" spans="1:14" x14ac:dyDescent="0.3">
      <c r="A221" s="282" t="s">
        <v>354</v>
      </c>
      <c r="B221" s="302">
        <f>SUM(B219:B220)</f>
        <v>109.65100000027164</v>
      </c>
      <c r="C221" s="299" t="str">
        <f>CONCATENATE("(",ROUND((B221/$H221)*100,1),")")</f>
        <v>(66.1)</v>
      </c>
      <c r="D221" s="302">
        <f>SUM(D219:D220)</f>
        <v>23.863999999972854</v>
      </c>
      <c r="E221" s="299" t="str">
        <f>CONCATENATE("(",ROUND((D221/$H221)*100,1),")")</f>
        <v>(14.4)</v>
      </c>
      <c r="F221" s="302">
        <f>SUM(F219:F220)</f>
        <v>32.457000000672529</v>
      </c>
      <c r="G221" s="299" t="str">
        <f>CONCATENATE("(",ROUND((F221/$H221)*100,1),")")</f>
        <v>(19.6)</v>
      </c>
      <c r="H221" s="302">
        <f>SUM(H219:H220)</f>
        <v>165.97200000091703</v>
      </c>
      <c r="I221" s="299" t="str">
        <f>CONCATENATE("(",ROUND((H221/$H221)*100,1),")")</f>
        <v>(100)</v>
      </c>
      <c r="K221" s="302">
        <f t="shared" si="172"/>
        <v>8.0570000014234466</v>
      </c>
      <c r="L221" s="302">
        <f t="shared" si="173"/>
        <v>2.4260000003055353</v>
      </c>
      <c r="M221" s="302">
        <f t="shared" si="174"/>
        <v>3.1070000016110626</v>
      </c>
      <c r="N221" s="302">
        <f t="shared" si="175"/>
        <v>13.590000003340045</v>
      </c>
    </row>
    <row r="222" spans="1:14" x14ac:dyDescent="0.3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3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3">
      <c r="A224" s="282" t="s">
        <v>355</v>
      </c>
      <c r="B224" s="302">
        <f>'Ind T6'!Q275</f>
        <v>92.54900000111563</v>
      </c>
      <c r="C224" s="299" t="str">
        <f>CONCATENATE("(",ROUND((B224/$H226)*100,1),")")</f>
        <v>(51.5)</v>
      </c>
      <c r="D224" s="302">
        <f>'Ind T6'!R275</f>
        <v>13.106000000138923</v>
      </c>
      <c r="E224" s="299" t="str">
        <f>CONCATENATE("(",ROUND((D224/$H226)*100,1),")")</f>
        <v>(7.3)</v>
      </c>
      <c r="F224" s="302">
        <f>'Ind T6'!S275</f>
        <v>30.709000002329446</v>
      </c>
      <c r="G224" s="299" t="str">
        <f>CONCATENATE("(",ROUND((F224/$H226)*100,1),")")</f>
        <v>(17.1)</v>
      </c>
      <c r="H224" s="302">
        <f>SUM(B224,D224,F224)</f>
        <v>136.36400000358401</v>
      </c>
      <c r="I224" s="299" t="str">
        <f>CONCATENATE("(",ROUND((H224/$H226)*100,1),")")</f>
        <v>(75.9)</v>
      </c>
      <c r="K224" s="302">
        <f>B229-B224</f>
        <v>-0.65899999971564682</v>
      </c>
      <c r="L224" s="302">
        <f>D229-D224</f>
        <v>0.62600000007988932</v>
      </c>
      <c r="M224" s="302">
        <f>F229-F224</f>
        <v>2.0139999998699878</v>
      </c>
      <c r="N224" s="302">
        <f>SUM(K224:M224)</f>
        <v>1.9810000002342303</v>
      </c>
    </row>
    <row r="225" spans="1:14" x14ac:dyDescent="0.3">
      <c r="A225" s="282" t="s">
        <v>356</v>
      </c>
      <c r="B225" s="302">
        <f>'Ind T6'!Q274</f>
        <v>25.15900000057945</v>
      </c>
      <c r="C225" s="299" t="str">
        <f>CONCATENATE("(",ROUND((B225/$H226)*100,1),")")</f>
        <v>(14)</v>
      </c>
      <c r="D225" s="302">
        <f>'Ind T6'!R274</f>
        <v>13.184000000139468</v>
      </c>
      <c r="E225" s="299" t="str">
        <f>CONCATENATE("(",ROUND((D225/$H226)*100,1),")")</f>
        <v>(7.3)</v>
      </c>
      <c r="F225" s="302">
        <f>'Ind T6'!S274</f>
        <v>4.854999999954142</v>
      </c>
      <c r="G225" s="299" t="str">
        <f>CONCATENATE("(",ROUND((F225/$H226)*100,1),")")</f>
        <v>(2.7)</v>
      </c>
      <c r="H225" s="302">
        <f t="shared" ref="H225" si="176">SUM(B225,D225,F225)</f>
        <v>43.198000000673062</v>
      </c>
      <c r="I225" s="299" t="str">
        <f>CONCATENATE("(",ROUND((H225/$H226)*100,1),")")</f>
        <v>(24.1)</v>
      </c>
      <c r="K225" s="302">
        <f t="shared" ref="K225:K226" si="177">B230-B225</f>
        <v>1.4269999992515139</v>
      </c>
      <c r="L225" s="302">
        <f t="shared" ref="L225:L226" si="178">D230-D225</f>
        <v>1.2739999996395408</v>
      </c>
      <c r="M225" s="302">
        <f t="shared" ref="M225:M226" si="179">F230-F225</f>
        <v>6.4000000000762114E-2</v>
      </c>
      <c r="N225" s="302">
        <f t="shared" ref="N225:N226" si="180">SUM(K225:M225)</f>
        <v>2.7649999988918168</v>
      </c>
    </row>
    <row r="226" spans="1:14" x14ac:dyDescent="0.3">
      <c r="A226" s="282" t="s">
        <v>354</v>
      </c>
      <c r="B226" s="302">
        <f>SUM(B224:B225)</f>
        <v>117.70800000169508</v>
      </c>
      <c r="C226" s="299" t="str">
        <f>CONCATENATE("(",ROUND((B226/$H226)*100,1),")")</f>
        <v>(65.6)</v>
      </c>
      <c r="D226" s="302">
        <f>SUM(D224:D225)</f>
        <v>26.29000000027839</v>
      </c>
      <c r="E226" s="299" t="str">
        <f>CONCATENATE("(",ROUND((D226/$H226)*100,1),")")</f>
        <v>(14.6)</v>
      </c>
      <c r="F226" s="302">
        <f>SUM(F224:F225)</f>
        <v>35.564000002283592</v>
      </c>
      <c r="G226" s="299" t="str">
        <f>CONCATENATE("(",ROUND((F226/$H226)*100,1),")")</f>
        <v>(19.8)</v>
      </c>
      <c r="H226" s="302">
        <f>SUM(H224:H225)</f>
        <v>179.56200000425707</v>
      </c>
      <c r="I226" s="299" t="str">
        <f>CONCATENATE("(",ROUND((H226/$H226)*100,1),")")</f>
        <v>(100)</v>
      </c>
      <c r="K226" s="302">
        <f t="shared" si="177"/>
        <v>0.76799999953585996</v>
      </c>
      <c r="L226" s="302">
        <f t="shared" si="178"/>
        <v>1.8999999997194337</v>
      </c>
      <c r="M226" s="302">
        <f t="shared" si="179"/>
        <v>2.0779999998707481</v>
      </c>
      <c r="N226" s="302">
        <f t="shared" si="180"/>
        <v>4.7459999991260418</v>
      </c>
    </row>
    <row r="227" spans="1:14" x14ac:dyDescent="0.3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3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3">
      <c r="A229" s="282" t="s">
        <v>355</v>
      </c>
      <c r="B229" s="302">
        <f>'Ind T6'!V275</f>
        <v>91.890000001399983</v>
      </c>
      <c r="C229" s="299" t="str">
        <f>CONCATENATE("(",ROUND((B229/$H231)*100,1),")")</f>
        <v>(49.9)</v>
      </c>
      <c r="D229" s="302">
        <f>'Ind T6'!W275</f>
        <v>13.732000000218813</v>
      </c>
      <c r="E229" s="299" t="str">
        <f>CONCATENATE("(",ROUND((D229/$H231)*100,1),")")</f>
        <v>(7.5)</v>
      </c>
      <c r="F229" s="302">
        <f>'Ind T6'!X275</f>
        <v>32.723000002199434</v>
      </c>
      <c r="G229" s="299" t="str">
        <f>CONCATENATE("(",ROUND((F229/$H231)*100,1),")")</f>
        <v>(17.8)</v>
      </c>
      <c r="H229" s="302">
        <f>SUM(B229,D229,F229)</f>
        <v>138.34500000381823</v>
      </c>
      <c r="I229" s="299" t="str">
        <f>CONCATENATE("(",ROUND((H229/$H231)*100,1),")")</f>
        <v>(75.1)</v>
      </c>
      <c r="K229" s="302">
        <f>B229-B219</f>
        <v>4.9100000007321682</v>
      </c>
      <c r="L229" s="302">
        <f>D229-D219</f>
        <v>1.5260000001184828</v>
      </c>
      <c r="M229" s="302">
        <f>F229-F219</f>
        <v>4.7960000013944928</v>
      </c>
      <c r="N229" s="302">
        <f>SUM(K229:M229)</f>
        <v>11.232000002245144</v>
      </c>
    </row>
    <row r="230" spans="1:14" x14ac:dyDescent="0.3">
      <c r="A230" s="282" t="s">
        <v>356</v>
      </c>
      <c r="B230" s="302">
        <f>'Ind T6'!V274</f>
        <v>26.585999999830964</v>
      </c>
      <c r="C230" s="299" t="str">
        <f>CONCATENATE("(",ROUND((B230/$H231)*100,1),")")</f>
        <v>(14.4)</v>
      </c>
      <c r="D230" s="302">
        <f>'Ind T6'!W274</f>
        <v>14.457999999779009</v>
      </c>
      <c r="E230" s="299" t="str">
        <f>CONCATENATE("(",ROUND((D230/$H231)*100,1),")")</f>
        <v>(7.8)</v>
      </c>
      <c r="F230" s="302">
        <f>'Ind T6'!X274</f>
        <v>4.9189999999549041</v>
      </c>
      <c r="G230" s="299" t="str">
        <f>CONCATENATE("(",ROUND((F230/$H231)*100,1),")")</f>
        <v>(2.7)</v>
      </c>
      <c r="H230" s="302">
        <f t="shared" ref="H230" si="181">SUM(B230,D230,F230)</f>
        <v>45.962999999564879</v>
      </c>
      <c r="I230" s="299" t="str">
        <f>CONCATENATE("(",ROUND((H230/$H231)*100,1),")")</f>
        <v>(24.9)</v>
      </c>
      <c r="K230" s="302">
        <f t="shared" ref="K230:K231" si="182">B230-B220</f>
        <v>3.9150000002271348</v>
      </c>
      <c r="L230" s="302">
        <f t="shared" ref="L230:L231" si="183">D230-D220</f>
        <v>2.7999999999064826</v>
      </c>
      <c r="M230" s="302">
        <f t="shared" ref="M230:M231" si="184">F230-F220</f>
        <v>0.38900000008731794</v>
      </c>
      <c r="N230" s="302">
        <f t="shared" ref="N230:N231" si="185">SUM(K230:M230)</f>
        <v>7.1040000002209354</v>
      </c>
    </row>
    <row r="231" spans="1:14" x14ac:dyDescent="0.3">
      <c r="A231" s="282" t="s">
        <v>354</v>
      </c>
      <c r="B231" s="302">
        <f>SUM(B229:B230)</f>
        <v>118.47600000123094</v>
      </c>
      <c r="C231" s="299" t="str">
        <f>CONCATENATE("(",ROUND((B231/$H231)*100,1),")")</f>
        <v>(64.3)</v>
      </c>
      <c r="D231" s="302">
        <f>SUM(D229:D230)</f>
        <v>28.189999999997823</v>
      </c>
      <c r="E231" s="299" t="str">
        <f>CONCATENATE("(",ROUND((D231/$H231)*100,1),")")</f>
        <v>(15.3)</v>
      </c>
      <c r="F231" s="302">
        <f>SUM(F229:F230)</f>
        <v>37.64200000215434</v>
      </c>
      <c r="G231" s="299" t="str">
        <f>CONCATENATE("(",ROUND((F231/$H231)*100,1),")")</f>
        <v>(20.4)</v>
      </c>
      <c r="H231" s="302">
        <f>SUM(H229:H230)</f>
        <v>184.30800000338311</v>
      </c>
      <c r="I231" s="299" t="str">
        <f>CONCATENATE("(",ROUND((H231/$H231)*100,1),")")</f>
        <v>(100)</v>
      </c>
      <c r="K231" s="302">
        <f t="shared" si="182"/>
        <v>8.8250000009593066</v>
      </c>
      <c r="L231" s="302">
        <f t="shared" si="183"/>
        <v>4.326000000024969</v>
      </c>
      <c r="M231" s="302">
        <f t="shared" si="184"/>
        <v>5.1850000014818107</v>
      </c>
      <c r="N231" s="302">
        <f t="shared" si="185"/>
        <v>18.336000002466086</v>
      </c>
    </row>
    <row r="232" spans="1:14" x14ac:dyDescent="0.3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3">
      <c r="A236" s="288"/>
      <c r="B236" s="289" t="s">
        <v>379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3">
      <c r="N237" s="287" t="s">
        <v>377</v>
      </c>
    </row>
    <row r="238" spans="1:14" x14ac:dyDescent="0.3">
      <c r="A238" s="181" t="s">
        <v>378</v>
      </c>
      <c r="B238" s="370" t="s">
        <v>376</v>
      </c>
      <c r="C238" s="370"/>
      <c r="D238" s="370" t="s">
        <v>375</v>
      </c>
      <c r="E238" s="370"/>
      <c r="F238" s="370" t="s">
        <v>374</v>
      </c>
      <c r="G238" s="370"/>
      <c r="H238" s="370" t="s">
        <v>32</v>
      </c>
      <c r="I238" s="370"/>
      <c r="J238" s="181"/>
      <c r="K238" s="297" t="s">
        <v>339</v>
      </c>
      <c r="L238" s="297" t="s">
        <v>341</v>
      </c>
      <c r="M238" s="297" t="s">
        <v>337</v>
      </c>
      <c r="N238" s="297" t="s">
        <v>32</v>
      </c>
    </row>
    <row r="239" spans="1:14" x14ac:dyDescent="0.3">
      <c r="A239" s="292">
        <f>$A$8</f>
        <v>2020</v>
      </c>
      <c r="B239" s="287" t="s">
        <v>60</v>
      </c>
      <c r="C239" s="19" t="s">
        <v>373</v>
      </c>
      <c r="D239" s="287" t="s">
        <v>60</v>
      </c>
      <c r="E239" s="19" t="s">
        <v>373</v>
      </c>
      <c r="F239" s="287" t="s">
        <v>60</v>
      </c>
      <c r="G239" s="19" t="s">
        <v>373</v>
      </c>
      <c r="H239" s="287" t="s">
        <v>60</v>
      </c>
      <c r="I239" s="19" t="s">
        <v>373</v>
      </c>
      <c r="J239" s="181"/>
      <c r="K239" s="286" t="str">
        <f>CONCATENATE(A239," - ",A244)</f>
        <v>2020 - 2025</v>
      </c>
      <c r="L239" s="285"/>
      <c r="M239" s="285"/>
    </row>
    <row r="240" spans="1:14" x14ac:dyDescent="0.3">
      <c r="A240" s="282" t="s">
        <v>355</v>
      </c>
      <c r="B240" s="302">
        <f>'Ind T6'!L295</f>
        <v>35.743000000103066</v>
      </c>
      <c r="C240" s="299" t="str">
        <f>CONCATENATE("(",ROUND((B240/$H242)*100,1),")")</f>
        <v>(17.6)</v>
      </c>
      <c r="D240" s="302">
        <f>'Ind T6'!M295</f>
        <v>44.232000000100257</v>
      </c>
      <c r="E240" s="299" t="str">
        <f>CONCATENATE("(",ROUND((D240/$H242)*100,1),")")</f>
        <v>(21.8)</v>
      </c>
      <c r="F240" s="302">
        <f>'Ind T6'!N295</f>
        <v>7.1990000000937462</v>
      </c>
      <c r="G240" s="299" t="str">
        <f>CONCATENATE("(",ROUND((F240/$H242)*100,1),")")</f>
        <v>(3.6)</v>
      </c>
      <c r="H240" s="302">
        <f>SUM(B240,D240,F240)</f>
        <v>87.17400000029707</v>
      </c>
      <c r="I240" s="299" t="str">
        <f>CONCATENATE("(",ROUND((H240/$H242)*100,1),")")</f>
        <v>(43)</v>
      </c>
      <c r="K240" s="302">
        <f>B245-B240</f>
        <v>1.1030000001381026</v>
      </c>
      <c r="L240" s="302">
        <f>D245-D240</f>
        <v>0.6340000001943551</v>
      </c>
      <c r="M240" s="302">
        <f>F245-F240</f>
        <v>0.38100000010506552</v>
      </c>
      <c r="N240" s="302">
        <f>SUM(K240:M240)</f>
        <v>2.1180000004375232</v>
      </c>
    </row>
    <row r="241" spans="1:14" x14ac:dyDescent="0.3">
      <c r="A241" s="282" t="s">
        <v>356</v>
      </c>
      <c r="B241" s="302">
        <f>'Ind T6'!L294</f>
        <v>32.559999999201764</v>
      </c>
      <c r="C241" s="299" t="str">
        <f>CONCATENATE("(",ROUND((B241/$H242)*100,1),")")</f>
        <v>(16.1)</v>
      </c>
      <c r="D241" s="302">
        <f>'Ind T6'!M294</f>
        <v>76.057000000306317</v>
      </c>
      <c r="E241" s="299" t="str">
        <f>CONCATENATE("(",ROUND((D241/$H242)*100,1),")")</f>
        <v>(37.5)</v>
      </c>
      <c r="F241" s="302">
        <f>'Ind T6'!N294</f>
        <v>6.9029999997490599</v>
      </c>
      <c r="G241" s="299" t="str">
        <f>CONCATENATE("(",ROUND((F241/$H242)*100,1),")")</f>
        <v>(3.4)</v>
      </c>
      <c r="H241" s="302">
        <f t="shared" ref="H241" si="186">SUM(B241,D241,F241)</f>
        <v>115.51999999925714</v>
      </c>
      <c r="I241" s="299" t="str">
        <f>CONCATENATE("(",ROUND((H241/$H242)*100,1),")")</f>
        <v>(57)</v>
      </c>
      <c r="K241" s="302">
        <f t="shared" ref="K241:K242" si="187">B246-B241</f>
        <v>0.9500000014209391</v>
      </c>
      <c r="L241" s="302">
        <f t="shared" ref="L241:L242" si="188">D246-D241</f>
        <v>2.1900000024568271</v>
      </c>
      <c r="M241" s="302">
        <f t="shared" ref="M241:M242" si="189">F246-F241</f>
        <v>0.43000000017624007</v>
      </c>
      <c r="N241" s="302">
        <f t="shared" ref="N241:N242" si="190">SUM(K241:M241)</f>
        <v>3.5700000040540063</v>
      </c>
    </row>
    <row r="242" spans="1:14" x14ac:dyDescent="0.3">
      <c r="A242" s="282" t="s">
        <v>354</v>
      </c>
      <c r="B242" s="302">
        <f>SUM(B240:B241)</f>
        <v>68.302999999304831</v>
      </c>
      <c r="C242" s="299" t="str">
        <f>CONCATENATE("(",ROUND((B242/$H242)*100,1),")")</f>
        <v>(33.7)</v>
      </c>
      <c r="D242" s="302">
        <f>SUM(D240:D241)</f>
        <v>120.28900000040657</v>
      </c>
      <c r="E242" s="299" t="str">
        <f>CONCATENATE("(",ROUND((D242/$H242)*100,1),")")</f>
        <v>(59.3)</v>
      </c>
      <c r="F242" s="302">
        <f>SUM(F240:F241)</f>
        <v>14.101999999842807</v>
      </c>
      <c r="G242" s="299" t="str">
        <f>CONCATENATE("(",ROUND((F242/$H242)*100,1),")")</f>
        <v>(7)</v>
      </c>
      <c r="H242" s="302">
        <f>SUM(H240:H241)</f>
        <v>202.69399999955419</v>
      </c>
      <c r="I242" s="299" t="str">
        <f>CONCATENATE("(",ROUND((H242/$H242)*100,1),")")</f>
        <v>(100)</v>
      </c>
      <c r="K242" s="302">
        <f t="shared" si="187"/>
        <v>2.0530000015590417</v>
      </c>
      <c r="L242" s="302">
        <f t="shared" si="188"/>
        <v>2.8240000026511751</v>
      </c>
      <c r="M242" s="302">
        <f t="shared" si="189"/>
        <v>0.81100000028130381</v>
      </c>
      <c r="N242" s="302">
        <f t="shared" si="190"/>
        <v>5.6880000044915207</v>
      </c>
    </row>
    <row r="243" spans="1:14" x14ac:dyDescent="0.3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3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3">
      <c r="A245" s="282" t="s">
        <v>355</v>
      </c>
      <c r="B245" s="302">
        <f>'Ind T6'!Q295</f>
        <v>36.846000000241169</v>
      </c>
      <c r="C245" s="299" t="str">
        <f>CONCATENATE("(",ROUND((B245/$H247)*100,1),")")</f>
        <v>(17.7)</v>
      </c>
      <c r="D245" s="302">
        <f>'Ind T6'!R295</f>
        <v>44.866000000294612</v>
      </c>
      <c r="E245" s="299" t="str">
        <f>CONCATENATE("(",ROUND((D245/$H247)*100,1),")")</f>
        <v>(21.5)</v>
      </c>
      <c r="F245" s="302">
        <f>'Ind T6'!S295</f>
        <v>7.5800000001988117</v>
      </c>
      <c r="G245" s="299" t="str">
        <f>CONCATENATE("(",ROUND((F245/$H247)*100,1),")")</f>
        <v>(3.6)</v>
      </c>
      <c r="H245" s="302">
        <f>SUM(B245,D245,F245)</f>
        <v>89.292000000734589</v>
      </c>
      <c r="I245" s="299" t="str">
        <f>CONCATENATE("(",ROUND((H245/$H247)*100,1),")")</f>
        <v>(42.9)</v>
      </c>
      <c r="K245" s="302">
        <f>B250-B245</f>
        <v>5.1109999999599367</v>
      </c>
      <c r="L245" s="302">
        <f>D250-D245</f>
        <v>5.3739999996964158</v>
      </c>
      <c r="M245" s="302">
        <f>F250-F245</f>
        <v>0.9239999999040549</v>
      </c>
      <c r="N245" s="302">
        <f>SUM(K245:M245)</f>
        <v>11.408999999560407</v>
      </c>
    </row>
    <row r="246" spans="1:14" x14ac:dyDescent="0.3">
      <c r="A246" s="282" t="s">
        <v>356</v>
      </c>
      <c r="B246" s="302">
        <f>'Ind T6'!Q294</f>
        <v>33.510000000622703</v>
      </c>
      <c r="C246" s="299" t="str">
        <f>CONCATENATE("(",ROUND((B246/$H247)*100,1),")")</f>
        <v>(16.1)</v>
      </c>
      <c r="D246" s="302">
        <f>'Ind T6'!R294</f>
        <v>78.247000002763144</v>
      </c>
      <c r="E246" s="299" t="str">
        <f>CONCATENATE("(",ROUND((D246/$H247)*100,1),")")</f>
        <v>(37.5)</v>
      </c>
      <c r="F246" s="302">
        <f>'Ind T6'!S294</f>
        <v>7.3329999999252999</v>
      </c>
      <c r="G246" s="299" t="str">
        <f>CONCATENATE("(",ROUND((F246/$H247)*100,1),")")</f>
        <v>(3.5)</v>
      </c>
      <c r="H246" s="302">
        <f t="shared" ref="H246" si="191">SUM(B246,D246,F246)</f>
        <v>119.09000000331116</v>
      </c>
      <c r="I246" s="299" t="str">
        <f>CONCATENATE("(",ROUND((H246/$H247)*100,1),")")</f>
        <v>(57.1)</v>
      </c>
      <c r="K246" s="302">
        <f t="shared" ref="K246:K247" si="192">B251-B246</f>
        <v>4.2829999990065701</v>
      </c>
      <c r="L246" s="302">
        <f t="shared" ref="L246:L247" si="193">D251-D246</f>
        <v>9.0769999959727841</v>
      </c>
      <c r="M246" s="302">
        <f t="shared" ref="M246:M247" si="194">F251-F246</f>
        <v>0.86799999999282296</v>
      </c>
      <c r="N246" s="302">
        <f t="shared" ref="N246:N247" si="195">SUM(K246:M246)</f>
        <v>14.227999994972176</v>
      </c>
    </row>
    <row r="247" spans="1:14" x14ac:dyDescent="0.3">
      <c r="A247" s="282" t="s">
        <v>354</v>
      </c>
      <c r="B247" s="302">
        <f>SUM(B245:B246)</f>
        <v>70.356000000863872</v>
      </c>
      <c r="C247" s="299" t="str">
        <f>CONCATENATE("(",ROUND((B247/$H247)*100,1),")")</f>
        <v>(33.8)</v>
      </c>
      <c r="D247" s="302">
        <f>SUM(D245:D246)</f>
        <v>123.11300000305775</v>
      </c>
      <c r="E247" s="299" t="str">
        <f>CONCATENATE("(",ROUND((D247/$H247)*100,1),")")</f>
        <v>(59.1)</v>
      </c>
      <c r="F247" s="302">
        <f>SUM(F245:F246)</f>
        <v>14.913000000124111</v>
      </c>
      <c r="G247" s="299" t="str">
        <f>CONCATENATE("(",ROUND((F247/$H247)*100,1),")")</f>
        <v>(7.2)</v>
      </c>
      <c r="H247" s="302">
        <f>SUM(H245:H246)</f>
        <v>208.38200000404575</v>
      </c>
      <c r="I247" s="299" t="str">
        <f>CONCATENATE("(",ROUND((H247/$H247)*100,1),")")</f>
        <v>(100)</v>
      </c>
      <c r="K247" s="302">
        <f t="shared" si="192"/>
        <v>9.3939999989665068</v>
      </c>
      <c r="L247" s="302">
        <f t="shared" si="193"/>
        <v>14.450999995669207</v>
      </c>
      <c r="M247" s="302">
        <f t="shared" si="194"/>
        <v>1.791999999896877</v>
      </c>
      <c r="N247" s="302">
        <f t="shared" si="195"/>
        <v>25.636999994532591</v>
      </c>
    </row>
    <row r="248" spans="1:14" x14ac:dyDescent="0.3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3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3">
      <c r="A250" s="282" t="s">
        <v>355</v>
      </c>
      <c r="B250" s="302">
        <f>'Ind T6'!V295</f>
        <v>41.957000000201106</v>
      </c>
      <c r="C250" s="299" t="str">
        <f>CONCATENATE("(",ROUND((B250/$H252)*100,1),")")</f>
        <v>(17.9)</v>
      </c>
      <c r="D250" s="302">
        <f>'Ind T6'!W295</f>
        <v>50.239999999991028</v>
      </c>
      <c r="E250" s="299" t="str">
        <f>CONCATENATE("(",ROUND((D250/$H252)*100,1),")")</f>
        <v>(21.5)</v>
      </c>
      <c r="F250" s="302">
        <f>'Ind T6'!X295</f>
        <v>8.5040000001028666</v>
      </c>
      <c r="G250" s="299" t="str">
        <f>CONCATENATE("(",ROUND((F250/$H252)*100,1),")")</f>
        <v>(3.6)</v>
      </c>
      <c r="H250" s="302">
        <f>SUM(B250,D250,F250)</f>
        <v>100.701000000295</v>
      </c>
      <c r="I250" s="299" t="str">
        <f>CONCATENATE("(",ROUND((H250/$H252)*100,1),")")</f>
        <v>(43)</v>
      </c>
      <c r="K250" s="302">
        <f>B250-B240</f>
        <v>6.2140000000980393</v>
      </c>
      <c r="L250" s="302">
        <f>D250-D240</f>
        <v>6.0079999998907709</v>
      </c>
      <c r="M250" s="302">
        <f>F250-F240</f>
        <v>1.3050000000091204</v>
      </c>
      <c r="N250" s="302">
        <f>SUM(K250:M250)</f>
        <v>13.52699999999793</v>
      </c>
    </row>
    <row r="251" spans="1:14" x14ac:dyDescent="0.3">
      <c r="A251" s="282" t="s">
        <v>356</v>
      </c>
      <c r="B251" s="302">
        <f>'Ind T6'!V294</f>
        <v>37.792999999629274</v>
      </c>
      <c r="C251" s="299" t="str">
        <f>CONCATENATE("(",ROUND((B251/$H252)*100,1),")")</f>
        <v>(16.1)</v>
      </c>
      <c r="D251" s="302">
        <f>'Ind T6'!W294</f>
        <v>87.323999998735928</v>
      </c>
      <c r="E251" s="299" t="str">
        <f>CONCATENATE("(",ROUND((D251/$H252)*100,1),")")</f>
        <v>(37.3)</v>
      </c>
      <c r="F251" s="302">
        <f>'Ind T6'!X294</f>
        <v>8.2009999999181229</v>
      </c>
      <c r="G251" s="299" t="str">
        <f>CONCATENATE("(",ROUND((F251/$H252)*100,1),")")</f>
        <v>(3.5)</v>
      </c>
      <c r="H251" s="302">
        <f t="shared" ref="H251" si="196">SUM(B251,D251,F251)</f>
        <v>133.31799999828331</v>
      </c>
      <c r="I251" s="299" t="str">
        <f>CONCATENATE("(",ROUND((H251/$H252)*100,1),")")</f>
        <v>(57)</v>
      </c>
      <c r="K251" s="302">
        <f t="shared" ref="K251:K252" si="197">B251-B241</f>
        <v>5.2330000004275092</v>
      </c>
      <c r="L251" s="302">
        <f t="shared" ref="L251:L252" si="198">D251-D241</f>
        <v>11.266999998429611</v>
      </c>
      <c r="M251" s="302">
        <f t="shared" ref="M251:M252" si="199">F251-F241</f>
        <v>1.298000000169063</v>
      </c>
      <c r="N251" s="302">
        <f t="shared" ref="N251:N252" si="200">SUM(K251:M251)</f>
        <v>17.797999999026182</v>
      </c>
    </row>
    <row r="252" spans="1:14" x14ac:dyDescent="0.3">
      <c r="A252" s="282" t="s">
        <v>354</v>
      </c>
      <c r="B252" s="302">
        <f>SUM(B250:B251)</f>
        <v>79.749999999830379</v>
      </c>
      <c r="C252" s="299" t="str">
        <f>CONCATENATE("(",ROUND((B252/$H252)*100,1),")")</f>
        <v>(34.1)</v>
      </c>
      <c r="D252" s="302">
        <f>SUM(D250:D251)</f>
        <v>137.56399999872696</v>
      </c>
      <c r="E252" s="299" t="str">
        <f>CONCATENATE("(",ROUND((D252/$H252)*100,1),")")</f>
        <v>(58.8)</v>
      </c>
      <c r="F252" s="302">
        <f>SUM(F250:F251)</f>
        <v>16.705000000020988</v>
      </c>
      <c r="G252" s="299" t="str">
        <f>CONCATENATE("(",ROUND((F252/$H252)*100,1),")")</f>
        <v>(7.1)</v>
      </c>
      <c r="H252" s="302">
        <f>SUM(H250:H251)</f>
        <v>234.01899999857829</v>
      </c>
      <c r="I252" s="299" t="str">
        <f>CONCATENATE("(",ROUND((H252/$H252)*100,1),")")</f>
        <v>(100)</v>
      </c>
      <c r="K252" s="302">
        <f t="shared" si="197"/>
        <v>11.447000000525549</v>
      </c>
      <c r="L252" s="302">
        <f t="shared" si="198"/>
        <v>17.274999998320382</v>
      </c>
      <c r="M252" s="302">
        <f t="shared" si="199"/>
        <v>2.6030000001781808</v>
      </c>
      <c r="N252" s="302">
        <f t="shared" si="200"/>
        <v>31.324999999024111</v>
      </c>
    </row>
    <row r="253" spans="1:14" x14ac:dyDescent="0.3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3">
      <c r="C256" s="181"/>
      <c r="E256" s="181"/>
      <c r="G256" s="181"/>
      <c r="I256" s="181"/>
    </row>
    <row r="257" spans="1:14" x14ac:dyDescent="0.3">
      <c r="A257" s="288"/>
      <c r="B257" s="289" t="s">
        <v>379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3">
      <c r="N258" s="287" t="s">
        <v>377</v>
      </c>
    </row>
    <row r="259" spans="1:14" x14ac:dyDescent="0.3">
      <c r="A259" s="181" t="s">
        <v>378</v>
      </c>
      <c r="B259" s="370" t="s">
        <v>376</v>
      </c>
      <c r="C259" s="370"/>
      <c r="D259" s="370" t="s">
        <v>375</v>
      </c>
      <c r="E259" s="370"/>
      <c r="F259" s="370" t="s">
        <v>374</v>
      </c>
      <c r="G259" s="370"/>
      <c r="H259" s="370" t="s">
        <v>32</v>
      </c>
      <c r="I259" s="370"/>
      <c r="J259" s="181"/>
      <c r="K259" s="297" t="s">
        <v>339</v>
      </c>
      <c r="L259" s="297" t="s">
        <v>341</v>
      </c>
      <c r="M259" s="297" t="s">
        <v>337</v>
      </c>
      <c r="N259" s="297" t="s">
        <v>32</v>
      </c>
    </row>
    <row r="260" spans="1:14" x14ac:dyDescent="0.3">
      <c r="A260" s="292">
        <f>$A$8</f>
        <v>2020</v>
      </c>
      <c r="B260" s="287" t="s">
        <v>60</v>
      </c>
      <c r="C260" s="19" t="s">
        <v>373</v>
      </c>
      <c r="D260" s="287" t="s">
        <v>60</v>
      </c>
      <c r="E260" s="19" t="s">
        <v>373</v>
      </c>
      <c r="F260" s="287" t="s">
        <v>60</v>
      </c>
      <c r="G260" s="19" t="s">
        <v>373</v>
      </c>
      <c r="H260" s="287" t="s">
        <v>60</v>
      </c>
      <c r="I260" s="19" t="s">
        <v>373</v>
      </c>
      <c r="J260" s="181"/>
      <c r="K260" s="286" t="str">
        <f>CONCATENATE(A260," - ",A265)</f>
        <v>2020 - 2025</v>
      </c>
      <c r="L260" s="285"/>
      <c r="M260" s="285"/>
    </row>
    <row r="261" spans="1:14" x14ac:dyDescent="0.3">
      <c r="A261" s="282" t="s">
        <v>355</v>
      </c>
      <c r="B261" s="302">
        <f>'Ind T6'!L320</f>
        <v>9.5359999999145355</v>
      </c>
      <c r="C261" s="299" t="str">
        <f>CONCATENATE("(",ROUND((B261/$H263)*100,1),")")</f>
        <v>(30.6)</v>
      </c>
      <c r="D261" s="302">
        <f>'Ind T6'!M320</f>
        <v>2.5939999999994248</v>
      </c>
      <c r="E261" s="299" t="str">
        <f>CONCATENATE("(",ROUND((D261/$H263)*100,1),")")</f>
        <v>(8.3)</v>
      </c>
      <c r="F261" s="302">
        <f>'Ind T6'!N320</f>
        <v>5.0130000000589092</v>
      </c>
      <c r="G261" s="299" t="str">
        <f>CONCATENATE("(",ROUND((F261/$H263)*100,1),")")</f>
        <v>(16.1)</v>
      </c>
      <c r="H261" s="302">
        <f>SUM(B261,D261,F261)</f>
        <v>17.142999999972869</v>
      </c>
      <c r="I261" s="299" t="str">
        <f>CONCATENATE("(",ROUND((H261/$H263)*100,1),")")</f>
        <v>(55)</v>
      </c>
      <c r="K261" s="302">
        <f>B266-B261</f>
        <v>-0.40399999997747393</v>
      </c>
      <c r="L261" s="302">
        <f>D266-D261</f>
        <v>2.1999999999871456E-2</v>
      </c>
      <c r="M261" s="302">
        <f>F266-F261</f>
        <v>-0.15599999984422563</v>
      </c>
      <c r="N261" s="302">
        <f>SUM(K261:M261)</f>
        <v>-0.53799999982182811</v>
      </c>
    </row>
    <row r="262" spans="1:14" x14ac:dyDescent="0.3">
      <c r="A262" s="282" t="s">
        <v>356</v>
      </c>
      <c r="B262" s="302">
        <f>'Ind T6'!L319</f>
        <v>8.2439999999992093</v>
      </c>
      <c r="C262" s="299" t="str">
        <f>CONCATENATE("(",ROUND((B262/$H263)*100,1),")")</f>
        <v>(26.5)</v>
      </c>
      <c r="D262" s="302">
        <f>'Ind T6'!M319</f>
        <v>3.7619999999862945</v>
      </c>
      <c r="E262" s="299" t="str">
        <f>CONCATENATE("(",ROUND((D262/$H263)*100,1),")")</f>
        <v>(12.1)</v>
      </c>
      <c r="F262" s="302">
        <f>'Ind T6'!N319</f>
        <v>2.0150000000078947</v>
      </c>
      <c r="G262" s="299" t="str">
        <f>CONCATENATE("(",ROUND((F262/$H263)*100,1),")")</f>
        <v>(6.5)</v>
      </c>
      <c r="H262" s="302">
        <f t="shared" ref="H262" si="201">SUM(B262,D262,F262)</f>
        <v>14.020999999993398</v>
      </c>
      <c r="I262" s="299" t="str">
        <f>CONCATENATE("(",ROUND((H262/$H263)*100,1),")")</f>
        <v>(45)</v>
      </c>
      <c r="K262" s="302">
        <f t="shared" ref="K262:K263" si="202">B267-B262</f>
        <v>-0.3149999998228239</v>
      </c>
      <c r="L262" s="302">
        <f t="shared" ref="L262:L263" si="203">D267-D262</f>
        <v>-8.8999999960312159E-2</v>
      </c>
      <c r="M262" s="302">
        <f t="shared" ref="M262:M263" si="204">F267-F262</f>
        <v>-9.5999999985590279E-2</v>
      </c>
      <c r="N262" s="302">
        <f t="shared" ref="N262:N263" si="205">SUM(K262:M262)</f>
        <v>-0.49999999976872633</v>
      </c>
    </row>
    <row r="263" spans="1:14" x14ac:dyDescent="0.3">
      <c r="A263" s="282" t="s">
        <v>354</v>
      </c>
      <c r="B263" s="302">
        <f>SUM(B261:B262)</f>
        <v>17.779999999913745</v>
      </c>
      <c r="C263" s="299" t="str">
        <f>CONCATENATE("(",ROUND((B263/$H263)*100,1),")")</f>
        <v>(57.1)</v>
      </c>
      <c r="D263" s="302">
        <f>SUM(D261:D262)</f>
        <v>6.3559999999857197</v>
      </c>
      <c r="E263" s="299" t="str">
        <f>CONCATENATE("(",ROUND((D263/$H263)*100,1),")")</f>
        <v>(20.4)</v>
      </c>
      <c r="F263" s="302">
        <f>SUM(F261:F262)</f>
        <v>7.0280000000668039</v>
      </c>
      <c r="G263" s="299" t="str">
        <f>CONCATENATE("(",ROUND((F263/$H263)*100,1),")")</f>
        <v>(22.6)</v>
      </c>
      <c r="H263" s="302">
        <f>SUM(H261:H262)</f>
        <v>31.163999999966265</v>
      </c>
      <c r="I263" s="299" t="str">
        <f>CONCATENATE("(",ROUND((H263/$H263)*100,1),")")</f>
        <v>(100)</v>
      </c>
      <c r="K263" s="302">
        <f t="shared" si="202"/>
        <v>-0.71899999980029961</v>
      </c>
      <c r="L263" s="302">
        <f t="shared" si="203"/>
        <v>-6.6999999960440704E-2</v>
      </c>
      <c r="M263" s="302">
        <f t="shared" si="204"/>
        <v>-0.25199999982981591</v>
      </c>
      <c r="N263" s="302">
        <f t="shared" si="205"/>
        <v>-1.0379999995905562</v>
      </c>
    </row>
    <row r="264" spans="1:14" x14ac:dyDescent="0.3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3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3">
      <c r="A266" s="282" t="s">
        <v>355</v>
      </c>
      <c r="B266" s="302">
        <f>'Ind T6'!Q320</f>
        <v>9.1319999999370616</v>
      </c>
      <c r="C266" s="299" t="str">
        <f>CONCATENATE("(",ROUND((B266/$H268)*100,1),")")</f>
        <v>(30.3)</v>
      </c>
      <c r="D266" s="302">
        <f>'Ind T6'!R320</f>
        <v>2.6159999999992962</v>
      </c>
      <c r="E266" s="299" t="str">
        <f>CONCATENATE("(",ROUND((D266/$H268)*100,1),")")</f>
        <v>(8.7)</v>
      </c>
      <c r="F266" s="302">
        <f>'Ind T6'!S320</f>
        <v>4.8570000002146836</v>
      </c>
      <c r="G266" s="299" t="str">
        <f>CONCATENATE("(",ROUND((F266/$H268)*100,1),")")</f>
        <v>(16.1)</v>
      </c>
      <c r="H266" s="302">
        <f>SUM(B266,D266,F266)</f>
        <v>16.60500000015104</v>
      </c>
      <c r="I266" s="299" t="str">
        <f>CONCATENATE("(",ROUND((H266/$H268)*100,1),")")</f>
        <v>(55.1)</v>
      </c>
      <c r="K266" s="302">
        <f>B271-B266</f>
        <v>-0.25900000004848245</v>
      </c>
      <c r="L266" s="302">
        <f>D271-D266</f>
        <v>0.12400000000361233</v>
      </c>
      <c r="M266" s="302">
        <f>F271-F266</f>
        <v>-4.1000000088525113E-2</v>
      </c>
      <c r="N266" s="302">
        <f>SUM(K266:M266)</f>
        <v>-0.17600000013339523</v>
      </c>
    </row>
    <row r="267" spans="1:14" x14ac:dyDescent="0.3">
      <c r="A267" s="282" t="s">
        <v>356</v>
      </c>
      <c r="B267" s="302">
        <f>'Ind T6'!Q319</f>
        <v>7.9290000001763854</v>
      </c>
      <c r="C267" s="299" t="str">
        <f>CONCATENATE("(",ROUND((B267/$H268)*100,1),")")</f>
        <v>(26.3)</v>
      </c>
      <c r="D267" s="302">
        <f>'Ind T6'!R319</f>
        <v>3.6730000000259824</v>
      </c>
      <c r="E267" s="299" t="str">
        <f>CONCATENATE("(",ROUND((D267/$H268)*100,1),")")</f>
        <v>(12.2)</v>
      </c>
      <c r="F267" s="302">
        <f>'Ind T6'!S319</f>
        <v>1.9190000000223044</v>
      </c>
      <c r="G267" s="299" t="str">
        <f>CONCATENATE("(",ROUND((F267/$H268)*100,1),")")</f>
        <v>(6.4)</v>
      </c>
      <c r="H267" s="302">
        <f t="shared" ref="H267" si="206">SUM(B267,D267,F267)</f>
        <v>13.521000000224673</v>
      </c>
      <c r="I267" s="299" t="str">
        <f>CONCATENATE("(",ROUND((H267/$H268)*100,1),")")</f>
        <v>(44.9)</v>
      </c>
      <c r="K267" s="302">
        <f t="shared" ref="K267:K268" si="207">B272-B267</f>
        <v>-7.7000000163225835E-2</v>
      </c>
      <c r="L267" s="302">
        <f t="shared" ref="L267:L268" si="208">D272-D267</f>
        <v>-5.8000000049652556E-2</v>
      </c>
      <c r="M267" s="302">
        <f t="shared" ref="M267:M268" si="209">F272-F267</f>
        <v>-0.11599999998983868</v>
      </c>
      <c r="N267" s="302">
        <f t="shared" ref="N267:N268" si="210">SUM(K267:M267)</f>
        <v>-0.25100000020271707</v>
      </c>
    </row>
    <row r="268" spans="1:14" x14ac:dyDescent="0.3">
      <c r="A268" s="282" t="s">
        <v>354</v>
      </c>
      <c r="B268" s="302">
        <f>SUM(B266:B267)</f>
        <v>17.061000000113445</v>
      </c>
      <c r="C268" s="299" t="str">
        <f>CONCATENATE("(",ROUND((B268/$H268)*100,1),")")</f>
        <v>(56.6)</v>
      </c>
      <c r="D268" s="302">
        <f>SUM(D266:D267)</f>
        <v>6.289000000025279</v>
      </c>
      <c r="E268" s="299" t="str">
        <f>CONCATENATE("(",ROUND((D268/$H268)*100,1),")")</f>
        <v>(20.9)</v>
      </c>
      <c r="F268" s="302">
        <f>SUM(F266:F267)</f>
        <v>6.776000000236988</v>
      </c>
      <c r="G268" s="299" t="str">
        <f>CONCATENATE("(",ROUND((F268/$H268)*100,1),")")</f>
        <v>(22.5)</v>
      </c>
      <c r="H268" s="302">
        <f>SUM(H266:H267)</f>
        <v>30.126000000375711</v>
      </c>
      <c r="I268" s="299" t="str">
        <f>CONCATENATE("(",ROUND((H268/$H268)*100,1),")")</f>
        <v>(100)</v>
      </c>
      <c r="K268" s="302">
        <f t="shared" si="207"/>
        <v>-0.33600000021170473</v>
      </c>
      <c r="L268" s="302">
        <f t="shared" si="208"/>
        <v>6.5999999953959332E-2</v>
      </c>
      <c r="M268" s="302">
        <f t="shared" si="209"/>
        <v>-0.15700000007836401</v>
      </c>
      <c r="N268" s="302">
        <f t="shared" si="210"/>
        <v>-0.42700000033610941</v>
      </c>
    </row>
    <row r="269" spans="1:14" x14ac:dyDescent="0.3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3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3">
      <c r="A271" s="282" t="s">
        <v>355</v>
      </c>
      <c r="B271" s="302">
        <f>'Ind T6'!V320</f>
        <v>8.8729999998885791</v>
      </c>
      <c r="C271" s="299" t="str">
        <f>CONCATENATE("(",ROUND((B271/$H273)*100,1),")")</f>
        <v>(29.9)</v>
      </c>
      <c r="D271" s="302">
        <f>'Ind T6'!W320</f>
        <v>2.7400000000029086</v>
      </c>
      <c r="E271" s="299" t="str">
        <f>CONCATENATE("(",ROUND((D271/$H273)*100,1),")")</f>
        <v>(9.2)</v>
      </c>
      <c r="F271" s="302">
        <f>'Ind T6'!X320</f>
        <v>4.8160000001261585</v>
      </c>
      <c r="G271" s="299" t="str">
        <f>CONCATENATE("(",ROUND((F271/$H273)*100,1),")")</f>
        <v>(16.2)</v>
      </c>
      <c r="H271" s="302">
        <f>SUM(B271,D271,F271)</f>
        <v>16.429000000017645</v>
      </c>
      <c r="I271" s="299" t="str">
        <f>CONCATENATE("(",ROUND((H271/$H273)*100,1),")")</f>
        <v>(55.3)</v>
      </c>
      <c r="K271" s="302">
        <f>B271-B261</f>
        <v>-0.66300000002595638</v>
      </c>
      <c r="L271" s="302">
        <f>D271-D261</f>
        <v>0.14600000000348379</v>
      </c>
      <c r="M271" s="302">
        <f>F271-F261</f>
        <v>-0.19699999993275075</v>
      </c>
      <c r="N271" s="302">
        <f>SUM(K271:M271)</f>
        <v>-0.71399999995522334</v>
      </c>
    </row>
    <row r="272" spans="1:14" x14ac:dyDescent="0.3">
      <c r="A272" s="282" t="s">
        <v>356</v>
      </c>
      <c r="B272" s="302">
        <f>'Ind T6'!V319</f>
        <v>7.8520000000131596</v>
      </c>
      <c r="C272" s="299" t="str">
        <f>CONCATENATE("(",ROUND((B272/$H273)*100,1),")")</f>
        <v>(26.4)</v>
      </c>
      <c r="D272" s="302">
        <f>'Ind T6'!W319</f>
        <v>3.6149999999763298</v>
      </c>
      <c r="E272" s="299" t="str">
        <f>CONCATENATE("(",ROUND((D272/$H273)*100,1),")")</f>
        <v>(12.2)</v>
      </c>
      <c r="F272" s="302">
        <f>'Ind T6'!X319</f>
        <v>1.8030000000324657</v>
      </c>
      <c r="G272" s="299" t="str">
        <f>CONCATENATE("(",ROUND((F272/$H273)*100,1),")")</f>
        <v>(6.1)</v>
      </c>
      <c r="H272" s="302">
        <f t="shared" ref="H272" si="211">SUM(B272,D272,F272)</f>
        <v>13.270000000021955</v>
      </c>
      <c r="I272" s="299" t="str">
        <f>CONCATENATE("(",ROUND((H272/$H273)*100,1),")")</f>
        <v>(44.7)</v>
      </c>
      <c r="K272" s="302">
        <f t="shared" ref="K272:K273" si="212">B272-B262</f>
        <v>-0.39199999998604973</v>
      </c>
      <c r="L272" s="302">
        <f t="shared" ref="L272:L273" si="213">D272-D262</f>
        <v>-0.14700000000996472</v>
      </c>
      <c r="M272" s="302">
        <f t="shared" ref="M272:M273" si="214">F272-F262</f>
        <v>-0.21199999997542895</v>
      </c>
      <c r="N272" s="302">
        <f t="shared" ref="N272:N273" si="215">SUM(K272:M272)</f>
        <v>-0.7509999999714434</v>
      </c>
    </row>
    <row r="273" spans="1:14" x14ac:dyDescent="0.3">
      <c r="A273" s="282" t="s">
        <v>354</v>
      </c>
      <c r="B273" s="302">
        <f>SUM(B271:B272)</f>
        <v>16.72499999990174</v>
      </c>
      <c r="C273" s="299" t="str">
        <f>CONCATENATE("(",ROUND((B273/$H273)*100,1),")")</f>
        <v>(56.3)</v>
      </c>
      <c r="D273" s="302">
        <f>SUM(D271:D272)</f>
        <v>6.3549999999792384</v>
      </c>
      <c r="E273" s="299" t="str">
        <f>CONCATENATE("(",ROUND((D273/$H273)*100,1),")")</f>
        <v>(21.4)</v>
      </c>
      <c r="F273" s="302">
        <f>SUM(F271:F272)</f>
        <v>6.619000000158624</v>
      </c>
      <c r="G273" s="299" t="str">
        <f>CONCATENATE("(",ROUND((F273/$H273)*100,1),")")</f>
        <v>(22.3)</v>
      </c>
      <c r="H273" s="302">
        <f>SUM(H271:H272)</f>
        <v>29.6990000000396</v>
      </c>
      <c r="I273" s="299" t="str">
        <f>CONCATENATE("(",ROUND((H273/$H273)*100,1),")")</f>
        <v>(100)</v>
      </c>
      <c r="K273" s="302">
        <f t="shared" si="212"/>
        <v>-1.0550000000120043</v>
      </c>
      <c r="L273" s="302">
        <f t="shared" si="213"/>
        <v>-1.0000000064813719E-3</v>
      </c>
      <c r="M273" s="302">
        <f t="shared" si="214"/>
        <v>-0.40899999990817992</v>
      </c>
      <c r="N273" s="302">
        <f t="shared" si="215"/>
        <v>-1.4649999999266656</v>
      </c>
    </row>
    <row r="274" spans="1:14" x14ac:dyDescent="0.3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3">
      <c r="A278" s="288"/>
      <c r="B278" s="289" t="s">
        <v>379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3">
      <c r="N279" s="287" t="s">
        <v>377</v>
      </c>
    </row>
    <row r="280" spans="1:14" x14ac:dyDescent="0.3">
      <c r="A280" s="181" t="s">
        <v>378</v>
      </c>
      <c r="B280" s="370" t="s">
        <v>376</v>
      </c>
      <c r="C280" s="370"/>
      <c r="D280" s="370" t="s">
        <v>375</v>
      </c>
      <c r="E280" s="370"/>
      <c r="F280" s="370" t="s">
        <v>374</v>
      </c>
      <c r="G280" s="370"/>
      <c r="H280" s="370" t="s">
        <v>32</v>
      </c>
      <c r="I280" s="370"/>
      <c r="J280" s="181"/>
      <c r="K280" s="297" t="s">
        <v>339</v>
      </c>
      <c r="L280" s="297" t="s">
        <v>341</v>
      </c>
      <c r="M280" s="297" t="s">
        <v>337</v>
      </c>
      <c r="N280" s="297" t="s">
        <v>32</v>
      </c>
    </row>
    <row r="281" spans="1:14" x14ac:dyDescent="0.3">
      <c r="A281" s="292">
        <f>$A$8</f>
        <v>2020</v>
      </c>
      <c r="B281" s="287" t="s">
        <v>60</v>
      </c>
      <c r="C281" s="19" t="s">
        <v>373</v>
      </c>
      <c r="D281" s="287" t="s">
        <v>60</v>
      </c>
      <c r="E281" s="19" t="s">
        <v>373</v>
      </c>
      <c r="F281" s="287" t="s">
        <v>60</v>
      </c>
      <c r="G281" s="19" t="s">
        <v>373</v>
      </c>
      <c r="H281" s="287" t="s">
        <v>60</v>
      </c>
      <c r="I281" s="19" t="s">
        <v>373</v>
      </c>
      <c r="J281" s="181"/>
      <c r="K281" s="286" t="str">
        <f>CONCATENATE(A281," - ",A286)</f>
        <v>2020 - 2025</v>
      </c>
      <c r="L281" s="285"/>
      <c r="M281" s="285"/>
    </row>
    <row r="282" spans="1:14" x14ac:dyDescent="0.3">
      <c r="A282" s="282" t="s">
        <v>355</v>
      </c>
      <c r="B282" s="302">
        <f>'Ind T6'!L345</f>
        <v>49.38699999907044</v>
      </c>
      <c r="C282" s="299" t="str">
        <f>CONCATENATE("(",ROUND((B282/$H284)*100,1),")")</f>
        <v>(59.1)</v>
      </c>
      <c r="D282" s="302">
        <f>'Ind T6'!M345</f>
        <v>4.5919999999712049</v>
      </c>
      <c r="E282" s="299" t="str">
        <f>CONCATENATE("(",ROUND((D282/$H284)*100,1),")")</f>
        <v>(5.5)</v>
      </c>
      <c r="F282" s="302">
        <f>'Ind T6'!N345</f>
        <v>5.2200000000038163</v>
      </c>
      <c r="G282" s="299" t="str">
        <f>CONCATENATE("(",ROUND((F282/$H284)*100,1),")")</f>
        <v>(6.2)</v>
      </c>
      <c r="H282" s="302">
        <f>SUM(B282,D282,F282)</f>
        <v>59.198999999045462</v>
      </c>
      <c r="I282" s="299" t="str">
        <f>CONCATENATE("(",ROUND((H282/$H284)*100,1),")")</f>
        <v>(70.8)</v>
      </c>
      <c r="K282" s="302">
        <f>B287-B282</f>
        <v>1.6200000000759047</v>
      </c>
      <c r="L282" s="302">
        <f>D287-D282</f>
        <v>0.22199999999086195</v>
      </c>
      <c r="M282" s="302">
        <f>F287-F282</f>
        <v>0.33500000011945463</v>
      </c>
      <c r="N282" s="302">
        <f>SUM(K282:M282)</f>
        <v>2.1770000001862213</v>
      </c>
    </row>
    <row r="283" spans="1:14" x14ac:dyDescent="0.3">
      <c r="A283" s="282" t="s">
        <v>356</v>
      </c>
      <c r="B283" s="302">
        <f>'Ind T6'!L344</f>
        <v>19.150999999986126</v>
      </c>
      <c r="C283" s="299" t="str">
        <f>CONCATENATE("(",ROUND((B283/$H284)*100,1),")")</f>
        <v>(22.9)</v>
      </c>
      <c r="D283" s="302">
        <f>'Ind T6'!M344</f>
        <v>4.6290000000364335</v>
      </c>
      <c r="E283" s="299" t="str">
        <f>CONCATENATE("(",ROUND((D283/$H284)*100,1),")")</f>
        <v>(5.5)</v>
      </c>
      <c r="F283" s="302">
        <f>'Ind T6'!N344</f>
        <v>0.65500000000145187</v>
      </c>
      <c r="G283" s="299" t="str">
        <f>CONCATENATE("(",ROUND((F283/$H284)*100,1),")")</f>
        <v>(0.8)</v>
      </c>
      <c r="H283" s="302">
        <f t="shared" ref="H283" si="216">SUM(B283,D283,F283)</f>
        <v>24.435000000024012</v>
      </c>
      <c r="I283" s="299" t="str">
        <f>CONCATENATE("(",ROUND((H283/$H284)*100,1),")")</f>
        <v>(29.2)</v>
      </c>
      <c r="K283" s="302">
        <f t="shared" ref="K283:K284" si="217">B288-B283</f>
        <v>1.2370000005026576</v>
      </c>
      <c r="L283" s="302">
        <f t="shared" ref="L283:L284" si="218">D288-D283</f>
        <v>0.11999999997719346</v>
      </c>
      <c r="M283" s="302">
        <f t="shared" ref="M283:M284" si="219">F288-F283</f>
        <v>3.6000000002977206E-2</v>
      </c>
      <c r="N283" s="302">
        <f t="shared" ref="N283:N284" si="220">SUM(K283:M283)</f>
        <v>1.3930000004828282</v>
      </c>
    </row>
    <row r="284" spans="1:14" x14ac:dyDescent="0.3">
      <c r="A284" s="282" t="s">
        <v>354</v>
      </c>
      <c r="B284" s="302">
        <f>SUM(B282:B283)</f>
        <v>68.537999999056566</v>
      </c>
      <c r="C284" s="299" t="str">
        <f>CONCATENATE("(",ROUND((B284/$H284)*100,1),")")</f>
        <v>(81.9)</v>
      </c>
      <c r="D284" s="302">
        <f>SUM(D282:D283)</f>
        <v>9.2210000000076384</v>
      </c>
      <c r="E284" s="299" t="str">
        <f>CONCATENATE("(",ROUND((D284/$H284)*100,1),")")</f>
        <v>(11)</v>
      </c>
      <c r="F284" s="302">
        <f>SUM(F282:F283)</f>
        <v>5.8750000000052678</v>
      </c>
      <c r="G284" s="299" t="str">
        <f>CONCATENATE("(",ROUND((F284/$H284)*100,1),")")</f>
        <v>(7)</v>
      </c>
      <c r="H284" s="302">
        <f>SUM(H282:H283)</f>
        <v>83.633999999069474</v>
      </c>
      <c r="I284" s="299" t="str">
        <f>CONCATENATE("(",ROUND((H284/$H284)*100,1),")")</f>
        <v>(100)</v>
      </c>
      <c r="K284" s="302">
        <f t="shared" si="217"/>
        <v>2.8570000005785658</v>
      </c>
      <c r="L284" s="302">
        <f t="shared" si="218"/>
        <v>0.3419999999680563</v>
      </c>
      <c r="M284" s="302">
        <f t="shared" si="219"/>
        <v>0.37100000012243228</v>
      </c>
      <c r="N284" s="302">
        <f t="shared" si="220"/>
        <v>3.5700000006690544</v>
      </c>
    </row>
    <row r="285" spans="1:14" x14ac:dyDescent="0.3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3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3">
      <c r="A287" s="282" t="s">
        <v>355</v>
      </c>
      <c r="B287" s="302">
        <f>'Ind T6'!Q345</f>
        <v>51.006999999146345</v>
      </c>
      <c r="C287" s="299" t="str">
        <f>CONCATENATE("(",ROUND((B287/$H289)*100,1),")")</f>
        <v>(58.5)</v>
      </c>
      <c r="D287" s="302">
        <f>'Ind T6'!R345</f>
        <v>4.8139999999620668</v>
      </c>
      <c r="E287" s="299" t="str">
        <f>CONCATENATE("(",ROUND((D287/$H289)*100,1),")")</f>
        <v>(5.5)</v>
      </c>
      <c r="F287" s="302">
        <f>'Ind T6'!S345</f>
        <v>5.5550000001232709</v>
      </c>
      <c r="G287" s="299" t="str">
        <f>CONCATENATE("(",ROUND((F287/$H289)*100,1),")")</f>
        <v>(6.4)</v>
      </c>
      <c r="H287" s="302">
        <f>SUM(B287,D287,F287)</f>
        <v>61.375999999231681</v>
      </c>
      <c r="I287" s="299" t="str">
        <f>CONCATENATE("(",ROUND((H287/$H289)*100,1),")")</f>
        <v>(70.4)</v>
      </c>
      <c r="K287" s="302">
        <f>B292-B287</f>
        <v>1.7399999995042634</v>
      </c>
      <c r="L287" s="302">
        <f>D292-D287</f>
        <v>0.25899999997987333</v>
      </c>
      <c r="M287" s="302">
        <f>F292-F287</f>
        <v>0.38199999990498767</v>
      </c>
      <c r="N287" s="302">
        <f>SUM(K287:M287)</f>
        <v>2.3809999993891244</v>
      </c>
    </row>
    <row r="288" spans="1:14" x14ac:dyDescent="0.3">
      <c r="A288" s="282" t="s">
        <v>356</v>
      </c>
      <c r="B288" s="302">
        <f>'Ind T6'!Q344</f>
        <v>20.388000000488784</v>
      </c>
      <c r="C288" s="299" t="str">
        <f>CONCATENATE("(",ROUND((B288/$H289)*100,1),")")</f>
        <v>(23.4)</v>
      </c>
      <c r="D288" s="302">
        <f>'Ind T6'!R344</f>
        <v>4.749000000013627</v>
      </c>
      <c r="E288" s="299" t="str">
        <f>CONCATENATE("(",ROUND((D288/$H289)*100,1),")")</f>
        <v>(5.4)</v>
      </c>
      <c r="F288" s="302">
        <f>'Ind T6'!S344</f>
        <v>0.69100000000442907</v>
      </c>
      <c r="G288" s="299" t="str">
        <f>CONCATENATE("(",ROUND((F288/$H289)*100,1),")")</f>
        <v>(0.8)</v>
      </c>
      <c r="H288" s="302">
        <f t="shared" ref="H288" si="221">SUM(B288,D288,F288)</f>
        <v>25.82800000050684</v>
      </c>
      <c r="I288" s="299" t="str">
        <f>CONCATENATE("(",ROUND((H288/$H289)*100,1),")")</f>
        <v>(29.6)</v>
      </c>
      <c r="K288" s="302">
        <f t="shared" ref="K288:K289" si="222">B293-B288</f>
        <v>1.8429999995499067</v>
      </c>
      <c r="L288" s="302">
        <f t="shared" ref="L288:L289" si="223">D293-D288</f>
        <v>4.7000000021354182E-2</v>
      </c>
      <c r="M288" s="302">
        <f t="shared" ref="M288:M289" si="224">F293-F288</f>
        <v>3.5000000000622755E-2</v>
      </c>
      <c r="N288" s="302">
        <f t="shared" ref="N288:N289" si="225">SUM(K288:M288)</f>
        <v>1.9249999995718836</v>
      </c>
    </row>
    <row r="289" spans="1:14" x14ac:dyDescent="0.3">
      <c r="A289" s="282" t="s">
        <v>354</v>
      </c>
      <c r="B289" s="302">
        <f>SUM(B287:B288)</f>
        <v>71.394999999635132</v>
      </c>
      <c r="C289" s="299" t="str">
        <f>CONCATENATE("(",ROUND((B289/$H289)*100,1),")")</f>
        <v>(81.9)</v>
      </c>
      <c r="D289" s="302">
        <f>SUM(D287:D288)</f>
        <v>9.5629999999756947</v>
      </c>
      <c r="E289" s="299" t="str">
        <f>CONCATENATE("(",ROUND((D289/$H289)*100,1),")")</f>
        <v>(11)</v>
      </c>
      <c r="F289" s="302">
        <f>SUM(F287:F288)</f>
        <v>6.2460000001277001</v>
      </c>
      <c r="G289" s="299" t="str">
        <f>CONCATENATE("(",ROUND((F289/$H289)*100,1),")")</f>
        <v>(7.2)</v>
      </c>
      <c r="H289" s="302">
        <f>SUM(H287:H288)</f>
        <v>87.203999999738528</v>
      </c>
      <c r="I289" s="299" t="str">
        <f>CONCATENATE("(",ROUND((H289/$H289)*100,1),")")</f>
        <v>(100)</v>
      </c>
      <c r="K289" s="302">
        <f t="shared" si="222"/>
        <v>3.5829999990541666</v>
      </c>
      <c r="L289" s="302">
        <f t="shared" si="223"/>
        <v>0.30600000000122662</v>
      </c>
      <c r="M289" s="302">
        <f t="shared" si="224"/>
        <v>0.41699999990561043</v>
      </c>
      <c r="N289" s="302">
        <f t="shared" si="225"/>
        <v>4.3059999989610036</v>
      </c>
    </row>
    <row r="290" spans="1:14" x14ac:dyDescent="0.3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3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3">
      <c r="A292" s="282" t="s">
        <v>355</v>
      </c>
      <c r="B292" s="302">
        <f>'Ind T6'!V345</f>
        <v>52.746999998650608</v>
      </c>
      <c r="C292" s="299" t="str">
        <f>CONCATENATE("(",ROUND((B292/$H294)*100,1),")")</f>
        <v>(57.6)</v>
      </c>
      <c r="D292" s="302">
        <f>'Ind T6'!W345</f>
        <v>5.0729999999419402</v>
      </c>
      <c r="E292" s="299" t="str">
        <f>CONCATENATE("(",ROUND((D292/$H294)*100,1),")")</f>
        <v>(5.5)</v>
      </c>
      <c r="F292" s="302">
        <f>'Ind T6'!X345</f>
        <v>5.9370000000282586</v>
      </c>
      <c r="G292" s="299" t="str">
        <f>CONCATENATE("(",ROUND((F292/$H294)*100,1),")")</f>
        <v>(6.5)</v>
      </c>
      <c r="H292" s="302">
        <f>SUM(B292,D292,F292)</f>
        <v>63.756999998620806</v>
      </c>
      <c r="I292" s="299" t="str">
        <f>CONCATENATE("(",ROUND((H292/$H294)*100,1),")")</f>
        <v>(69.7)</v>
      </c>
      <c r="K292" s="302">
        <f>B292-B282</f>
        <v>3.3599999995801682</v>
      </c>
      <c r="L292" s="302">
        <f>D292-D282</f>
        <v>0.48099999997073528</v>
      </c>
      <c r="M292" s="302">
        <f>F292-F282</f>
        <v>0.71700000002444231</v>
      </c>
      <c r="N292" s="302">
        <f>SUM(K292:M292)</f>
        <v>4.5579999995753457</v>
      </c>
    </row>
    <row r="293" spans="1:14" x14ac:dyDescent="0.3">
      <c r="A293" s="282" t="s">
        <v>356</v>
      </c>
      <c r="B293" s="302">
        <f>'Ind T6'!V344</f>
        <v>22.231000000038691</v>
      </c>
      <c r="C293" s="299" t="str">
        <f>CONCATENATE("(",ROUND((B293/$H294)*100,1),")")</f>
        <v>(24.3)</v>
      </c>
      <c r="D293" s="302">
        <f>'Ind T6'!W344</f>
        <v>4.7960000000349812</v>
      </c>
      <c r="E293" s="299" t="str">
        <f>CONCATENATE("(",ROUND((D293/$H294)*100,1),")")</f>
        <v>(5.2)</v>
      </c>
      <c r="F293" s="302">
        <f>'Ind T6'!X344</f>
        <v>0.72600000000505183</v>
      </c>
      <c r="G293" s="299" t="str">
        <f>CONCATENATE("(",ROUND((F293/$H294)*100,1),")")</f>
        <v>(0.8)</v>
      </c>
      <c r="H293" s="302">
        <f t="shared" ref="H293" si="226">SUM(B293,D293,F293)</f>
        <v>27.753000000078721</v>
      </c>
      <c r="I293" s="299" t="str">
        <f>CONCATENATE("(",ROUND((H293/$H294)*100,1),")")</f>
        <v>(30.3)</v>
      </c>
      <c r="K293" s="302">
        <f t="shared" ref="K293:K294" si="227">B293-B283</f>
        <v>3.0800000000525642</v>
      </c>
      <c r="L293" s="302">
        <f t="shared" ref="L293:L294" si="228">D293-D283</f>
        <v>0.16699999999854764</v>
      </c>
      <c r="M293" s="302">
        <f t="shared" ref="M293:M294" si="229">F293-F283</f>
        <v>7.1000000003599961E-2</v>
      </c>
      <c r="N293" s="302">
        <f t="shared" ref="N293:N294" si="230">SUM(K293:M293)</f>
        <v>3.3180000000547119</v>
      </c>
    </row>
    <row r="294" spans="1:14" x14ac:dyDescent="0.3">
      <c r="A294" s="282" t="s">
        <v>354</v>
      </c>
      <c r="B294" s="302">
        <f>SUM(B292:B293)</f>
        <v>74.977999998689299</v>
      </c>
      <c r="C294" s="299" t="str">
        <f>CONCATENATE("(",ROUND((B294/$H294)*100,1),")")</f>
        <v>(81.9)</v>
      </c>
      <c r="D294" s="302">
        <f>SUM(D292:D293)</f>
        <v>9.8689999999769213</v>
      </c>
      <c r="E294" s="299" t="str">
        <f>CONCATENATE("(",ROUND((D294/$H294)*100,1),")")</f>
        <v>(10.8)</v>
      </c>
      <c r="F294" s="302">
        <f>SUM(F292:F293)</f>
        <v>6.6630000000333105</v>
      </c>
      <c r="G294" s="299" t="str">
        <f>CONCATENATE("(",ROUND((F294/$H294)*100,1),")")</f>
        <v>(7.3)</v>
      </c>
      <c r="H294" s="302">
        <f>SUM(H292:H293)</f>
        <v>91.509999998699527</v>
      </c>
      <c r="I294" s="299" t="str">
        <f>CONCATENATE("(",ROUND((H294/$H294)*100,1),")")</f>
        <v>(100)</v>
      </c>
      <c r="K294" s="302">
        <f t="shared" si="227"/>
        <v>6.4399999996327324</v>
      </c>
      <c r="L294" s="302">
        <f t="shared" si="228"/>
        <v>0.64799999996928292</v>
      </c>
      <c r="M294" s="302">
        <f t="shared" si="229"/>
        <v>0.78800000002804271</v>
      </c>
      <c r="N294" s="302">
        <f t="shared" si="230"/>
        <v>7.875999999630058</v>
      </c>
    </row>
    <row r="295" spans="1:14" x14ac:dyDescent="0.3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3">
      <c r="A299" s="288"/>
      <c r="B299" s="289" t="s">
        <v>379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3">
      <c r="N300" s="287" t="s">
        <v>377</v>
      </c>
    </row>
    <row r="301" spans="1:14" x14ac:dyDescent="0.3">
      <c r="A301" s="181" t="s">
        <v>378</v>
      </c>
      <c r="B301" s="370" t="s">
        <v>376</v>
      </c>
      <c r="C301" s="370"/>
      <c r="D301" s="370" t="s">
        <v>375</v>
      </c>
      <c r="E301" s="370"/>
      <c r="F301" s="370" t="s">
        <v>374</v>
      </c>
      <c r="G301" s="370"/>
      <c r="H301" s="370" t="s">
        <v>32</v>
      </c>
      <c r="I301" s="370"/>
      <c r="J301" s="181"/>
      <c r="K301" s="297" t="s">
        <v>339</v>
      </c>
      <c r="L301" s="297" t="s">
        <v>341</v>
      </c>
      <c r="M301" s="297" t="s">
        <v>337</v>
      </c>
      <c r="N301" s="297" t="s">
        <v>32</v>
      </c>
    </row>
    <row r="302" spans="1:14" x14ac:dyDescent="0.3">
      <c r="A302" s="292">
        <f>$A$8</f>
        <v>2020</v>
      </c>
      <c r="B302" s="287" t="s">
        <v>60</v>
      </c>
      <c r="C302" s="19" t="s">
        <v>373</v>
      </c>
      <c r="D302" s="287" t="s">
        <v>60</v>
      </c>
      <c r="E302" s="19" t="s">
        <v>373</v>
      </c>
      <c r="F302" s="287" t="s">
        <v>60</v>
      </c>
      <c r="G302" s="19" t="s">
        <v>373</v>
      </c>
      <c r="H302" s="287" t="s">
        <v>60</v>
      </c>
      <c r="I302" s="19" t="s">
        <v>373</v>
      </c>
      <c r="J302" s="181"/>
      <c r="K302" s="286" t="str">
        <f>CONCATENATE(A302," - ",A307)</f>
        <v>2020 - 2025</v>
      </c>
      <c r="L302" s="285"/>
      <c r="M302" s="285"/>
    </row>
    <row r="303" spans="1:14" x14ac:dyDescent="0.3">
      <c r="A303" s="282" t="s">
        <v>355</v>
      </c>
      <c r="B303" s="302">
        <f>'Ind T6'!L370</f>
        <v>30.534999999531898</v>
      </c>
      <c r="C303" s="299" t="str">
        <f>CONCATENATE("(",ROUND((B303/$H305)*100,1),")")</f>
        <v>(39.1)</v>
      </c>
      <c r="D303" s="302">
        <f>'Ind T6'!M370</f>
        <v>1.8110000000029767</v>
      </c>
      <c r="E303" s="299" t="str">
        <f>CONCATENATE("(",ROUND((D303/$H305)*100,1),")")</f>
        <v>(2.3)</v>
      </c>
      <c r="F303" s="302">
        <f>'Ind T6'!N370</f>
        <v>3.3160000000281262</v>
      </c>
      <c r="G303" s="299" t="str">
        <f>CONCATENATE("(",ROUND((F303/$H305)*100,1),")")</f>
        <v>(4.2)</v>
      </c>
      <c r="H303" s="302">
        <f>SUM(B303,D303,F303)</f>
        <v>35.661999999563001</v>
      </c>
      <c r="I303" s="299" t="str">
        <f>CONCATENATE("(",ROUND((H303/$H305)*100,1),")")</f>
        <v>(45.6)</v>
      </c>
      <c r="K303" s="302">
        <f>B308-B303</f>
        <v>-1.1039999998994183</v>
      </c>
      <c r="L303" s="302">
        <f>D308-D303</f>
        <v>6.0000000049025282E-3</v>
      </c>
      <c r="M303" s="302">
        <f>F308-F303</f>
        <v>4.1000000098374123E-2</v>
      </c>
      <c r="N303" s="302">
        <f>SUM(K303:M303)</f>
        <v>-1.0569999997961417</v>
      </c>
    </row>
    <row r="304" spans="1:14" x14ac:dyDescent="0.3">
      <c r="A304" s="282" t="s">
        <v>356</v>
      </c>
      <c r="B304" s="302">
        <f>'Ind T6'!L369</f>
        <v>29.491999999968051</v>
      </c>
      <c r="C304" s="299" t="str">
        <f>CONCATENATE("(",ROUND((B304/$H305)*100,1),")")</f>
        <v>(37.7)</v>
      </c>
      <c r="D304" s="302">
        <f>'Ind T6'!M369</f>
        <v>8.5800000000096794</v>
      </c>
      <c r="E304" s="299" t="str">
        <f>CONCATENATE("(",ROUND((D304/$H305)*100,1),")")</f>
        <v>(11)</v>
      </c>
      <c r="F304" s="302">
        <f>'Ind T6'!N369</f>
        <v>4.4389999999576766</v>
      </c>
      <c r="G304" s="299" t="str">
        <f>CONCATENATE("(",ROUND((F304/$H305)*100,1),")")</f>
        <v>(5.7)</v>
      </c>
      <c r="H304" s="302">
        <f t="shared" ref="H304" si="231">SUM(B304,D304,F304)</f>
        <v>42.510999999935407</v>
      </c>
      <c r="I304" s="299" t="str">
        <f>CONCATENATE("(",ROUND((H304/$H305)*100,1),")")</f>
        <v>(54.4)</v>
      </c>
      <c r="K304" s="302">
        <f t="shared" ref="K304:K305" si="232">B309-B304</f>
        <v>-1.1849999991242193</v>
      </c>
      <c r="L304" s="302">
        <f t="shared" ref="L304:L305" si="233">D309-D304</f>
        <v>-0.43199999992639171</v>
      </c>
      <c r="M304" s="302">
        <f t="shared" ref="M304:M305" si="234">F309-F304</f>
        <v>1.4000000040364391E-2</v>
      </c>
      <c r="N304" s="302">
        <f t="shared" ref="N304:N305" si="235">SUM(K304:M304)</f>
        <v>-1.6029999990102466</v>
      </c>
    </row>
    <row r="305" spans="1:14" x14ac:dyDescent="0.3">
      <c r="A305" s="282" t="s">
        <v>354</v>
      </c>
      <c r="B305" s="302">
        <f>SUM(B303:B304)</f>
        <v>60.026999999499949</v>
      </c>
      <c r="C305" s="299" t="str">
        <f>CONCATENATE("(",ROUND((B305/$H305)*100,1),")")</f>
        <v>(76.8)</v>
      </c>
      <c r="D305" s="302">
        <f>SUM(D303:D304)</f>
        <v>10.391000000012657</v>
      </c>
      <c r="E305" s="299" t="str">
        <f>CONCATENATE("(",ROUND((D305/$H305)*100,1),")")</f>
        <v>(13.3)</v>
      </c>
      <c r="F305" s="302">
        <f>SUM(F303:F304)</f>
        <v>7.7549999999858024</v>
      </c>
      <c r="G305" s="299" t="str">
        <f>CONCATENATE("(",ROUND((F305/$H305)*100,1),")")</f>
        <v>(9.9)</v>
      </c>
      <c r="H305" s="302">
        <f>SUM(H303:H304)</f>
        <v>78.172999999498415</v>
      </c>
      <c r="I305" s="299" t="str">
        <f>CONCATENATE("(",ROUND((H305/$H305)*100,1),")")</f>
        <v>(100)</v>
      </c>
      <c r="K305" s="302">
        <f t="shared" si="232"/>
        <v>-2.2889999990236376</v>
      </c>
      <c r="L305" s="302">
        <f t="shared" si="233"/>
        <v>-0.42599999992149051</v>
      </c>
      <c r="M305" s="302">
        <f t="shared" si="234"/>
        <v>5.5000000138738514E-2</v>
      </c>
      <c r="N305" s="302">
        <f t="shared" si="235"/>
        <v>-2.6599999988063896</v>
      </c>
    </row>
    <row r="306" spans="1:14" x14ac:dyDescent="0.3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3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3">
      <c r="A308" s="282" t="s">
        <v>355</v>
      </c>
      <c r="B308" s="302">
        <f>'Ind T6'!Q370</f>
        <v>29.43099999963248</v>
      </c>
      <c r="C308" s="299" t="str">
        <f>CONCATENATE("(",ROUND((B308/$H310)*100,1),")")</f>
        <v>(39)</v>
      </c>
      <c r="D308" s="302">
        <f>'Ind T6'!R370</f>
        <v>1.8170000000078792</v>
      </c>
      <c r="E308" s="299" t="str">
        <f>CONCATENATE("(",ROUND((D308/$H310)*100,1),")")</f>
        <v>(2.4)</v>
      </c>
      <c r="F308" s="302">
        <f>'Ind T6'!S370</f>
        <v>3.3570000001265003</v>
      </c>
      <c r="G308" s="299" t="str">
        <f>CONCATENATE("(",ROUND((F308/$H310)*100,1),")")</f>
        <v>(4.4)</v>
      </c>
      <c r="H308" s="302">
        <f>SUM(B308,D308,F308)</f>
        <v>34.604999999766861</v>
      </c>
      <c r="I308" s="299" t="str">
        <f>CONCATENATE("(",ROUND((H308/$H310)*100,1),")")</f>
        <v>(45.8)</v>
      </c>
      <c r="K308" s="302">
        <f>B313-B308</f>
        <v>-2.8260000002335381</v>
      </c>
      <c r="L308" s="302">
        <f>D313-D308</f>
        <v>-6.1999999991199983E-2</v>
      </c>
      <c r="M308" s="302">
        <f>F313-F308</f>
        <v>-0.20000000005736496</v>
      </c>
      <c r="N308" s="302">
        <f>SUM(K308:M308)</f>
        <v>-3.0880000002821033</v>
      </c>
    </row>
    <row r="309" spans="1:14" x14ac:dyDescent="0.3">
      <c r="A309" s="282" t="s">
        <v>356</v>
      </c>
      <c r="B309" s="302">
        <f>'Ind T6'!Q369</f>
        <v>28.307000000843832</v>
      </c>
      <c r="C309" s="299" t="str">
        <f>CONCATENATE("(",ROUND((B309/$H310)*100,1),")")</f>
        <v>(37.5)</v>
      </c>
      <c r="D309" s="302">
        <f>'Ind T6'!R369</f>
        <v>8.1480000000832877</v>
      </c>
      <c r="E309" s="299" t="str">
        <f>CONCATENATE("(",ROUND((D309/$H310)*100,1),")")</f>
        <v>(10.8)</v>
      </c>
      <c r="F309" s="302">
        <f>'Ind T6'!S369</f>
        <v>4.452999999998041</v>
      </c>
      <c r="G309" s="299" t="str">
        <f>CONCATENATE("(",ROUND((F309/$H310)*100,1),")")</f>
        <v>(5.9)</v>
      </c>
      <c r="H309" s="302">
        <f t="shared" ref="H309" si="236">SUM(B309,D309,F309)</f>
        <v>40.908000000925163</v>
      </c>
      <c r="I309" s="299" t="str">
        <f>CONCATENATE("(",ROUND((H309/$H310)*100,1),")")</f>
        <v>(54.2)</v>
      </c>
      <c r="K309" s="302">
        <f t="shared" ref="K309:K310" si="237">B314-B309</f>
        <v>-2.8020000006465331</v>
      </c>
      <c r="L309" s="302">
        <f t="shared" ref="L309:L310" si="238">D314-D309</f>
        <v>-0.87500000008102852</v>
      </c>
      <c r="M309" s="302">
        <f t="shared" ref="M309:M310" si="239">F314-F309</f>
        <v>-0.36699999999729105</v>
      </c>
      <c r="N309" s="302">
        <f t="shared" ref="N309:N310" si="240">SUM(K309:M309)</f>
        <v>-4.0440000007248527</v>
      </c>
    </row>
    <row r="310" spans="1:14" x14ac:dyDescent="0.3">
      <c r="A310" s="282" t="s">
        <v>354</v>
      </c>
      <c r="B310" s="302">
        <f>SUM(B308:B309)</f>
        <v>57.738000000476312</v>
      </c>
      <c r="C310" s="299" t="str">
        <f>CONCATENATE("(",ROUND((B310/$H310)*100,1),")")</f>
        <v>(76.5)</v>
      </c>
      <c r="D310" s="302">
        <f>SUM(D308:D309)</f>
        <v>9.965000000091166</v>
      </c>
      <c r="E310" s="299" t="str">
        <f>CONCATENATE("(",ROUND((D310/$H310)*100,1),")")</f>
        <v>(13.2)</v>
      </c>
      <c r="F310" s="302">
        <f>SUM(F308:F309)</f>
        <v>7.8100000001245409</v>
      </c>
      <c r="G310" s="299" t="str">
        <f>CONCATENATE("(",ROUND((F310/$H310)*100,1),")")</f>
        <v>(10.3)</v>
      </c>
      <c r="H310" s="302">
        <f>SUM(H308:H309)</f>
        <v>75.513000000692017</v>
      </c>
      <c r="I310" s="299" t="str">
        <f>CONCATENATE("(",ROUND((H310/$H310)*100,1),")")</f>
        <v>(100)</v>
      </c>
      <c r="K310" s="302">
        <f t="shared" si="237"/>
        <v>-5.6280000008800712</v>
      </c>
      <c r="L310" s="302">
        <f t="shared" si="238"/>
        <v>-0.93700000007222783</v>
      </c>
      <c r="M310" s="302">
        <f t="shared" si="239"/>
        <v>-0.56700000005465512</v>
      </c>
      <c r="N310" s="302">
        <f t="shared" si="240"/>
        <v>-7.1320000010069542</v>
      </c>
    </row>
    <row r="311" spans="1:14" x14ac:dyDescent="0.3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3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3">
      <c r="A313" s="282" t="s">
        <v>355</v>
      </c>
      <c r="B313" s="302">
        <f>'Ind T6'!V370</f>
        <v>26.604999999398942</v>
      </c>
      <c r="C313" s="299" t="str">
        <f>CONCATENATE("(",ROUND((B313/$H315)*100,1),")")</f>
        <v>(38.9)</v>
      </c>
      <c r="D313" s="302">
        <f>'Ind T6'!W370</f>
        <v>1.7550000000166792</v>
      </c>
      <c r="E313" s="299" t="str">
        <f>CONCATENATE("(",ROUND((D313/$H315)*100,1),")")</f>
        <v>(2.6)</v>
      </c>
      <c r="F313" s="302">
        <f>'Ind T6'!X370</f>
        <v>3.1570000000691354</v>
      </c>
      <c r="G313" s="299" t="str">
        <f>CONCATENATE("(",ROUND((F313/$H315)*100,1),")")</f>
        <v>(4.6)</v>
      </c>
      <c r="H313" s="302">
        <f>SUM(B313,D313,F313)</f>
        <v>31.516999999484757</v>
      </c>
      <c r="I313" s="299" t="str">
        <f>CONCATENATE("(",ROUND((H313/$H315)*100,1),")")</f>
        <v>(46.1)</v>
      </c>
      <c r="K313" s="302">
        <f>B313-B303</f>
        <v>-3.9300000001329565</v>
      </c>
      <c r="L313" s="302">
        <f>D313-D303</f>
        <v>-5.5999999986297455E-2</v>
      </c>
      <c r="M313" s="302">
        <f>F313-F303</f>
        <v>-0.15899999995899083</v>
      </c>
      <c r="N313" s="302">
        <f>SUM(K313:M313)</f>
        <v>-4.1450000000782445</v>
      </c>
    </row>
    <row r="314" spans="1:14" x14ac:dyDescent="0.3">
      <c r="A314" s="282" t="s">
        <v>356</v>
      </c>
      <c r="B314" s="302">
        <f>'Ind T6'!V369</f>
        <v>25.505000000197299</v>
      </c>
      <c r="C314" s="299" t="str">
        <f>CONCATENATE("(",ROUND((B314/$H315)*100,1),")")</f>
        <v>(37.3)</v>
      </c>
      <c r="D314" s="302">
        <f>'Ind T6'!W369</f>
        <v>7.2730000000022592</v>
      </c>
      <c r="E314" s="299" t="str">
        <f>CONCATENATE("(",ROUND((D314/$H315)*100,1),")")</f>
        <v>(10.6)</v>
      </c>
      <c r="F314" s="302">
        <f>'Ind T6'!X369</f>
        <v>4.0860000000007499</v>
      </c>
      <c r="G314" s="299" t="str">
        <f>CONCATENATE("(",ROUND((F314/$H315)*100,1),")")</f>
        <v>(6)</v>
      </c>
      <c r="H314" s="302">
        <f t="shared" ref="H314" si="241">SUM(B314,D314,F314)</f>
        <v>36.864000000200306</v>
      </c>
      <c r="I314" s="299" t="str">
        <f>CONCATENATE("(",ROUND((H314/$H315)*100,1),")")</f>
        <v>(53.9)</v>
      </c>
      <c r="K314" s="302">
        <f t="shared" ref="K314:K315" si="242">B314-B304</f>
        <v>-3.9869999997707524</v>
      </c>
      <c r="L314" s="302">
        <f t="shared" ref="L314:L315" si="243">D314-D304</f>
        <v>-1.3070000000074202</v>
      </c>
      <c r="M314" s="302">
        <f t="shared" ref="M314:M315" si="244">F314-F304</f>
        <v>-0.35299999995692666</v>
      </c>
      <c r="N314" s="302">
        <f t="shared" ref="N314:N315" si="245">SUM(K314:M314)</f>
        <v>-5.6469999997350993</v>
      </c>
    </row>
    <row r="315" spans="1:14" x14ac:dyDescent="0.3">
      <c r="A315" s="282" t="s">
        <v>354</v>
      </c>
      <c r="B315" s="302">
        <f>SUM(B313:B314)</f>
        <v>52.109999999596241</v>
      </c>
      <c r="C315" s="299" t="str">
        <f>CONCATENATE("(",ROUND((B315/$H315)*100,1),")")</f>
        <v>(76.2)</v>
      </c>
      <c r="D315" s="302">
        <f>SUM(D313:D314)</f>
        <v>9.0280000000189382</v>
      </c>
      <c r="E315" s="299" t="str">
        <f>CONCATENATE("(",ROUND((D315/$H315)*100,1),")")</f>
        <v>(13.2)</v>
      </c>
      <c r="F315" s="302">
        <f>SUM(F313:F314)</f>
        <v>7.2430000000698858</v>
      </c>
      <c r="G315" s="299" t="str">
        <f>CONCATENATE("(",ROUND((F315/$H315)*100,1),")")</f>
        <v>(10.6)</v>
      </c>
      <c r="H315" s="302">
        <f>SUM(H313:H314)</f>
        <v>68.380999999685059</v>
      </c>
      <c r="I315" s="299" t="str">
        <f>CONCATENATE("(",ROUND((H315/$H315)*100,1),")")</f>
        <v>(100)</v>
      </c>
      <c r="K315" s="302">
        <f t="shared" si="242"/>
        <v>-7.9169999999037088</v>
      </c>
      <c r="L315" s="302">
        <f t="shared" si="243"/>
        <v>-1.3629999999937183</v>
      </c>
      <c r="M315" s="302">
        <f t="shared" si="244"/>
        <v>-0.5119999999159166</v>
      </c>
      <c r="N315" s="302">
        <f t="shared" si="245"/>
        <v>-9.7919999998133438</v>
      </c>
    </row>
    <row r="316" spans="1:14" x14ac:dyDescent="0.3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3">
      <c r="A320" s="288"/>
      <c r="B320" s="289" t="s">
        <v>379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3">
      <c r="N321" s="287" t="s">
        <v>377</v>
      </c>
    </row>
    <row r="322" spans="1:14" x14ac:dyDescent="0.3">
      <c r="A322" s="181" t="s">
        <v>378</v>
      </c>
      <c r="B322" s="370" t="s">
        <v>376</v>
      </c>
      <c r="C322" s="370"/>
      <c r="D322" s="370" t="s">
        <v>375</v>
      </c>
      <c r="E322" s="370"/>
      <c r="F322" s="370" t="s">
        <v>374</v>
      </c>
      <c r="G322" s="370"/>
      <c r="H322" s="370" t="s">
        <v>32</v>
      </c>
      <c r="I322" s="370"/>
      <c r="J322" s="181"/>
      <c r="K322" s="297" t="s">
        <v>339</v>
      </c>
      <c r="L322" s="297" t="s">
        <v>341</v>
      </c>
      <c r="M322" s="297" t="s">
        <v>337</v>
      </c>
      <c r="N322" s="297" t="s">
        <v>32</v>
      </c>
    </row>
    <row r="323" spans="1:14" x14ac:dyDescent="0.3">
      <c r="A323" s="292">
        <f>$A$8</f>
        <v>2020</v>
      </c>
      <c r="B323" s="287" t="s">
        <v>60</v>
      </c>
      <c r="C323" s="19" t="s">
        <v>373</v>
      </c>
      <c r="D323" s="287" t="s">
        <v>60</v>
      </c>
      <c r="E323" s="19" t="s">
        <v>373</v>
      </c>
      <c r="F323" s="287" t="s">
        <v>60</v>
      </c>
      <c r="G323" s="19" t="s">
        <v>373</v>
      </c>
      <c r="H323" s="287" t="s">
        <v>60</v>
      </c>
      <c r="I323" s="19" t="s">
        <v>373</v>
      </c>
      <c r="J323" s="181"/>
      <c r="K323" s="286" t="str">
        <f>CONCATENATE(A323," - ",A328)</f>
        <v>2020 - 2025</v>
      </c>
      <c r="L323" s="285"/>
      <c r="M323" s="285"/>
    </row>
    <row r="324" spans="1:14" x14ac:dyDescent="0.3">
      <c r="A324" s="282" t="s">
        <v>355</v>
      </c>
      <c r="B324" s="302">
        <f>'Ind T6'!L380</f>
        <v>16.51599999983619</v>
      </c>
      <c r="C324" s="299" t="str">
        <f>CONCATENATE("(",ROUND((B324/$H326)*100,1),")")</f>
        <v>(31.8)</v>
      </c>
      <c r="D324" s="302">
        <f>'Ind T6'!M380</f>
        <v>4.1729999999695284</v>
      </c>
      <c r="E324" s="299" t="str">
        <f>CONCATENATE("(",ROUND((D324/$H326)*100,1),")")</f>
        <v>(8)</v>
      </c>
      <c r="F324" s="302">
        <f>'Ind T6'!N380</f>
        <v>2.8440000000095087</v>
      </c>
      <c r="G324" s="299" t="str">
        <f>CONCATENATE("(",ROUND((F324/$H326)*100,1),")")</f>
        <v>(5.5)</v>
      </c>
      <c r="H324" s="302">
        <f>SUM(B324,D324,F324)</f>
        <v>23.532999999815225</v>
      </c>
      <c r="I324" s="299" t="str">
        <f>CONCATENATE("(",ROUND((H324/$H326)*100,1),")")</f>
        <v>(45.3)</v>
      </c>
      <c r="K324" s="302">
        <f>B329-B324</f>
        <v>0.22600000007074073</v>
      </c>
      <c r="L324" s="302">
        <f>D329-D324</f>
        <v>6.9000000001598671E-2</v>
      </c>
      <c r="M324" s="302">
        <f>F329-F324</f>
        <v>0.18999999999213824</v>
      </c>
      <c r="N324" s="302">
        <f>SUM(K324:M324)</f>
        <v>0.48500000006447763</v>
      </c>
    </row>
    <row r="325" spans="1:14" x14ac:dyDescent="0.3">
      <c r="A325" s="282" t="s">
        <v>356</v>
      </c>
      <c r="B325" s="302">
        <f>'Ind T6'!L379</f>
        <v>16.384999999887558</v>
      </c>
      <c r="C325" s="299" t="str">
        <f>CONCATENATE("(",ROUND((B325/$H326)*100,1),")")</f>
        <v>(31.5)</v>
      </c>
      <c r="D325" s="302">
        <f>'Ind T6'!M379</f>
        <v>8.4909999999846857</v>
      </c>
      <c r="E325" s="299" t="str">
        <f>CONCATENATE("(",ROUND((D325/$H326)*100,1),")")</f>
        <v>(16.3)</v>
      </c>
      <c r="F325" s="302">
        <f>'Ind T6'!N379</f>
        <v>3.5759999999605068</v>
      </c>
      <c r="G325" s="299" t="str">
        <f>CONCATENATE("(",ROUND((F325/$H326)*100,1),")")</f>
        <v>(6.9)</v>
      </c>
      <c r="H325" s="302">
        <f t="shared" ref="H325" si="246">SUM(B325,D325,F325)</f>
        <v>28.451999999832751</v>
      </c>
      <c r="I325" s="299" t="str">
        <f>CONCATENATE("(",ROUND((H325/$H326)*100,1),")")</f>
        <v>(54.7)</v>
      </c>
      <c r="K325" s="302">
        <f t="shared" ref="K325:K326" si="247">B330-B325</f>
        <v>0.82800000045315514</v>
      </c>
      <c r="L325" s="302">
        <f t="shared" ref="L325:L326" si="248">D330-D325</f>
        <v>-0.25299999989137767</v>
      </c>
      <c r="M325" s="302">
        <f t="shared" ref="M325:M326" si="249">F330-F325</f>
        <v>0.1030000000436293</v>
      </c>
      <c r="N325" s="302">
        <f t="shared" ref="N325:N326" si="250">SUM(K325:M325)</f>
        <v>0.67800000060540677</v>
      </c>
    </row>
    <row r="326" spans="1:14" x14ac:dyDescent="0.3">
      <c r="A326" s="282" t="s">
        <v>354</v>
      </c>
      <c r="B326" s="302">
        <f>SUM(B324:B325)</f>
        <v>32.900999999723751</v>
      </c>
      <c r="C326" s="299" t="str">
        <f>CONCATENATE("(",ROUND((B326/$H326)*100,1),")")</f>
        <v>(63.3)</v>
      </c>
      <c r="D326" s="302">
        <f>SUM(D324:D325)</f>
        <v>12.663999999954214</v>
      </c>
      <c r="E326" s="299" t="str">
        <f>CONCATENATE("(",ROUND((D326/$H326)*100,1),")")</f>
        <v>(24.4)</v>
      </c>
      <c r="F326" s="302">
        <f>SUM(F324:F325)</f>
        <v>6.419999999970015</v>
      </c>
      <c r="G326" s="299" t="str">
        <f>CONCATENATE("(",ROUND((F326/$H326)*100,1),")")</f>
        <v>(12.3)</v>
      </c>
      <c r="H326" s="302">
        <f>SUM(H324:H325)</f>
        <v>51.984999999647975</v>
      </c>
      <c r="I326" s="299" t="str">
        <f>CONCATENATE("(",ROUND((H326/$H326)*100,1),")")</f>
        <v>(100)</v>
      </c>
      <c r="K326" s="302">
        <f t="shared" si="247"/>
        <v>1.0540000005238923</v>
      </c>
      <c r="L326" s="302">
        <f t="shared" si="248"/>
        <v>-0.18399999988977811</v>
      </c>
      <c r="M326" s="302">
        <f t="shared" si="249"/>
        <v>0.29300000003576798</v>
      </c>
      <c r="N326" s="302">
        <f t="shared" si="250"/>
        <v>1.1630000006698822</v>
      </c>
    </row>
    <row r="327" spans="1:14" x14ac:dyDescent="0.3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3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3">
      <c r="A329" s="282" t="s">
        <v>355</v>
      </c>
      <c r="B329" s="302">
        <f>'Ind T6'!Q380</f>
        <v>16.74199999990693</v>
      </c>
      <c r="C329" s="299" t="str">
        <f>CONCATENATE("(",ROUND((B329/$H331)*100,1),")")</f>
        <v>(31.5)</v>
      </c>
      <c r="D329" s="302">
        <f>'Ind T6'!R380</f>
        <v>4.2419999999711271</v>
      </c>
      <c r="E329" s="299" t="str">
        <f>CONCATENATE("(",ROUND((D329/$H331)*100,1),")")</f>
        <v>(8)</v>
      </c>
      <c r="F329" s="302">
        <f>'Ind T6'!S380</f>
        <v>3.0340000000016469</v>
      </c>
      <c r="G329" s="299" t="str">
        <f>CONCATENATE("(",ROUND((F329/$H331)*100,1),")")</f>
        <v>(5.7)</v>
      </c>
      <c r="H329" s="302">
        <f>SUM(B329,D329,F329)</f>
        <v>24.017999999879706</v>
      </c>
      <c r="I329" s="299" t="str">
        <f>CONCATENATE("(",ROUND((H329/$H331)*100,1),")")</f>
        <v>(45.2)</v>
      </c>
      <c r="K329" s="302">
        <f>B334-B329</f>
        <v>2.0999999999286523</v>
      </c>
      <c r="L329" s="302">
        <f>D334-D329</f>
        <v>0.61899999996193422</v>
      </c>
      <c r="M329" s="302">
        <f>F334-F329</f>
        <v>0.67599999999730853</v>
      </c>
      <c r="N329" s="302">
        <f>SUM(K329:M329)</f>
        <v>3.394999999887895</v>
      </c>
    </row>
    <row r="330" spans="1:14" x14ac:dyDescent="0.3">
      <c r="A330" s="282" t="s">
        <v>356</v>
      </c>
      <c r="B330" s="302">
        <f>'Ind T6'!Q379</f>
        <v>17.213000000340713</v>
      </c>
      <c r="C330" s="299" t="str">
        <f>CONCATENATE("(",ROUND((B330/$H331)*100,1),")")</f>
        <v>(32.4)</v>
      </c>
      <c r="D330" s="302">
        <f>'Ind T6'!R379</f>
        <v>8.238000000093308</v>
      </c>
      <c r="E330" s="299" t="str">
        <f>CONCATENATE("(",ROUND((D330/$H331)*100,1),")")</f>
        <v>(15.5)</v>
      </c>
      <c r="F330" s="302">
        <f>'Ind T6'!S379</f>
        <v>3.6790000000041361</v>
      </c>
      <c r="G330" s="299" t="str">
        <f>CONCATENATE("(",ROUND((F330/$H331)*100,1),")")</f>
        <v>(6.9)</v>
      </c>
      <c r="H330" s="302">
        <f t="shared" ref="H330" si="251">SUM(B330,D330,F330)</f>
        <v>29.130000000438159</v>
      </c>
      <c r="I330" s="299" t="str">
        <f>CONCATENATE("(",ROUND((H330/$H331)*100,1),")")</f>
        <v>(54.8)</v>
      </c>
      <c r="K330" s="302">
        <f t="shared" ref="K330:K331" si="252">B335-B330</f>
        <v>3.5379999996087754</v>
      </c>
      <c r="L330" s="302">
        <f t="shared" ref="L330:L331" si="253">D335-D330</f>
        <v>0.25299999984743415</v>
      </c>
      <c r="M330" s="302">
        <f t="shared" ref="M330:M331" si="254">F335-F330</f>
        <v>0.49300000000463617</v>
      </c>
      <c r="N330" s="302">
        <f t="shared" ref="N330:N331" si="255">SUM(K330:M330)</f>
        <v>4.2839999994608462</v>
      </c>
    </row>
    <row r="331" spans="1:14" x14ac:dyDescent="0.3">
      <c r="A331" s="282" t="s">
        <v>354</v>
      </c>
      <c r="B331" s="302">
        <f>SUM(B329:B330)</f>
        <v>33.955000000247644</v>
      </c>
      <c r="C331" s="299" t="str">
        <f>CONCATENATE("(",ROUND((B331/$H331)*100,1),")")</f>
        <v>(63.9)</v>
      </c>
      <c r="D331" s="302">
        <f>SUM(D329:D330)</f>
        <v>12.480000000064436</v>
      </c>
      <c r="E331" s="299" t="str">
        <f>CONCATENATE("(",ROUND((D331/$H331)*100,1),")")</f>
        <v>(23.5)</v>
      </c>
      <c r="F331" s="302">
        <f>SUM(F329:F330)</f>
        <v>6.713000000005783</v>
      </c>
      <c r="G331" s="299" t="str">
        <f>CONCATENATE("(",ROUND((F331/$H331)*100,1),")")</f>
        <v>(12.6)</v>
      </c>
      <c r="H331" s="302">
        <f>SUM(H329:H330)</f>
        <v>53.148000000317865</v>
      </c>
      <c r="I331" s="299" t="str">
        <f>CONCATENATE("(",ROUND((H331/$H331)*100,1),")")</f>
        <v>(100)</v>
      </c>
      <c r="K331" s="302">
        <f t="shared" si="252"/>
        <v>5.6379999995374277</v>
      </c>
      <c r="L331" s="302">
        <f t="shared" si="253"/>
        <v>0.87199999980936838</v>
      </c>
      <c r="M331" s="302">
        <f t="shared" si="254"/>
        <v>1.1690000000019447</v>
      </c>
      <c r="N331" s="302">
        <f t="shared" si="255"/>
        <v>7.6789999993487408</v>
      </c>
    </row>
    <row r="332" spans="1:14" x14ac:dyDescent="0.3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3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3">
      <c r="A334" s="282" t="s">
        <v>355</v>
      </c>
      <c r="B334" s="302">
        <f>'Ind T6'!V380</f>
        <v>18.841999999835583</v>
      </c>
      <c r="C334" s="299" t="str">
        <f>CONCATENATE("(",ROUND((B334/$H336)*100,1),")")</f>
        <v>(31)</v>
      </c>
      <c r="D334" s="302">
        <f>'Ind T6'!W380</f>
        <v>4.8609999999330613</v>
      </c>
      <c r="E334" s="299" t="str">
        <f>CONCATENATE("(",ROUND((D334/$H336)*100,1),")")</f>
        <v>(8)</v>
      </c>
      <c r="F334" s="302">
        <f>'Ind T6'!X380</f>
        <v>3.7099999999989555</v>
      </c>
      <c r="G334" s="299" t="str">
        <f>CONCATENATE("(",ROUND((F334/$H336)*100,1),")")</f>
        <v>(6.1)</v>
      </c>
      <c r="H334" s="302">
        <f>SUM(B334,D334,F334)</f>
        <v>27.412999999767599</v>
      </c>
      <c r="I334" s="299" t="str">
        <f>CONCATENATE("(",ROUND((H334/$H336)*100,1),")")</f>
        <v>(45.1)</v>
      </c>
      <c r="K334" s="302">
        <f>B334-B324</f>
        <v>2.325999999999393</v>
      </c>
      <c r="L334" s="302">
        <f>D334-D324</f>
        <v>0.68799999996353289</v>
      </c>
      <c r="M334" s="302">
        <f>F334-F324</f>
        <v>0.86599999998944677</v>
      </c>
      <c r="N334" s="302">
        <f>SUM(K334:M334)</f>
        <v>3.8799999999523727</v>
      </c>
    </row>
    <row r="335" spans="1:14" x14ac:dyDescent="0.3">
      <c r="A335" s="282" t="s">
        <v>356</v>
      </c>
      <c r="B335" s="302">
        <f>'Ind T6'!V379</f>
        <v>20.750999999949489</v>
      </c>
      <c r="C335" s="299" t="str">
        <f>CONCATENATE("(",ROUND((B335/$H336)*100,1),")")</f>
        <v>(34.1)</v>
      </c>
      <c r="D335" s="302">
        <f>'Ind T6'!W379</f>
        <v>8.4909999999407422</v>
      </c>
      <c r="E335" s="299" t="str">
        <f>CONCATENATE("(",ROUND((D335/$H336)*100,1),")")</f>
        <v>(14)</v>
      </c>
      <c r="F335" s="302">
        <f>'Ind T6'!X379</f>
        <v>4.1720000000087722</v>
      </c>
      <c r="G335" s="299" t="str">
        <f>CONCATENATE("(",ROUND((F335/$H336)*100,1),")")</f>
        <v>(6.9)</v>
      </c>
      <c r="H335" s="302">
        <f>SUM(B335,D335,F335)</f>
        <v>33.413999999899005</v>
      </c>
      <c r="I335" s="299" t="str">
        <f>CONCATENATE("(",ROUND((H335/$H336)*100,1),")")</f>
        <v>(54.9)</v>
      </c>
      <c r="K335" s="302">
        <f t="shared" ref="K335:K336" si="256">B335-B325</f>
        <v>4.3660000000619306</v>
      </c>
      <c r="L335" s="302">
        <f t="shared" ref="L335:L336" si="257">D335-D325</f>
        <v>-4.3943515493083396E-11</v>
      </c>
      <c r="M335" s="302">
        <f t="shared" ref="M335:M336" si="258">F335-F325</f>
        <v>0.59600000004826548</v>
      </c>
      <c r="N335" s="302">
        <f t="shared" ref="N335:N336" si="259">SUM(K335:M335)</f>
        <v>4.9620000000662525</v>
      </c>
    </row>
    <row r="336" spans="1:14" x14ac:dyDescent="0.3">
      <c r="A336" s="282" t="s">
        <v>354</v>
      </c>
      <c r="B336" s="302">
        <f>SUM(B334:B335)</f>
        <v>39.592999999785071</v>
      </c>
      <c r="C336" s="299" t="str">
        <f>CONCATENATE("(",ROUND((B336/$H336)*100,1),")")</f>
        <v>(65.1)</v>
      </c>
      <c r="D336" s="302">
        <f>SUM(D334:D335)</f>
        <v>13.351999999873804</v>
      </c>
      <c r="E336" s="299" t="str">
        <f>CONCATENATE("(",ROUND((D336/$H336)*100,1),")")</f>
        <v>(22)</v>
      </c>
      <c r="F336" s="302">
        <f>SUM(F334:F335)</f>
        <v>7.8820000000077277</v>
      </c>
      <c r="G336" s="299" t="str">
        <f>CONCATENATE("(",ROUND((F336/$H336)*100,1),")")</f>
        <v>(13)</v>
      </c>
      <c r="H336" s="302">
        <f>SUM(H334:H335)</f>
        <v>60.826999999666604</v>
      </c>
      <c r="I336" s="299" t="str">
        <f>CONCATENATE("(",ROUND((H336/$H336)*100,1),")")</f>
        <v>(100)</v>
      </c>
      <c r="K336" s="302">
        <f t="shared" si="256"/>
        <v>6.69200000006132</v>
      </c>
      <c r="L336" s="302">
        <f t="shared" si="257"/>
        <v>0.68799999991959027</v>
      </c>
      <c r="M336" s="302">
        <f t="shared" si="258"/>
        <v>1.4620000000377127</v>
      </c>
      <c r="N336" s="302">
        <f t="shared" si="259"/>
        <v>8.8420000000186221</v>
      </c>
    </row>
    <row r="337" spans="1:14" x14ac:dyDescent="0.3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3">
      <c r="A341" s="288"/>
      <c r="B341" s="289" t="s">
        <v>379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3">
      <c r="N342" s="287" t="s">
        <v>377</v>
      </c>
    </row>
    <row r="343" spans="1:14" x14ac:dyDescent="0.3">
      <c r="A343" s="181" t="s">
        <v>378</v>
      </c>
      <c r="B343" s="370" t="s">
        <v>376</v>
      </c>
      <c r="C343" s="370"/>
      <c r="D343" s="370" t="s">
        <v>375</v>
      </c>
      <c r="E343" s="370"/>
      <c r="F343" s="370" t="s">
        <v>374</v>
      </c>
      <c r="G343" s="370"/>
      <c r="H343" s="370" t="s">
        <v>32</v>
      </c>
      <c r="I343" s="370"/>
      <c r="J343" s="181"/>
      <c r="K343" s="297" t="s">
        <v>339</v>
      </c>
      <c r="L343" s="297" t="s">
        <v>341</v>
      </c>
      <c r="M343" s="297" t="s">
        <v>337</v>
      </c>
      <c r="N343" s="297" t="s">
        <v>32</v>
      </c>
    </row>
    <row r="344" spans="1:14" x14ac:dyDescent="0.3">
      <c r="A344" s="292">
        <f>$A$8</f>
        <v>2020</v>
      </c>
      <c r="B344" s="287" t="s">
        <v>60</v>
      </c>
      <c r="C344" s="19" t="s">
        <v>373</v>
      </c>
      <c r="D344" s="287" t="s">
        <v>60</v>
      </c>
      <c r="E344" s="19" t="s">
        <v>373</v>
      </c>
      <c r="F344" s="287" t="s">
        <v>60</v>
      </c>
      <c r="G344" s="19" t="s">
        <v>373</v>
      </c>
      <c r="H344" s="287" t="s">
        <v>60</v>
      </c>
      <c r="I344" s="19" t="s">
        <v>373</v>
      </c>
      <c r="J344" s="181"/>
      <c r="K344" s="286" t="str">
        <f>CONCATENATE(A344," - ",A349)</f>
        <v>2020 - 2025</v>
      </c>
      <c r="L344" s="285"/>
      <c r="M344" s="285"/>
    </row>
    <row r="345" spans="1:14" x14ac:dyDescent="0.3">
      <c r="A345" s="282" t="s">
        <v>355</v>
      </c>
      <c r="B345" s="302">
        <f>'Ind T6'!L425</f>
        <v>126.26499999745427</v>
      </c>
      <c r="C345" s="299" t="str">
        <f>CONCATENATE("(",ROUND((B345/$H347)*100,1),")")</f>
        <v>(40.9)</v>
      </c>
      <c r="D345" s="302">
        <f>'Ind T6'!M425</f>
        <v>20.515999999942096</v>
      </c>
      <c r="E345" s="299" t="str">
        <f>CONCATENATE("(",ROUND((D345/$H347)*100,1),")")</f>
        <v>(6.6)</v>
      </c>
      <c r="F345" s="302">
        <f>'Ind T6'!N425</f>
        <v>28.019000000126411</v>
      </c>
      <c r="G345" s="299" t="str">
        <f>CONCATENATE("(",ROUND((F345/$H347)*100,1),")")</f>
        <v>(9.1)</v>
      </c>
      <c r="H345" s="302">
        <f>SUM(B345,D345,F345)</f>
        <v>174.79999999752278</v>
      </c>
      <c r="I345" s="299" t="str">
        <f>CONCATENATE("(",ROUND((H345/$H347)*100,1),")")</f>
        <v>(56.6)</v>
      </c>
      <c r="K345" s="302">
        <f>B350-B345</f>
        <v>4.6410000001571206</v>
      </c>
      <c r="L345" s="302">
        <f>D350-D345</f>
        <v>1.6319999999626482</v>
      </c>
      <c r="M345" s="302">
        <f>F350-F345</f>
        <v>1.6000000011270679</v>
      </c>
      <c r="N345" s="302">
        <f>SUM(K345:M345)</f>
        <v>7.8730000012468366</v>
      </c>
    </row>
    <row r="346" spans="1:14" x14ac:dyDescent="0.3">
      <c r="A346" s="282" t="s">
        <v>356</v>
      </c>
      <c r="B346" s="302">
        <f>'Ind T6'!L424</f>
        <v>74.933000000860559</v>
      </c>
      <c r="C346" s="299" t="str">
        <f>CONCATENATE("(",ROUND((B346/$H347)*100,1),")")</f>
        <v>(24.3)</v>
      </c>
      <c r="D346" s="302">
        <f>'Ind T6'!M424</f>
        <v>44.563000000226097</v>
      </c>
      <c r="E346" s="299" t="str">
        <f>CONCATENATE("(",ROUND((D346/$H347)*100,1),")")</f>
        <v>(14.4)</v>
      </c>
      <c r="F346" s="302">
        <f>'Ind T6'!N424</f>
        <v>14.369000000259996</v>
      </c>
      <c r="G346" s="299" t="str">
        <f>CONCATENATE("(",ROUND((F346/$H347)*100,1),")")</f>
        <v>(4.7)</v>
      </c>
      <c r="H346" s="302">
        <f t="shared" ref="H346" si="260">SUM(B346,D346,F346)</f>
        <v>133.86500000134666</v>
      </c>
      <c r="I346" s="299" t="str">
        <f>CONCATENATE("(",ROUND((H346/$H347)*100,1),")")</f>
        <v>(43.4)</v>
      </c>
      <c r="K346" s="302">
        <f t="shared" ref="K346:K347" si="261">B351-B346</f>
        <v>4.6700000013637748</v>
      </c>
      <c r="L346" s="302">
        <f t="shared" ref="L346:L347" si="262">D351-D346</f>
        <v>2.8670000000686429</v>
      </c>
      <c r="M346" s="302">
        <f t="shared" ref="M346:M347" si="263">F351-F346</f>
        <v>1.2249999998883556</v>
      </c>
      <c r="N346" s="302">
        <f t="shared" ref="N346:N347" si="264">SUM(K346:M346)</f>
        <v>8.7620000013207733</v>
      </c>
    </row>
    <row r="347" spans="1:14" x14ac:dyDescent="0.3">
      <c r="A347" s="282" t="s">
        <v>354</v>
      </c>
      <c r="B347" s="302">
        <f>SUM(B345:B346)</f>
        <v>201.19799999831483</v>
      </c>
      <c r="C347" s="299" t="str">
        <f>CONCATENATE("(",ROUND((B347/$H347)*100,1),")")</f>
        <v>(65.2)</v>
      </c>
      <c r="D347" s="302">
        <f>SUM(D345:D346)</f>
        <v>65.079000000168193</v>
      </c>
      <c r="E347" s="299" t="str">
        <f>CONCATENATE("(",ROUND((D347/$H347)*100,1),")")</f>
        <v>(21.1)</v>
      </c>
      <c r="F347" s="302">
        <f>SUM(F345:F346)</f>
        <v>42.388000000386405</v>
      </c>
      <c r="G347" s="299" t="str">
        <f>CONCATENATE("(",ROUND((F347/$H347)*100,1),")")</f>
        <v>(13.7)</v>
      </c>
      <c r="H347" s="302">
        <f>SUM(H345:H346)</f>
        <v>308.66499999886946</v>
      </c>
      <c r="I347" s="299" t="str">
        <f>CONCATENATE("(",ROUND((H347/$H347)*100,1),")")</f>
        <v>(100)</v>
      </c>
      <c r="K347" s="302">
        <f t="shared" si="261"/>
        <v>9.3110000015209096</v>
      </c>
      <c r="L347" s="302">
        <f t="shared" si="262"/>
        <v>4.4990000000312875</v>
      </c>
      <c r="M347" s="302">
        <f t="shared" si="263"/>
        <v>2.8250000010154253</v>
      </c>
      <c r="N347" s="302">
        <f t="shared" si="264"/>
        <v>16.635000002567622</v>
      </c>
    </row>
    <row r="348" spans="1:14" x14ac:dyDescent="0.3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3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3">
      <c r="A350" s="282" t="s">
        <v>355</v>
      </c>
      <c r="B350" s="302">
        <f>'Ind T6'!Q425</f>
        <v>130.90599999761139</v>
      </c>
      <c r="C350" s="299" t="str">
        <f>CONCATENATE("(",ROUND((B350/$H352)*100,1),")")</f>
        <v>(40.2)</v>
      </c>
      <c r="D350" s="302">
        <f>'Ind T6'!R425</f>
        <v>22.147999999904744</v>
      </c>
      <c r="E350" s="299" t="str">
        <f>CONCATENATE("(",ROUND((D350/$H352)*100,1),")")</f>
        <v>(6.8)</v>
      </c>
      <c r="F350" s="302">
        <f>'Ind T6'!S425</f>
        <v>29.619000001253479</v>
      </c>
      <c r="G350" s="299" t="str">
        <f>CONCATENATE("(",ROUND((F350/$H352)*100,1),")")</f>
        <v>(9.1)</v>
      </c>
      <c r="H350" s="302">
        <f>SUM(B350,D350,F350)</f>
        <v>182.67299999876963</v>
      </c>
      <c r="I350" s="299" t="str">
        <f>CONCATENATE("(",ROUND((H350/$H352)*100,1),")")</f>
        <v>(56.2)</v>
      </c>
      <c r="K350" s="302">
        <f>B355-B350</f>
        <v>6.7109999987137883</v>
      </c>
      <c r="L350" s="302">
        <f>D355-D350</f>
        <v>2.9589999999724554</v>
      </c>
      <c r="M350" s="302">
        <f>F355-F350</f>
        <v>2.8279999993290552</v>
      </c>
      <c r="N350" s="302">
        <f>SUM(K350:M350)</f>
        <v>12.497999998015299</v>
      </c>
    </row>
    <row r="351" spans="1:14" x14ac:dyDescent="0.3">
      <c r="A351" s="282" t="s">
        <v>356</v>
      </c>
      <c r="B351" s="302">
        <f>'Ind T6'!Q424</f>
        <v>79.603000002224334</v>
      </c>
      <c r="C351" s="299" t="str">
        <f>CONCATENATE("(",ROUND((B351/$H352)*100,1),")")</f>
        <v>(24.5)</v>
      </c>
      <c r="D351" s="302">
        <f>'Ind T6'!R424</f>
        <v>47.43000000029474</v>
      </c>
      <c r="E351" s="299" t="str">
        <f>CONCATENATE("(",ROUND((D351/$H352)*100,1),")")</f>
        <v>(14.6)</v>
      </c>
      <c r="F351" s="302">
        <f>'Ind T6'!S424</f>
        <v>15.594000000148352</v>
      </c>
      <c r="G351" s="299" t="str">
        <f>CONCATENATE("(",ROUND((F351/$H352)*100,1),")")</f>
        <v>(4.8)</v>
      </c>
      <c r="H351" s="302">
        <f t="shared" ref="H351" si="265">SUM(B351,D351,F351)</f>
        <v>142.62700000266742</v>
      </c>
      <c r="I351" s="299" t="str">
        <f>CONCATENATE("(",ROUND((H351/$H352)*100,1),")")</f>
        <v>(43.8)</v>
      </c>
      <c r="K351" s="302">
        <f t="shared" ref="K351:K352" si="266">B356-B351</f>
        <v>7.3739999989295768</v>
      </c>
      <c r="L351" s="302">
        <f t="shared" ref="L351:L352" si="267">D356-D351</f>
        <v>4.4160000001236739</v>
      </c>
      <c r="M351" s="302">
        <f t="shared" ref="M351:M352" si="268">F356-F351</f>
        <v>2.5740000000441867</v>
      </c>
      <c r="N351" s="302">
        <f t="shared" ref="N351:N352" si="269">SUM(K351:M351)</f>
        <v>14.363999999097437</v>
      </c>
    </row>
    <row r="352" spans="1:14" x14ac:dyDescent="0.3">
      <c r="A352" s="282" t="s">
        <v>354</v>
      </c>
      <c r="B352" s="302">
        <f>SUM(B350:B351)</f>
        <v>210.50899999983574</v>
      </c>
      <c r="C352" s="299" t="str">
        <f>CONCATENATE("(",ROUND((B352/$H352)*100,1),")")</f>
        <v>(64.7)</v>
      </c>
      <c r="D352" s="302">
        <f>SUM(D350:D351)</f>
        <v>69.578000000199481</v>
      </c>
      <c r="E352" s="299" t="str">
        <f>CONCATENATE("(",ROUND((D352/$H352)*100,1),")")</f>
        <v>(21.4)</v>
      </c>
      <c r="F352" s="302">
        <f>SUM(F350:F351)</f>
        <v>45.213000001401831</v>
      </c>
      <c r="G352" s="299" t="str">
        <f>CONCATENATE("(",ROUND((F352/$H352)*100,1),")")</f>
        <v>(13.9)</v>
      </c>
      <c r="H352" s="302">
        <f>SUM(H350:H351)</f>
        <v>325.30000000143707</v>
      </c>
      <c r="I352" s="299" t="str">
        <f>CONCATENATE("(",ROUND((H352/$H352)*100,1),")")</f>
        <v>(100)</v>
      </c>
      <c r="K352" s="302">
        <f t="shared" si="266"/>
        <v>14.084999997643365</v>
      </c>
      <c r="L352" s="302">
        <f t="shared" si="267"/>
        <v>7.3750000000961364</v>
      </c>
      <c r="M352" s="302">
        <f t="shared" si="268"/>
        <v>5.4019999993732384</v>
      </c>
      <c r="N352" s="302">
        <f t="shared" si="269"/>
        <v>26.86199999711274</v>
      </c>
    </row>
    <row r="353" spans="1:14" x14ac:dyDescent="0.3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3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3">
      <c r="A355" s="282" t="s">
        <v>355</v>
      </c>
      <c r="B355" s="302">
        <f>'Ind T6'!V425</f>
        <v>137.61699999632518</v>
      </c>
      <c r="C355" s="299" t="str">
        <f>CONCATENATE("(",ROUND((B355/$H357)*100,1),")")</f>
        <v>(39.1)</v>
      </c>
      <c r="D355" s="302">
        <f>'Ind T6'!W425</f>
        <v>25.1069999998772</v>
      </c>
      <c r="E355" s="299" t="str">
        <f>CONCATENATE("(",ROUND((D355/$H357)*100,1),")")</f>
        <v>(7.1)</v>
      </c>
      <c r="F355" s="302">
        <f>'Ind T6'!X425</f>
        <v>32.447000000582534</v>
      </c>
      <c r="G355" s="299" t="str">
        <f>CONCATENATE("(",ROUND((F355/$H357)*100,1),")")</f>
        <v>(9.2)</v>
      </c>
      <c r="H355" s="302">
        <f>SUM(B355,D355,F355)</f>
        <v>195.1709999967849</v>
      </c>
      <c r="I355" s="299" t="str">
        <f>CONCATENATE("(",ROUND((H355/$H357)*100,1),")")</f>
        <v>(55.4)</v>
      </c>
      <c r="K355" s="302">
        <f>B355-B345</f>
        <v>11.351999998870909</v>
      </c>
      <c r="L355" s="302">
        <f>D355-D345</f>
        <v>4.5909999999351037</v>
      </c>
      <c r="M355" s="302">
        <f>F355-F345</f>
        <v>4.4280000004561231</v>
      </c>
      <c r="N355" s="302">
        <f>SUM(K355:M355)</f>
        <v>20.370999999262136</v>
      </c>
    </row>
    <row r="356" spans="1:14" x14ac:dyDescent="0.3">
      <c r="A356" s="282" t="s">
        <v>356</v>
      </c>
      <c r="B356" s="302">
        <f>'Ind T6'!V424</f>
        <v>86.977000001153911</v>
      </c>
      <c r="C356" s="299" t="str">
        <f>CONCATENATE("(",ROUND((B356/$H357)*100,1),")")</f>
        <v>(24.7)</v>
      </c>
      <c r="D356" s="302">
        <f>'Ind T6'!W424</f>
        <v>51.846000000418414</v>
      </c>
      <c r="E356" s="299" t="str">
        <f>CONCATENATE("(",ROUND((D356/$H357)*100,1),")")</f>
        <v>(14.7)</v>
      </c>
      <c r="F356" s="302">
        <f>'Ind T6'!X424</f>
        <v>18.168000000192539</v>
      </c>
      <c r="G356" s="299" t="str">
        <f>CONCATENATE("(",ROUND((F356/$H357)*100,1),")")</f>
        <v>(5.2)</v>
      </c>
      <c r="H356" s="302">
        <f t="shared" ref="H356" si="270">SUM(B356,D356,F356)</f>
        <v>156.99100000176486</v>
      </c>
      <c r="I356" s="299" t="str">
        <f>CONCATENATE("(",ROUND((H356/$H357)*100,1),")")</f>
        <v>(44.6)</v>
      </c>
      <c r="K356" s="302">
        <f t="shared" ref="K356:K357" si="271">B356-B346</f>
        <v>12.044000000293352</v>
      </c>
      <c r="L356" s="302">
        <f t="shared" ref="L356:L357" si="272">D356-D346</f>
        <v>7.2830000001923167</v>
      </c>
      <c r="M356" s="302">
        <f t="shared" ref="M356:M357" si="273">F356-F346</f>
        <v>3.7989999999325423</v>
      </c>
      <c r="N356" s="302">
        <f t="shared" ref="N356:N357" si="274">SUM(K356:M356)</f>
        <v>23.126000000418209</v>
      </c>
    </row>
    <row r="357" spans="1:14" x14ac:dyDescent="0.3">
      <c r="A357" s="282" t="s">
        <v>354</v>
      </c>
      <c r="B357" s="302">
        <f>SUM(B355:B356)</f>
        <v>224.5939999974791</v>
      </c>
      <c r="C357" s="299" t="str">
        <f>CONCATENATE("(",ROUND((B357/$H357)*100,1),")")</f>
        <v>(63.8)</v>
      </c>
      <c r="D357" s="302">
        <f>SUM(D355:D356)</f>
        <v>76.953000000295617</v>
      </c>
      <c r="E357" s="299" t="str">
        <f>CONCATENATE("(",ROUND((D357/$H357)*100,1),")")</f>
        <v>(21.9)</v>
      </c>
      <c r="F357" s="302">
        <f>SUM(F355:F356)</f>
        <v>50.615000000775069</v>
      </c>
      <c r="G357" s="299" t="str">
        <f>CONCATENATE("(",ROUND((F357/$H357)*100,1),")")</f>
        <v>(14.4)</v>
      </c>
      <c r="H357" s="302">
        <f>SUM(H355:H356)</f>
        <v>352.16199999854973</v>
      </c>
      <c r="I357" s="299" t="str">
        <f>CONCATENATE("(",ROUND((H357/$H357)*100,1),")")</f>
        <v>(100)</v>
      </c>
      <c r="K357" s="302">
        <f t="shared" si="271"/>
        <v>23.395999999164275</v>
      </c>
      <c r="L357" s="302">
        <f t="shared" si="272"/>
        <v>11.874000000127424</v>
      </c>
      <c r="M357" s="302">
        <f t="shared" si="273"/>
        <v>8.2270000003886636</v>
      </c>
      <c r="N357" s="302">
        <f t="shared" si="274"/>
        <v>43.496999999680362</v>
      </c>
    </row>
    <row r="358" spans="1:14" x14ac:dyDescent="0.3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3">
      <c r="C361" s="181"/>
      <c r="E361" s="181"/>
      <c r="G361" s="181"/>
      <c r="I361" s="181"/>
    </row>
    <row r="362" spans="1:14" x14ac:dyDescent="0.3">
      <c r="A362" s="288"/>
      <c r="B362" s="289" t="s">
        <v>379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3">
      <c r="N363" s="287" t="s">
        <v>377</v>
      </c>
    </row>
    <row r="364" spans="1:14" x14ac:dyDescent="0.3">
      <c r="A364" s="181" t="s">
        <v>378</v>
      </c>
      <c r="B364" s="370" t="s">
        <v>376</v>
      </c>
      <c r="C364" s="370"/>
      <c r="D364" s="370" t="s">
        <v>375</v>
      </c>
      <c r="E364" s="370"/>
      <c r="F364" s="370" t="s">
        <v>374</v>
      </c>
      <c r="G364" s="370"/>
      <c r="H364" s="370" t="s">
        <v>32</v>
      </c>
      <c r="I364" s="370"/>
      <c r="J364" s="181"/>
      <c r="K364" s="297" t="s">
        <v>339</v>
      </c>
      <c r="L364" s="297" t="s">
        <v>341</v>
      </c>
      <c r="M364" s="297" t="s">
        <v>337</v>
      </c>
      <c r="N364" s="297" t="s">
        <v>32</v>
      </c>
    </row>
    <row r="365" spans="1:14" x14ac:dyDescent="0.3">
      <c r="A365" s="292">
        <f>$A$8</f>
        <v>2020</v>
      </c>
      <c r="B365" s="287" t="s">
        <v>60</v>
      </c>
      <c r="C365" s="19" t="s">
        <v>373</v>
      </c>
      <c r="D365" s="287" t="s">
        <v>60</v>
      </c>
      <c r="E365" s="19" t="s">
        <v>373</v>
      </c>
      <c r="F365" s="287" t="s">
        <v>60</v>
      </c>
      <c r="G365" s="19" t="s">
        <v>373</v>
      </c>
      <c r="H365" s="287" t="s">
        <v>60</v>
      </c>
      <c r="I365" s="19" t="s">
        <v>373</v>
      </c>
      <c r="J365" s="181"/>
      <c r="K365" s="286" t="str">
        <f>CONCATENATE(A365," - ",A370)</f>
        <v>2020 - 2025</v>
      </c>
      <c r="L365" s="285"/>
      <c r="M365" s="285"/>
    </row>
    <row r="366" spans="1:14" x14ac:dyDescent="0.3">
      <c r="A366" s="282" t="s">
        <v>355</v>
      </c>
      <c r="B366" s="302">
        <f>'Ind T6'!L465</f>
        <v>97.71700000012919</v>
      </c>
      <c r="C366" s="299" t="str">
        <f>CONCATENATE("(",ROUND((B366/$H368)*100,1),")")</f>
        <v>(33.6)</v>
      </c>
      <c r="D366" s="302">
        <f>'Ind T6'!M465</f>
        <v>45.800000000348831</v>
      </c>
      <c r="E366" s="299" t="str">
        <f>CONCATENATE("(",ROUND((D366/$H368)*100,1),")")</f>
        <v>(15.7)</v>
      </c>
      <c r="F366" s="302">
        <f>'Ind T6'!N465</f>
        <v>21.473000000265543</v>
      </c>
      <c r="G366" s="299" t="str">
        <f>CONCATENATE("(",ROUND((F366/$H368)*100,1),")")</f>
        <v>(7.4)</v>
      </c>
      <c r="H366" s="302">
        <f>SUM(B366,D366,F366)</f>
        <v>164.99000000074358</v>
      </c>
      <c r="I366" s="299" t="str">
        <f>CONCATENATE("(",ROUND((H366/$H368)*100,1),")")</f>
        <v>(56.7)</v>
      </c>
      <c r="K366" s="302">
        <f>B371-B366</f>
        <v>6.3360000001761563</v>
      </c>
      <c r="L366" s="302">
        <f>D371-D366</f>
        <v>2.8700000001026922</v>
      </c>
      <c r="M366" s="302">
        <f>F371-F366</f>
        <v>1.0340000003601197</v>
      </c>
      <c r="N366" s="302">
        <f>SUM(K366:M366)</f>
        <v>10.240000000638968</v>
      </c>
    </row>
    <row r="367" spans="1:14" x14ac:dyDescent="0.3">
      <c r="A367" s="282" t="s">
        <v>356</v>
      </c>
      <c r="B367" s="302">
        <f>'Ind T6'!L464</f>
        <v>53.444999999275531</v>
      </c>
      <c r="C367" s="299" t="str">
        <f>CONCATENATE("(",ROUND((B367/$H368)*100,1),")")</f>
        <v>(18.4)</v>
      </c>
      <c r="D367" s="302">
        <f>'Ind T6'!M464</f>
        <v>57.496999999551576</v>
      </c>
      <c r="E367" s="299" t="str">
        <f>CONCATENATE("(",ROUND((D367/$H368)*100,1),")")</f>
        <v>(19.8)</v>
      </c>
      <c r="F367" s="302">
        <f>'Ind T6'!N464</f>
        <v>15.082999999916106</v>
      </c>
      <c r="G367" s="299" t="str">
        <f>CONCATENATE("(",ROUND((F367/$H368)*100,1),")")</f>
        <v>(5.2)</v>
      </c>
      <c r="H367" s="302">
        <f t="shared" ref="H367" si="275">SUM(B367,D367,F367)</f>
        <v>126.02499999874321</v>
      </c>
      <c r="I367" s="299" t="str">
        <f>CONCATENATE("(",ROUND((H367/$H368)*100,1),")")</f>
        <v>(43.3)</v>
      </c>
      <c r="K367" s="302">
        <f t="shared" ref="K367:K368" si="276">B372-B367</f>
        <v>4.4890000013552367</v>
      </c>
      <c r="L367" s="302">
        <f t="shared" ref="L367:L368" si="277">D372-D367</f>
        <v>2.5780000012209712</v>
      </c>
      <c r="M367" s="302">
        <f t="shared" ref="M367:M368" si="278">F372-F367</f>
        <v>0.7090000001503256</v>
      </c>
      <c r="N367" s="302">
        <f t="shared" ref="N367:N368" si="279">SUM(K367:M367)</f>
        <v>7.7760000027265335</v>
      </c>
    </row>
    <row r="368" spans="1:14" x14ac:dyDescent="0.3">
      <c r="A368" s="282" t="s">
        <v>354</v>
      </c>
      <c r="B368" s="302">
        <f>SUM(B366:B367)</f>
        <v>151.16199999940471</v>
      </c>
      <c r="C368" s="299" t="str">
        <f>CONCATENATE("(",ROUND((B368/$H368)*100,1),")")</f>
        <v>(51.9)</v>
      </c>
      <c r="D368" s="302">
        <f>SUM(D366:D367)</f>
        <v>103.29699999990041</v>
      </c>
      <c r="E368" s="299" t="str">
        <f>CONCATENATE("(",ROUND((D368/$H368)*100,1),")")</f>
        <v>(35.5)</v>
      </c>
      <c r="F368" s="302">
        <f>SUM(F366:F367)</f>
        <v>36.556000000181648</v>
      </c>
      <c r="G368" s="299" t="str">
        <f>CONCATENATE("(",ROUND((F368/$H368)*100,1),")")</f>
        <v>(12.6)</v>
      </c>
      <c r="H368" s="302">
        <f>SUM(H366:H367)</f>
        <v>291.0149999994868</v>
      </c>
      <c r="I368" s="299" t="str">
        <f>CONCATENATE("(",ROUND((H368/$H368)*100,1),")")</f>
        <v>(100)</v>
      </c>
      <c r="K368" s="302">
        <f t="shared" si="276"/>
        <v>10.825000001531407</v>
      </c>
      <c r="L368" s="302">
        <f t="shared" si="277"/>
        <v>5.4480000013236634</v>
      </c>
      <c r="M368" s="302">
        <f t="shared" si="278"/>
        <v>1.7430000005104489</v>
      </c>
      <c r="N368" s="302">
        <f t="shared" si="279"/>
        <v>18.016000003365519</v>
      </c>
    </row>
    <row r="369" spans="1:14" x14ac:dyDescent="0.3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3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3">
      <c r="A371" s="282" t="s">
        <v>355</v>
      </c>
      <c r="B371" s="302">
        <f>'Ind T6'!Q465</f>
        <v>104.05300000030535</v>
      </c>
      <c r="C371" s="299" t="str">
        <f>CONCATENATE("(",ROUND((B371/$H373)*100,1),")")</f>
        <v>(33.7)</v>
      </c>
      <c r="D371" s="302">
        <f>'Ind T6'!R465</f>
        <v>48.670000000451523</v>
      </c>
      <c r="E371" s="299" t="str">
        <f>CONCATENATE("(",ROUND((D371/$H373)*100,1),")")</f>
        <v>(15.7)</v>
      </c>
      <c r="F371" s="302">
        <f>'Ind T6'!S465</f>
        <v>22.507000000625663</v>
      </c>
      <c r="G371" s="299" t="str">
        <f>CONCATENATE("(",ROUND((F371/$H373)*100,1),")")</f>
        <v>(7.3)</v>
      </c>
      <c r="H371" s="302">
        <f>SUM(B371,D371,F371)</f>
        <v>175.23000000138254</v>
      </c>
      <c r="I371" s="299" t="str">
        <f>CONCATENATE("(",ROUND((H371/$H373)*100,1),")")</f>
        <v>(56.7)</v>
      </c>
      <c r="K371" s="302">
        <f>B376-B371</f>
        <v>8.2430000000708361</v>
      </c>
      <c r="L371" s="302">
        <f>D376-D371</f>
        <v>3.3760000002579034</v>
      </c>
      <c r="M371" s="302">
        <f>F376-F371</f>
        <v>1.8599999998500607</v>
      </c>
      <c r="N371" s="302">
        <f>SUM(K371:M371)</f>
        <v>13.4790000001788</v>
      </c>
    </row>
    <row r="372" spans="1:14" x14ac:dyDescent="0.3">
      <c r="A372" s="282" t="s">
        <v>356</v>
      </c>
      <c r="B372" s="302">
        <f>'Ind T6'!Q464</f>
        <v>57.934000000630768</v>
      </c>
      <c r="C372" s="299" t="str">
        <f>CONCATENATE("(",ROUND((B372/$H373)*100,1),")")</f>
        <v>(18.7)</v>
      </c>
      <c r="D372" s="302">
        <f>'Ind T6'!R464</f>
        <v>60.075000000772548</v>
      </c>
      <c r="E372" s="299" t="str">
        <f>CONCATENATE("(",ROUND((D372/$H373)*100,1),")")</f>
        <v>(19.4)</v>
      </c>
      <c r="F372" s="302">
        <f>'Ind T6'!S464</f>
        <v>15.792000000066432</v>
      </c>
      <c r="G372" s="299" t="str">
        <f>CONCATENATE("(",ROUND((F372/$H373)*100,1),")")</f>
        <v>(5.1)</v>
      </c>
      <c r="H372" s="302">
        <f t="shared" ref="H372" si="280">SUM(B372,D372,F372)</f>
        <v>133.80100000146973</v>
      </c>
      <c r="I372" s="299" t="str">
        <f>CONCATENATE("(",ROUND((H372/$H373)*100,1),")")</f>
        <v>(43.3)</v>
      </c>
      <c r="K372" s="302">
        <f t="shared" ref="K372:K373" si="281">B377-B372</f>
        <v>5.9829999987813096</v>
      </c>
      <c r="L372" s="302">
        <f t="shared" ref="L372:L373" si="282">D377-D372</f>
        <v>2.5419999988072135</v>
      </c>
      <c r="M372" s="302">
        <f t="shared" ref="M372:M373" si="283">F377-F372</f>
        <v>1.4050000000183811</v>
      </c>
      <c r="N372" s="302">
        <f t="shared" ref="N372:N373" si="284">SUM(K372:M372)</f>
        <v>9.9299999976069042</v>
      </c>
    </row>
    <row r="373" spans="1:14" x14ac:dyDescent="0.3">
      <c r="A373" s="282" t="s">
        <v>354</v>
      </c>
      <c r="B373" s="302">
        <f>SUM(B371:B372)</f>
        <v>161.98700000093612</v>
      </c>
      <c r="C373" s="299" t="str">
        <f>CONCATENATE("(",ROUND((B373/$H373)*100,1),")")</f>
        <v>(52.4)</v>
      </c>
      <c r="D373" s="302">
        <f>SUM(D371:D372)</f>
        <v>108.74500000122407</v>
      </c>
      <c r="E373" s="299" t="str">
        <f>CONCATENATE("(",ROUND((D373/$H373)*100,1),")")</f>
        <v>(35.2)</v>
      </c>
      <c r="F373" s="302">
        <f>SUM(F371:F372)</f>
        <v>38.299000000692097</v>
      </c>
      <c r="G373" s="299" t="str">
        <f>CONCATENATE("(",ROUND((F373/$H373)*100,1),")")</f>
        <v>(12.4)</v>
      </c>
      <c r="H373" s="302">
        <f>SUM(H371:H372)</f>
        <v>309.03100000285224</v>
      </c>
      <c r="I373" s="299" t="str">
        <f>CONCATENATE("(",ROUND((H373/$H373)*100,1),")")</f>
        <v>(100)</v>
      </c>
      <c r="K373" s="302">
        <f t="shared" si="281"/>
        <v>14.225999998852132</v>
      </c>
      <c r="L373" s="302">
        <f t="shared" si="282"/>
        <v>5.9179999990651169</v>
      </c>
      <c r="M373" s="302">
        <f t="shared" si="283"/>
        <v>3.2649999998684436</v>
      </c>
      <c r="N373" s="302">
        <f t="shared" si="284"/>
        <v>23.408999997785692</v>
      </c>
    </row>
    <row r="374" spans="1:14" x14ac:dyDescent="0.3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3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3">
      <c r="A376" s="282" t="s">
        <v>355</v>
      </c>
      <c r="B376" s="302">
        <f>'Ind T6'!V465</f>
        <v>112.29600000037618</v>
      </c>
      <c r="C376" s="299" t="str">
        <f>CONCATENATE("(",ROUND((B376/$H378)*100,1),")")</f>
        <v>(33.8)</v>
      </c>
      <c r="D376" s="302">
        <f>'Ind T6'!W465</f>
        <v>52.046000000709427</v>
      </c>
      <c r="E376" s="299" t="str">
        <f>CONCATENATE("(",ROUND((D376/$H378)*100,1),")")</f>
        <v>(15.7)</v>
      </c>
      <c r="F376" s="302">
        <f>'Ind T6'!X465</f>
        <v>24.367000000475723</v>
      </c>
      <c r="G376" s="299" t="str">
        <f>CONCATENATE("(",ROUND((F376/$H378)*100,1),")")</f>
        <v>(7.3)</v>
      </c>
      <c r="H376" s="302">
        <f>SUM(B376,D376,F376)</f>
        <v>188.70900000156132</v>
      </c>
      <c r="I376" s="299" t="str">
        <f>CONCATENATE("(",ROUND((H376/$H378)*100,1),")")</f>
        <v>(56.8)</v>
      </c>
      <c r="K376" s="302">
        <f>B376-B366</f>
        <v>14.579000000246992</v>
      </c>
      <c r="L376" s="302">
        <f>D376-D366</f>
        <v>6.2460000003605955</v>
      </c>
      <c r="M376" s="302">
        <f>F376-F366</f>
        <v>2.8940000002101804</v>
      </c>
      <c r="N376" s="302">
        <f>SUM(K376:M376)</f>
        <v>23.719000000817768</v>
      </c>
    </row>
    <row r="377" spans="1:14" x14ac:dyDescent="0.3">
      <c r="A377" s="282" t="s">
        <v>356</v>
      </c>
      <c r="B377" s="302">
        <f>'Ind T6'!V464</f>
        <v>63.916999999412077</v>
      </c>
      <c r="C377" s="299" t="str">
        <f>CONCATENATE("(",ROUND((B377/$H378)*100,1),")")</f>
        <v>(19.2)</v>
      </c>
      <c r="D377" s="302">
        <f>'Ind T6'!W464</f>
        <v>62.616999999579761</v>
      </c>
      <c r="E377" s="299" t="str">
        <f>CONCATENATE("(",ROUND((D377/$H378)*100,1),")")</f>
        <v>(18.8)</v>
      </c>
      <c r="F377" s="302">
        <f>'Ind T6'!X464</f>
        <v>17.197000000084813</v>
      </c>
      <c r="G377" s="299" t="str">
        <f>CONCATENATE("(",ROUND((F377/$H378)*100,1),")")</f>
        <v>(5.2)</v>
      </c>
      <c r="H377" s="302">
        <f t="shared" ref="H377" si="285">SUM(B377,D377,F377)</f>
        <v>143.73099999907666</v>
      </c>
      <c r="I377" s="299" t="str">
        <f>CONCATENATE("(",ROUND((H377/$H378)*100,1),")")</f>
        <v>(43.2)</v>
      </c>
      <c r="K377" s="302">
        <f t="shared" ref="K377:K378" si="286">B377-B367</f>
        <v>10.472000000136546</v>
      </c>
      <c r="L377" s="302">
        <f t="shared" ref="L377:L378" si="287">D377-D367</f>
        <v>5.1200000000281847</v>
      </c>
      <c r="M377" s="302">
        <f t="shared" ref="M377:M378" si="288">F377-F367</f>
        <v>2.1140000001687067</v>
      </c>
      <c r="N377" s="302">
        <f t="shared" ref="N377:N378" si="289">SUM(K377:M377)</f>
        <v>17.706000000333439</v>
      </c>
    </row>
    <row r="378" spans="1:14" x14ac:dyDescent="0.3">
      <c r="A378" s="282" t="s">
        <v>354</v>
      </c>
      <c r="B378" s="302">
        <f>SUM(B376:B377)</f>
        <v>176.21299999978825</v>
      </c>
      <c r="C378" s="299" t="str">
        <f>CONCATENATE("(",ROUND((B378/$H378)*100,1),")")</f>
        <v>(53)</v>
      </c>
      <c r="D378" s="302">
        <f>SUM(D376:D377)</f>
        <v>114.66300000028919</v>
      </c>
      <c r="E378" s="299" t="str">
        <f>CONCATENATE("(",ROUND((D378/$H378)*100,1),")")</f>
        <v>(34.5)</v>
      </c>
      <c r="F378" s="302">
        <f>SUM(F376:F377)</f>
        <v>41.56400000056054</v>
      </c>
      <c r="G378" s="299" t="str">
        <f>CONCATENATE("(",ROUND((F378/$H378)*100,1),")")</f>
        <v>(12.5)</v>
      </c>
      <c r="H378" s="302">
        <f>SUM(H376:H377)</f>
        <v>332.44000000063795</v>
      </c>
      <c r="I378" s="299" t="str">
        <f>CONCATENATE("(",ROUND((H378/$H378)*100,1),")")</f>
        <v>(100)</v>
      </c>
      <c r="K378" s="302">
        <f t="shared" si="286"/>
        <v>25.051000000383539</v>
      </c>
      <c r="L378" s="302">
        <f t="shared" si="287"/>
        <v>11.36600000038878</v>
      </c>
      <c r="M378" s="302">
        <f t="shared" si="288"/>
        <v>5.0080000003788925</v>
      </c>
      <c r="N378" s="302">
        <f t="shared" si="289"/>
        <v>41.425000001151211</v>
      </c>
    </row>
    <row r="379" spans="1:14" x14ac:dyDescent="0.3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3">
      <c r="A383" s="288"/>
      <c r="B383" s="289" t="s">
        <v>379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3">
      <c r="N384" s="287" t="s">
        <v>377</v>
      </c>
    </row>
    <row r="385" spans="1:14" x14ac:dyDescent="0.3">
      <c r="A385" s="181" t="s">
        <v>378</v>
      </c>
      <c r="B385" s="370" t="s">
        <v>376</v>
      </c>
      <c r="C385" s="370"/>
      <c r="D385" s="370" t="s">
        <v>375</v>
      </c>
      <c r="E385" s="370"/>
      <c r="F385" s="370" t="s">
        <v>374</v>
      </c>
      <c r="G385" s="370"/>
      <c r="H385" s="370" t="s">
        <v>32</v>
      </c>
      <c r="I385" s="370"/>
      <c r="J385" s="181"/>
      <c r="K385" s="297" t="s">
        <v>339</v>
      </c>
      <c r="L385" s="297" t="s">
        <v>341</v>
      </c>
      <c r="M385" s="297" t="s">
        <v>337</v>
      </c>
      <c r="N385" s="297" t="s">
        <v>32</v>
      </c>
    </row>
    <row r="386" spans="1:14" x14ac:dyDescent="0.3">
      <c r="A386" s="292">
        <f>$A$8</f>
        <v>2020</v>
      </c>
      <c r="B386" s="287" t="s">
        <v>60</v>
      </c>
      <c r="C386" s="19" t="s">
        <v>373</v>
      </c>
      <c r="D386" s="287" t="s">
        <v>60</v>
      </c>
      <c r="E386" s="19" t="s">
        <v>373</v>
      </c>
      <c r="F386" s="287" t="s">
        <v>60</v>
      </c>
      <c r="G386" s="19" t="s">
        <v>373</v>
      </c>
      <c r="H386" s="287" t="s">
        <v>60</v>
      </c>
      <c r="I386" s="19" t="s">
        <v>373</v>
      </c>
      <c r="J386" s="181"/>
      <c r="K386" s="286" t="str">
        <f>CONCATENATE(A386," - ",A391)</f>
        <v>2020 - 2025</v>
      </c>
      <c r="L386" s="285"/>
      <c r="M386" s="285"/>
    </row>
    <row r="387" spans="1:14" x14ac:dyDescent="0.3">
      <c r="A387" s="282" t="s">
        <v>355</v>
      </c>
      <c r="B387" s="302">
        <f>'Ind T6'!L475</f>
        <v>32.322999999711676</v>
      </c>
      <c r="C387" s="299" t="str">
        <f>CONCATENATE("(",ROUND((B387/$H389)*100,1),")")</f>
        <v>(36.2)</v>
      </c>
      <c r="D387" s="302">
        <f>'Ind T6'!M475</f>
        <v>4.652999999975747</v>
      </c>
      <c r="E387" s="299" t="str">
        <f>CONCATENATE("(",ROUND((D387/$H389)*100,1),")")</f>
        <v>(5.2)</v>
      </c>
      <c r="F387" s="302">
        <f>'Ind T6'!N475</f>
        <v>1.3119999999985124</v>
      </c>
      <c r="G387" s="299" t="str">
        <f>CONCATENATE("(",ROUND((F387/$H389)*100,1),")")</f>
        <v>(1.5)</v>
      </c>
      <c r="H387" s="302">
        <f>SUM(B387,D387,F387)</f>
        <v>38.287999999685937</v>
      </c>
      <c r="I387" s="299" t="str">
        <f>CONCATENATE("(",ROUND((H387/$H389)*100,1),")")</f>
        <v>(42.9)</v>
      </c>
      <c r="K387" s="302">
        <f>B392-B387</f>
        <v>1.5590000000586315</v>
      </c>
      <c r="L387" s="302">
        <f>D392-D387</f>
        <v>0.59299999999057018</v>
      </c>
      <c r="M387" s="302">
        <f>F392-F387</f>
        <v>9.3000000042122943E-2</v>
      </c>
      <c r="N387" s="302">
        <f>SUM(K387:M387)</f>
        <v>2.2450000000913244</v>
      </c>
    </row>
    <row r="388" spans="1:14" x14ac:dyDescent="0.3">
      <c r="A388" s="282" t="s">
        <v>356</v>
      </c>
      <c r="B388" s="302">
        <f>'Ind T6'!L474</f>
        <v>28.293000000091268</v>
      </c>
      <c r="C388" s="299" t="str">
        <f>CONCATENATE("(",ROUND((B388/$H389)*100,1),")")</f>
        <v>(31.7)</v>
      </c>
      <c r="D388" s="302">
        <f>'Ind T6'!M474</f>
        <v>22.764000000047481</v>
      </c>
      <c r="E388" s="299" t="str">
        <f>CONCATENATE("(",ROUND((D388/$H389)*100,1),")")</f>
        <v>(25.5)</v>
      </c>
      <c r="F388" s="302">
        <f>'Ind T6'!N474</f>
        <v>0</v>
      </c>
      <c r="G388" s="299" t="str">
        <f>CONCATENATE("(",ROUND((F388/$H389)*100,1),")")</f>
        <v>(0)</v>
      </c>
      <c r="H388" s="302">
        <f t="shared" ref="H388" si="290">SUM(B388,D388,F388)</f>
        <v>51.05700000013875</v>
      </c>
      <c r="I388" s="299" t="str">
        <f>CONCATENATE("(",ROUND((H388/$H389)*100,1),")")</f>
        <v>(57.1)</v>
      </c>
      <c r="K388" s="302">
        <f t="shared" ref="K388:K389" si="291">B393-B388</f>
        <v>1.9760000004751177</v>
      </c>
      <c r="L388" s="302">
        <f t="shared" ref="L388:L389" si="292">D393-D388</f>
        <v>1.640000000053778</v>
      </c>
      <c r="M388" s="302">
        <f t="shared" ref="M388:M389" si="293">F393-F388</f>
        <v>0</v>
      </c>
      <c r="N388" s="302">
        <f t="shared" ref="N388:N389" si="294">SUM(K388:M388)</f>
        <v>3.6160000005288957</v>
      </c>
    </row>
    <row r="389" spans="1:14" x14ac:dyDescent="0.3">
      <c r="A389" s="282" t="s">
        <v>354</v>
      </c>
      <c r="B389" s="302">
        <f>SUM(B387:B388)</f>
        <v>60.615999999802945</v>
      </c>
      <c r="C389" s="299" t="str">
        <f>CONCATENATE("(",ROUND((B389/$H389)*100,1),")")</f>
        <v>(67.8)</v>
      </c>
      <c r="D389" s="302">
        <f>SUM(D387:D388)</f>
        <v>27.417000000023229</v>
      </c>
      <c r="E389" s="299" t="str">
        <f>CONCATENATE("(",ROUND((D389/$H389)*100,1),")")</f>
        <v>(30.7)</v>
      </c>
      <c r="F389" s="302">
        <f>SUM(F387:F388)</f>
        <v>1.3119999999985124</v>
      </c>
      <c r="G389" s="299" t="str">
        <f>CONCATENATE("(",ROUND((F389/$H389)*100,1),")")</f>
        <v>(1.5)</v>
      </c>
      <c r="H389" s="302">
        <f>SUM(H387:H388)</f>
        <v>89.344999999824694</v>
      </c>
      <c r="I389" s="299" t="str">
        <f>CONCATENATE("(",ROUND((H389/$H389)*100,1),")")</f>
        <v>(100)</v>
      </c>
      <c r="K389" s="302">
        <f t="shared" si="291"/>
        <v>3.5350000005337492</v>
      </c>
      <c r="L389" s="302">
        <f t="shared" si="292"/>
        <v>2.2330000000443491</v>
      </c>
      <c r="M389" s="302">
        <f t="shared" si="293"/>
        <v>9.3000000042122943E-2</v>
      </c>
      <c r="N389" s="302">
        <f t="shared" si="294"/>
        <v>5.861000000620221</v>
      </c>
    </row>
    <row r="390" spans="1:14" x14ac:dyDescent="0.3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3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3">
      <c r="A392" s="282" t="s">
        <v>355</v>
      </c>
      <c r="B392" s="302">
        <f>'Ind T6'!Q475</f>
        <v>33.881999999770308</v>
      </c>
      <c r="C392" s="299" t="str">
        <f>CONCATENATE("(",ROUND((B392/$H394)*100,1),")")</f>
        <v>(35.6)</v>
      </c>
      <c r="D392" s="302">
        <f>'Ind T6'!R475</f>
        <v>5.2459999999663172</v>
      </c>
      <c r="E392" s="299" t="str">
        <f>CONCATENATE("(",ROUND((D392/$H394)*100,1),")")</f>
        <v>(5.5)</v>
      </c>
      <c r="F392" s="302">
        <f>'Ind T6'!S475</f>
        <v>1.4050000000406353</v>
      </c>
      <c r="G392" s="299" t="str">
        <f>CONCATENATE("(",ROUND((F392/$H394)*100,1),")")</f>
        <v>(1.5)</v>
      </c>
      <c r="H392" s="302">
        <f>SUM(B392,D392,F392)</f>
        <v>40.53299999977726</v>
      </c>
      <c r="I392" s="299" t="str">
        <f>CONCATENATE("(",ROUND((H392/$H394)*100,1),")")</f>
        <v>(42.6)</v>
      </c>
      <c r="K392" s="302">
        <f>B397-B392</f>
        <v>0.87199999979189613</v>
      </c>
      <c r="L392" s="302">
        <f>D397-D392</f>
        <v>0.94199999998489314</v>
      </c>
      <c r="M392" s="302">
        <f>F397-F392</f>
        <v>0.11399999997773391</v>
      </c>
      <c r="N392" s="302">
        <f>SUM(K392:M392)</f>
        <v>1.9279999997545232</v>
      </c>
    </row>
    <row r="393" spans="1:14" x14ac:dyDescent="0.3">
      <c r="A393" s="282" t="s">
        <v>356</v>
      </c>
      <c r="B393" s="302">
        <f>'Ind T6'!Q474</f>
        <v>30.269000000566386</v>
      </c>
      <c r="C393" s="299" t="str">
        <f>CONCATENATE("(",ROUND((B393/$H394)*100,1),")")</f>
        <v>(31.8)</v>
      </c>
      <c r="D393" s="302">
        <f>'Ind T6'!R474</f>
        <v>24.404000000101259</v>
      </c>
      <c r="E393" s="299" t="str">
        <f>CONCATENATE("(",ROUND((D393/$H394)*100,1),")")</f>
        <v>(25.6)</v>
      </c>
      <c r="F393" s="302">
        <f>'Ind T6'!S474</f>
        <v>0</v>
      </c>
      <c r="G393" s="299" t="str">
        <f>CONCATENATE("(",ROUND((F393/$H394)*100,1),")")</f>
        <v>(0)</v>
      </c>
      <c r="H393" s="302">
        <f t="shared" ref="H393" si="295">SUM(B393,D393,F393)</f>
        <v>54.673000000667642</v>
      </c>
      <c r="I393" s="299" t="str">
        <f>CONCATENATE("(",ROUND((H393/$H394)*100,1),")")</f>
        <v>(57.4)</v>
      </c>
      <c r="K393" s="302">
        <f t="shared" ref="K393:K394" si="296">B398-B393</f>
        <v>2.0969999996632751</v>
      </c>
      <c r="L393" s="302">
        <f t="shared" ref="L393:L394" si="297">D398-D393</f>
        <v>1.7019999999363336</v>
      </c>
      <c r="M393" s="302">
        <f t="shared" ref="M393:M394" si="298">F398-F393</f>
        <v>0</v>
      </c>
      <c r="N393" s="302">
        <f t="shared" ref="N393:N394" si="299">SUM(K393:M393)</f>
        <v>3.7989999995996087</v>
      </c>
    </row>
    <row r="394" spans="1:14" x14ac:dyDescent="0.3">
      <c r="A394" s="282" t="s">
        <v>354</v>
      </c>
      <c r="B394" s="302">
        <f>SUM(B392:B393)</f>
        <v>64.151000000336694</v>
      </c>
      <c r="C394" s="299" t="str">
        <f>CONCATENATE("(",ROUND((B394/$H394)*100,1),")")</f>
        <v>(67.4)</v>
      </c>
      <c r="D394" s="302">
        <f>SUM(D392:D393)</f>
        <v>29.650000000067578</v>
      </c>
      <c r="E394" s="299" t="str">
        <f>CONCATENATE("(",ROUND((D394/$H394)*100,1),")")</f>
        <v>(31.1)</v>
      </c>
      <c r="F394" s="302">
        <f>SUM(F392:F393)</f>
        <v>1.4050000000406353</v>
      </c>
      <c r="G394" s="299" t="str">
        <f>CONCATENATE("(",ROUND((F394/$H394)*100,1),")")</f>
        <v>(1.5)</v>
      </c>
      <c r="H394" s="302">
        <f>SUM(H392:H393)</f>
        <v>95.206000000444902</v>
      </c>
      <c r="I394" s="299" t="str">
        <f>CONCATENATE("(",ROUND((H394/$H394)*100,1),")")</f>
        <v>(100)</v>
      </c>
      <c r="K394" s="302">
        <f t="shared" si="296"/>
        <v>2.9689999994551783</v>
      </c>
      <c r="L394" s="302">
        <f t="shared" si="297"/>
        <v>2.6439999999212276</v>
      </c>
      <c r="M394" s="302">
        <f t="shared" si="298"/>
        <v>0.11399999997773391</v>
      </c>
      <c r="N394" s="302">
        <f t="shared" si="299"/>
        <v>5.7269999993541401</v>
      </c>
    </row>
    <row r="395" spans="1:14" x14ac:dyDescent="0.3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3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3">
      <c r="A397" s="282" t="s">
        <v>355</v>
      </c>
      <c r="B397" s="302">
        <f>'Ind T6'!V475</f>
        <v>34.753999999562204</v>
      </c>
      <c r="C397" s="299" t="str">
        <f>CONCATENATE("(",ROUND((B397/$H399)*100,1),")")</f>
        <v>(34.4)</v>
      </c>
      <c r="D397" s="302">
        <f>'Ind T6'!W475</f>
        <v>6.1879999999512103</v>
      </c>
      <c r="E397" s="299" t="str">
        <f>CONCATENATE("(",ROUND((D397/$H399)*100,1),")")</f>
        <v>(6.1)</v>
      </c>
      <c r="F397" s="302">
        <f>'Ind T6'!X475</f>
        <v>1.5190000000183692</v>
      </c>
      <c r="G397" s="299" t="str">
        <f>CONCATENATE("(",ROUND((F397/$H399)*100,1),")")</f>
        <v>(1.5)</v>
      </c>
      <c r="H397" s="302">
        <f>SUM(B397,D397,F397)</f>
        <v>42.460999999531779</v>
      </c>
      <c r="I397" s="299" t="str">
        <f>CONCATENATE("(",ROUND((H397/$H399)*100,1),")")</f>
        <v>(42.1)</v>
      </c>
      <c r="K397" s="302">
        <f>B397-B387</f>
        <v>2.4309999998505276</v>
      </c>
      <c r="L397" s="302">
        <f>D397-D387</f>
        <v>1.5349999999754633</v>
      </c>
      <c r="M397" s="302">
        <f>F397-F387</f>
        <v>0.20700000001985686</v>
      </c>
      <c r="N397" s="302">
        <f>SUM(K397:M397)</f>
        <v>4.1729999998458478</v>
      </c>
    </row>
    <row r="398" spans="1:14" x14ac:dyDescent="0.3">
      <c r="A398" s="282" t="s">
        <v>356</v>
      </c>
      <c r="B398" s="302">
        <f>'Ind T6'!V474</f>
        <v>32.366000000229661</v>
      </c>
      <c r="C398" s="299" t="str">
        <f>CONCATENATE("(",ROUND((B398/$H399)*100,1),")")</f>
        <v>(32.1)</v>
      </c>
      <c r="D398" s="302">
        <f>'Ind T6'!W474</f>
        <v>26.106000000037593</v>
      </c>
      <c r="E398" s="299" t="str">
        <f>CONCATENATE("(",ROUND((D398/$H399)*100,1),")")</f>
        <v>(25.9)</v>
      </c>
      <c r="F398" s="302">
        <f>'Ind T6'!X474</f>
        <v>0</v>
      </c>
      <c r="G398" s="299" t="str">
        <f>CONCATENATE("(",ROUND((F398/$H399)*100,1),")")</f>
        <v>(0)</v>
      </c>
      <c r="H398" s="302">
        <f t="shared" ref="H398" si="300">SUM(B398,D398,F398)</f>
        <v>58.472000000267258</v>
      </c>
      <c r="I398" s="299" t="str">
        <f>CONCATENATE("(",ROUND((H398/$H399)*100,1),")")</f>
        <v>(57.9)</v>
      </c>
      <c r="K398" s="302">
        <f t="shared" ref="K398:K399" si="301">B398-B388</f>
        <v>4.0730000001383928</v>
      </c>
      <c r="L398" s="302">
        <f t="shared" ref="L398:L399" si="302">D398-D388</f>
        <v>3.3419999999901115</v>
      </c>
      <c r="M398" s="302">
        <f t="shared" ref="M398:M399" si="303">F398-F388</f>
        <v>0</v>
      </c>
      <c r="N398" s="302">
        <f t="shared" ref="N398:N399" si="304">SUM(K398:M398)</f>
        <v>7.4150000001285044</v>
      </c>
    </row>
    <row r="399" spans="1:14" x14ac:dyDescent="0.3">
      <c r="A399" s="282" t="s">
        <v>354</v>
      </c>
      <c r="B399" s="302">
        <f>SUM(B397:B398)</f>
        <v>67.119999999791872</v>
      </c>
      <c r="C399" s="299" t="str">
        <f>CONCATENATE("(",ROUND((B399/$H399)*100,1),")")</f>
        <v>(66.5)</v>
      </c>
      <c r="D399" s="302">
        <f>SUM(D397:D398)</f>
        <v>32.293999999988806</v>
      </c>
      <c r="E399" s="299" t="str">
        <f>CONCATENATE("(",ROUND((D399/$H399)*100,1),")")</f>
        <v>(32)</v>
      </c>
      <c r="F399" s="302">
        <f>SUM(F397:F398)</f>
        <v>1.5190000000183692</v>
      </c>
      <c r="G399" s="299" t="str">
        <f>CONCATENATE("(",ROUND((F399/$H399)*100,1),")")</f>
        <v>(1.5)</v>
      </c>
      <c r="H399" s="302">
        <f>SUM(H397:H398)</f>
        <v>100.93299999979904</v>
      </c>
      <c r="I399" s="299" t="str">
        <f>CONCATENATE("(",ROUND((H399/$H399)*100,1),")")</f>
        <v>(100)</v>
      </c>
      <c r="K399" s="302">
        <f t="shared" si="301"/>
        <v>6.5039999999889275</v>
      </c>
      <c r="L399" s="302">
        <f t="shared" si="302"/>
        <v>4.8769999999655766</v>
      </c>
      <c r="M399" s="302">
        <f t="shared" si="303"/>
        <v>0.20700000001985686</v>
      </c>
      <c r="N399" s="302">
        <f t="shared" si="304"/>
        <v>11.587999999974361</v>
      </c>
    </row>
    <row r="400" spans="1:14" x14ac:dyDescent="0.3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3">
      <c r="A404" s="288"/>
      <c r="B404" s="289" t="s">
        <v>379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3">
      <c r="N405" s="287" t="s">
        <v>377</v>
      </c>
    </row>
    <row r="406" spans="1:14" x14ac:dyDescent="0.3">
      <c r="A406" s="181" t="s">
        <v>378</v>
      </c>
      <c r="B406" s="370" t="s">
        <v>376</v>
      </c>
      <c r="C406" s="370"/>
      <c r="D406" s="370" t="s">
        <v>375</v>
      </c>
      <c r="E406" s="370"/>
      <c r="F406" s="370" t="s">
        <v>374</v>
      </c>
      <c r="G406" s="370"/>
      <c r="H406" s="370" t="s">
        <v>32</v>
      </c>
      <c r="I406" s="370"/>
      <c r="J406" s="181"/>
      <c r="K406" s="297" t="s">
        <v>339</v>
      </c>
      <c r="L406" s="297" t="s">
        <v>341</v>
      </c>
      <c r="M406" s="297" t="s">
        <v>337</v>
      </c>
      <c r="N406" s="297" t="s">
        <v>32</v>
      </c>
    </row>
    <row r="407" spans="1:14" x14ac:dyDescent="0.3">
      <c r="A407" s="292">
        <f>$A$8</f>
        <v>2020</v>
      </c>
      <c r="B407" s="287" t="s">
        <v>60</v>
      </c>
      <c r="C407" s="19" t="s">
        <v>373</v>
      </c>
      <c r="D407" s="287" t="s">
        <v>60</v>
      </c>
      <c r="E407" s="19" t="s">
        <v>373</v>
      </c>
      <c r="F407" s="287" t="s">
        <v>60</v>
      </c>
      <c r="G407" s="19" t="s">
        <v>373</v>
      </c>
      <c r="H407" s="287" t="s">
        <v>60</v>
      </c>
      <c r="I407" s="19" t="s">
        <v>373</v>
      </c>
      <c r="J407" s="181"/>
      <c r="K407" s="286" t="str">
        <f>CONCATENATE(A407," - ",A412)</f>
        <v>2020 - 2025</v>
      </c>
      <c r="L407" s="285"/>
      <c r="M407" s="285"/>
    </row>
    <row r="408" spans="1:14" x14ac:dyDescent="0.3">
      <c r="A408" s="282" t="s">
        <v>355</v>
      </c>
      <c r="B408" s="302">
        <f>'Ind T6'!L485</f>
        <v>43.169000000628053</v>
      </c>
      <c r="C408" s="299" t="str">
        <f>CONCATENATE("(",ROUND((B408/$H410)*100,1),")")</f>
        <v>(15.2)</v>
      </c>
      <c r="D408" s="302">
        <f>'Ind T6'!M485</f>
        <v>21.43600000030165</v>
      </c>
      <c r="E408" s="299" t="str">
        <f>CONCATENATE("(",ROUND((D408/$H410)*100,1),")")</f>
        <v>(7.6)</v>
      </c>
      <c r="F408" s="302">
        <f>'Ind T6'!N485</f>
        <v>8.5430000002163045</v>
      </c>
      <c r="G408" s="299" t="str">
        <f>CONCATENATE("(",ROUND((F408/$H410)*100,1),")")</f>
        <v>(3)</v>
      </c>
      <c r="H408" s="302">
        <f>SUM(B408,D408,F408)</f>
        <v>73.148000001146016</v>
      </c>
      <c r="I408" s="299" t="str">
        <f>CONCATENATE("(",ROUND((H408/$H410)*100,1),")")</f>
        <v>(25.8)</v>
      </c>
      <c r="K408" s="302">
        <f>B413-B408</f>
        <v>-1.0560000026651437</v>
      </c>
      <c r="L408" s="302">
        <f>D413-D408</f>
        <v>3.5999999236331348E-2</v>
      </c>
      <c r="M408" s="302">
        <f>F413-F408</f>
        <v>6.5000000524438661E-2</v>
      </c>
      <c r="N408" s="302">
        <f>SUM(K408:M408)</f>
        <v>-0.9550000029043737</v>
      </c>
    </row>
    <row r="409" spans="1:14" x14ac:dyDescent="0.3">
      <c r="A409" s="282" t="s">
        <v>356</v>
      </c>
      <c r="B409" s="302">
        <f>'Ind T6'!L484</f>
        <v>76.877000005100129</v>
      </c>
      <c r="C409" s="299" t="str">
        <f>CONCATENATE("(",ROUND((B409/$H410)*100,1),")")</f>
        <v>(27.1)</v>
      </c>
      <c r="D409" s="302">
        <f>'Ind T6'!M484</f>
        <v>119.45999999677451</v>
      </c>
      <c r="E409" s="299" t="str">
        <f>CONCATENATE("(",ROUND((D409/$H410)*100,1),")")</f>
        <v>(42.2)</v>
      </c>
      <c r="F409" s="302">
        <f>'Ind T6'!N484</f>
        <v>13.750000000395438</v>
      </c>
      <c r="G409" s="299" t="str">
        <f>CONCATENATE("(",ROUND((F409/$H410)*100,1),")")</f>
        <v>(4.9)</v>
      </c>
      <c r="H409" s="302">
        <f t="shared" ref="H409" si="305">SUM(B409,D409,F409)</f>
        <v>210.08700000227006</v>
      </c>
      <c r="I409" s="299" t="str">
        <f>CONCATENATE("(",ROUND((H409/$H410)*100,1),")")</f>
        <v>(74.2)</v>
      </c>
      <c r="K409" s="302">
        <f t="shared" ref="K409:K410" si="306">B414-B409</f>
        <v>0.80099998778247539</v>
      </c>
      <c r="L409" s="302">
        <f t="shared" ref="L409:L410" si="307">D414-D409</f>
        <v>-3.9220000049824648</v>
      </c>
      <c r="M409" s="302">
        <f t="shared" ref="M409:M410" si="308">F414-F409</f>
        <v>-7.0000001870322848E-3</v>
      </c>
      <c r="N409" s="302">
        <f t="shared" ref="N409:N410" si="309">SUM(K409:M409)</f>
        <v>-3.1280000173870217</v>
      </c>
    </row>
    <row r="410" spans="1:14" x14ac:dyDescent="0.3">
      <c r="A410" s="282" t="s">
        <v>354</v>
      </c>
      <c r="B410" s="302">
        <f>SUM(B408:B409)</f>
        <v>120.04600000572819</v>
      </c>
      <c r="C410" s="299" t="str">
        <f>CONCATENATE("(",ROUND((B410/$H410)*100,1),")")</f>
        <v>(42.4)</v>
      </c>
      <c r="D410" s="302">
        <f>SUM(D408:D409)</f>
        <v>140.89599999707616</v>
      </c>
      <c r="E410" s="299" t="str">
        <f>CONCATENATE("(",ROUND((D410/$H410)*100,1),")")</f>
        <v>(49.7)</v>
      </c>
      <c r="F410" s="302">
        <f>SUM(F408:F409)</f>
        <v>22.293000000611741</v>
      </c>
      <c r="G410" s="299" t="str">
        <f>CONCATENATE("(",ROUND((F410/$H410)*100,1),")")</f>
        <v>(7.9)</v>
      </c>
      <c r="H410" s="302">
        <f>SUM(H408:H409)</f>
        <v>283.23500000341608</v>
      </c>
      <c r="I410" s="299" t="str">
        <f>CONCATENATE("(",ROUND((H410/$H410)*100,1),")")</f>
        <v>(100)</v>
      </c>
      <c r="K410" s="302">
        <f t="shared" si="306"/>
        <v>-0.25500001488268254</v>
      </c>
      <c r="L410" s="302">
        <f t="shared" si="307"/>
        <v>-3.8860000057461264</v>
      </c>
      <c r="M410" s="302">
        <f t="shared" si="308"/>
        <v>5.8000000337408153E-2</v>
      </c>
      <c r="N410" s="302">
        <f t="shared" si="309"/>
        <v>-4.0830000202914007</v>
      </c>
    </row>
    <row r="411" spans="1:14" x14ac:dyDescent="0.3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3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3">
      <c r="A413" s="282" t="s">
        <v>355</v>
      </c>
      <c r="B413" s="302">
        <f>'Ind T6'!Q485</f>
        <v>42.112999997962909</v>
      </c>
      <c r="C413" s="299" t="str">
        <f>CONCATENATE("(",ROUND((B413/$H415)*100,1),")")</f>
        <v>(15.1)</v>
      </c>
      <c r="D413" s="302">
        <f>'Ind T6'!R485</f>
        <v>21.471999999537982</v>
      </c>
      <c r="E413" s="299" t="str">
        <f>CONCATENATE("(",ROUND((D413/$H415)*100,1),")")</f>
        <v>(7.7)</v>
      </c>
      <c r="F413" s="302">
        <f>'Ind T6'!S485</f>
        <v>8.6080000007407431</v>
      </c>
      <c r="G413" s="299" t="str">
        <f>CONCATENATE("(",ROUND((F413/$H415)*100,1),")")</f>
        <v>(3.1)</v>
      </c>
      <c r="H413" s="302">
        <f>SUM(B413,D413,F413)</f>
        <v>72.192999998241632</v>
      </c>
      <c r="I413" s="299" t="str">
        <f>CONCATENATE("(",ROUND((H413/$H415)*100,1),")")</f>
        <v>(25.9)</v>
      </c>
      <c r="K413" s="302">
        <f>B418-B413</f>
        <v>-0.12499999949434937</v>
      </c>
      <c r="L413" s="302">
        <f>D418-D413</f>
        <v>0.96699999973622752</v>
      </c>
      <c r="M413" s="302">
        <f>F418-F413</f>
        <v>0.46699999985364826</v>
      </c>
      <c r="N413" s="302">
        <f>SUM(K413:M413)</f>
        <v>1.3090000000955264</v>
      </c>
    </row>
    <row r="414" spans="1:14" x14ac:dyDescent="0.3">
      <c r="A414" s="282" t="s">
        <v>356</v>
      </c>
      <c r="B414" s="302">
        <f>'Ind T6'!Q484</f>
        <v>77.677999992882604</v>
      </c>
      <c r="C414" s="299" t="str">
        <f>CONCATENATE("(",ROUND((B414/$H415)*100,1),")")</f>
        <v>(27.8)</v>
      </c>
      <c r="D414" s="302">
        <f>'Ind T6'!R484</f>
        <v>115.53799999179205</v>
      </c>
      <c r="E414" s="299" t="str">
        <f>CONCATENATE("(",ROUND((D414/$H415)*100,1),")")</f>
        <v>(41.4)</v>
      </c>
      <c r="F414" s="302">
        <f>'Ind T6'!S484</f>
        <v>13.743000000208406</v>
      </c>
      <c r="G414" s="299" t="str">
        <f>CONCATENATE("(",ROUND((F414/$H415)*100,1),")")</f>
        <v>(4.9)</v>
      </c>
      <c r="H414" s="302">
        <f t="shared" ref="H414" si="310">SUM(B414,D414,F414)</f>
        <v>206.95899998488306</v>
      </c>
      <c r="I414" s="299" t="str">
        <f>CONCATENATE("(",ROUND((H414/$H415)*100,1),")")</f>
        <v>(74.1)</v>
      </c>
      <c r="K414" s="302">
        <f t="shared" ref="K414:K415" si="311">B419-B414</f>
        <v>5.4620000095951298</v>
      </c>
      <c r="L414" s="302">
        <f t="shared" ref="L414:L415" si="312">D419-D414</f>
        <v>-2.4949999902469671</v>
      </c>
      <c r="M414" s="302">
        <f t="shared" ref="M414:M415" si="313">F419-F414</f>
        <v>0.33400000000810692</v>
      </c>
      <c r="N414" s="302">
        <f t="shared" ref="N414:N415" si="314">SUM(K414:M414)</f>
        <v>3.3010000193562696</v>
      </c>
    </row>
    <row r="415" spans="1:14" x14ac:dyDescent="0.3">
      <c r="A415" s="282" t="s">
        <v>354</v>
      </c>
      <c r="B415" s="302">
        <f>SUM(B413:B414)</f>
        <v>119.79099999084551</v>
      </c>
      <c r="C415" s="299" t="str">
        <f>CONCATENATE("(",ROUND((B415/$H415)*100,1),")")</f>
        <v>(42.9)</v>
      </c>
      <c r="D415" s="302">
        <f>SUM(D413:D414)</f>
        <v>137.00999999133003</v>
      </c>
      <c r="E415" s="299" t="str">
        <f>CONCATENATE("(",ROUND((D415/$H415)*100,1),")")</f>
        <v>(49.1)</v>
      </c>
      <c r="F415" s="302">
        <f>SUM(F413:F414)</f>
        <v>22.351000000949149</v>
      </c>
      <c r="G415" s="299" t="str">
        <f>CONCATENATE("(",ROUND((F415/$H415)*100,1),")")</f>
        <v>(8)</v>
      </c>
      <c r="H415" s="302">
        <f>SUM(H413:H414)</f>
        <v>279.15199998312471</v>
      </c>
      <c r="I415" s="299" t="str">
        <f>CONCATENATE("(",ROUND((H415/$H415)*100,1),")")</f>
        <v>(100)</v>
      </c>
      <c r="K415" s="302">
        <f t="shared" si="311"/>
        <v>5.3370000101007804</v>
      </c>
      <c r="L415" s="302">
        <f t="shared" si="312"/>
        <v>-1.5279999905107502</v>
      </c>
      <c r="M415" s="302">
        <f t="shared" si="313"/>
        <v>0.80099999986175519</v>
      </c>
      <c r="N415" s="302">
        <f t="shared" si="314"/>
        <v>4.6100000194517854</v>
      </c>
    </row>
    <row r="416" spans="1:14" x14ac:dyDescent="0.3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3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3">
      <c r="A418" s="282" t="s">
        <v>355</v>
      </c>
      <c r="B418" s="302">
        <f>'Ind T6'!V485</f>
        <v>41.98799999846856</v>
      </c>
      <c r="C418" s="299" t="str">
        <f>CONCATENATE("(",ROUND((B418/$H420)*100,1),")")</f>
        <v>(14.8)</v>
      </c>
      <c r="D418" s="302">
        <f>'Ind T6'!W485</f>
        <v>22.438999999274209</v>
      </c>
      <c r="E418" s="299" t="str">
        <f>CONCATENATE("(",ROUND((D418/$H420)*100,1),")")</f>
        <v>(7.9)</v>
      </c>
      <c r="F418" s="302">
        <f>'Ind T6'!X485</f>
        <v>9.0750000005943914</v>
      </c>
      <c r="G418" s="299" t="str">
        <f>CONCATENATE("(",ROUND((F418/$H420)*100,1),")")</f>
        <v>(3.2)</v>
      </c>
      <c r="H418" s="302">
        <f>SUM(B418,D418,F418)</f>
        <v>73.501999998337155</v>
      </c>
      <c r="I418" s="299" t="str">
        <f>CONCATENATE("(",ROUND((H418/$H420)*100,1),")")</f>
        <v>(25.9)</v>
      </c>
      <c r="K418" s="302">
        <f>B418-B408</f>
        <v>-1.1810000021594931</v>
      </c>
      <c r="L418" s="302">
        <f>D418-D408</f>
        <v>1.0029999989725589</v>
      </c>
      <c r="M418" s="302">
        <f>F418-F408</f>
        <v>0.53200000037808692</v>
      </c>
      <c r="N418" s="302">
        <f>SUM(K418:M418)</f>
        <v>0.35399999719115272</v>
      </c>
    </row>
    <row r="419" spans="1:14" x14ac:dyDescent="0.3">
      <c r="A419" s="282" t="s">
        <v>356</v>
      </c>
      <c r="B419" s="302">
        <f>'Ind T6'!V484</f>
        <v>83.140000002477734</v>
      </c>
      <c r="C419" s="299" t="str">
        <f>CONCATENATE("(",ROUND((B419/$H420)*100,1),")")</f>
        <v>(29.3)</v>
      </c>
      <c r="D419" s="302">
        <f>'Ind T6'!W484</f>
        <v>113.04300000154508</v>
      </c>
      <c r="E419" s="299" t="str">
        <f>CONCATENATE("(",ROUND((D419/$H420)*100,1),")")</f>
        <v>(39.8)</v>
      </c>
      <c r="F419" s="302">
        <f>'Ind T6'!X484</f>
        <v>14.077000000216513</v>
      </c>
      <c r="G419" s="299" t="str">
        <f>CONCATENATE("(",ROUND((F419/$H420)*100,1),")")</f>
        <v>(5)</v>
      </c>
      <c r="H419" s="302">
        <f t="shared" ref="H419" si="315">SUM(B419,D419,F419)</f>
        <v>210.26000000423932</v>
      </c>
      <c r="I419" s="299" t="str">
        <f>CONCATENATE("(",ROUND((H419/$H420)*100,1),")")</f>
        <v>(74.1)</v>
      </c>
      <c r="K419" s="302">
        <f t="shared" ref="K419:K420" si="316">B419-B409</f>
        <v>6.2629999973776052</v>
      </c>
      <c r="L419" s="302">
        <f t="shared" ref="L419:L420" si="317">D419-D409</f>
        <v>-6.4169999952294319</v>
      </c>
      <c r="M419" s="302">
        <f t="shared" ref="M419:M420" si="318">F419-F409</f>
        <v>0.32699999982107464</v>
      </c>
      <c r="N419" s="302">
        <f t="shared" ref="N419:N420" si="319">SUM(K419:M419)</f>
        <v>0.17300000196924792</v>
      </c>
    </row>
    <row r="420" spans="1:14" x14ac:dyDescent="0.3">
      <c r="A420" s="282" t="s">
        <v>354</v>
      </c>
      <c r="B420" s="302">
        <f>SUM(B418:B419)</f>
        <v>125.12800000094629</v>
      </c>
      <c r="C420" s="299" t="str">
        <f>CONCATENATE("(",ROUND((B420/$H420)*100,1),")")</f>
        <v>(44.1)</v>
      </c>
      <c r="D420" s="302">
        <f>SUM(D418:D419)</f>
        <v>135.48200000081928</v>
      </c>
      <c r="E420" s="299" t="str">
        <f>CONCATENATE("(",ROUND((D420/$H420)*100,1),")")</f>
        <v>(47.7)</v>
      </c>
      <c r="F420" s="302">
        <f>SUM(F418:F419)</f>
        <v>23.152000000810904</v>
      </c>
      <c r="G420" s="299" t="str">
        <f>CONCATENATE("(",ROUND((F420/$H420)*100,1),")")</f>
        <v>(8.2)</v>
      </c>
      <c r="H420" s="302">
        <f>SUM(H418:H419)</f>
        <v>283.76200000257649</v>
      </c>
      <c r="I420" s="299" t="str">
        <f>CONCATENATE("(",ROUND((H420/$H420)*100,1),")")</f>
        <v>(100)</v>
      </c>
      <c r="K420" s="302">
        <f t="shared" si="316"/>
        <v>5.0819999952180979</v>
      </c>
      <c r="L420" s="302">
        <f t="shared" si="317"/>
        <v>-5.4139999962568766</v>
      </c>
      <c r="M420" s="302">
        <f t="shared" si="318"/>
        <v>0.85900000019916334</v>
      </c>
      <c r="N420" s="302">
        <f t="shared" si="319"/>
        <v>0.52699999916038465</v>
      </c>
    </row>
    <row r="421" spans="1:14" x14ac:dyDescent="0.3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3">
      <c r="C424" s="181"/>
      <c r="E424" s="181"/>
      <c r="G424" s="181"/>
      <c r="I424" s="181"/>
    </row>
    <row r="425" spans="1:14" x14ac:dyDescent="0.3">
      <c r="A425" s="288"/>
      <c r="B425" s="289" t="s">
        <v>379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3">
      <c r="N426" s="287" t="s">
        <v>377</v>
      </c>
    </row>
    <row r="427" spans="1:14" x14ac:dyDescent="0.3">
      <c r="A427" s="181" t="s">
        <v>378</v>
      </c>
      <c r="B427" s="370" t="s">
        <v>376</v>
      </c>
      <c r="C427" s="370"/>
      <c r="D427" s="370" t="s">
        <v>375</v>
      </c>
      <c r="E427" s="370"/>
      <c r="F427" s="370" t="s">
        <v>374</v>
      </c>
      <c r="G427" s="370"/>
      <c r="H427" s="370" t="s">
        <v>32</v>
      </c>
      <c r="I427" s="370"/>
      <c r="J427" s="181"/>
      <c r="K427" s="297" t="s">
        <v>339</v>
      </c>
      <c r="L427" s="297" t="s">
        <v>341</v>
      </c>
      <c r="M427" s="297" t="s">
        <v>337</v>
      </c>
      <c r="N427" s="297" t="s">
        <v>32</v>
      </c>
    </row>
    <row r="428" spans="1:14" x14ac:dyDescent="0.3">
      <c r="A428" s="292">
        <f>$A$8</f>
        <v>2020</v>
      </c>
      <c r="B428" s="287" t="s">
        <v>60</v>
      </c>
      <c r="C428" s="19" t="s">
        <v>373</v>
      </c>
      <c r="D428" s="287" t="s">
        <v>60</v>
      </c>
      <c r="E428" s="19" t="s">
        <v>373</v>
      </c>
      <c r="F428" s="287" t="s">
        <v>60</v>
      </c>
      <c r="G428" s="19" t="s">
        <v>373</v>
      </c>
      <c r="H428" s="287" t="s">
        <v>60</v>
      </c>
      <c r="I428" s="19" t="s">
        <v>373</v>
      </c>
      <c r="J428" s="181"/>
      <c r="K428" s="286" t="str">
        <f>CONCATENATE(A428," - ",A433)</f>
        <v>2020 - 2025</v>
      </c>
      <c r="L428" s="285"/>
      <c r="M428" s="285"/>
    </row>
    <row r="429" spans="1:14" x14ac:dyDescent="0.3">
      <c r="A429" s="282" t="s">
        <v>355</v>
      </c>
      <c r="B429" s="302">
        <f>'Ind T6'!L510</f>
        <v>47.417999999461792</v>
      </c>
      <c r="C429" s="299" t="str">
        <f>CONCATENATE("(",ROUND((B429/$H431)*100,1),")")</f>
        <v>(12.9)</v>
      </c>
      <c r="D429" s="302">
        <f>'Ind T6'!M510</f>
        <v>14.925000000032487</v>
      </c>
      <c r="E429" s="299" t="str">
        <f>CONCATENATE("(",ROUND((D429/$H431)*100,1),")")</f>
        <v>(4.1)</v>
      </c>
      <c r="F429" s="302">
        <f>'Ind T6'!N510</f>
        <v>4.6800000000862987</v>
      </c>
      <c r="G429" s="299" t="str">
        <f>CONCATENATE("(",ROUND((F429/$H431)*100,1),")")</f>
        <v>(1.3)</v>
      </c>
      <c r="H429" s="302">
        <f>SUM(B429,D429,F429)</f>
        <v>67.022999999580577</v>
      </c>
      <c r="I429" s="299" t="str">
        <f>CONCATENATE("(",ROUND((H429/$H431)*100,1),")")</f>
        <v>(18.3)</v>
      </c>
      <c r="K429" s="302">
        <f>B434-B429</f>
        <v>4.1829999998423446</v>
      </c>
      <c r="L429" s="302">
        <f>D434-D429</f>
        <v>1.3869999999715468</v>
      </c>
      <c r="M429" s="302">
        <f>F434-F429</f>
        <v>0.22300000029765776</v>
      </c>
      <c r="N429" s="302">
        <f>SUM(K429:M429)</f>
        <v>5.7930000001115491</v>
      </c>
    </row>
    <row r="430" spans="1:14" x14ac:dyDescent="0.3">
      <c r="A430" s="282" t="s">
        <v>356</v>
      </c>
      <c r="B430" s="302">
        <f>'Ind T6'!L509</f>
        <v>122.78800000076913</v>
      </c>
      <c r="C430" s="299" t="str">
        <f>CONCATENATE("(",ROUND((B430/$H431)*100,1),")")</f>
        <v>(33.5)</v>
      </c>
      <c r="D430" s="302">
        <f>'Ind T6'!M509</f>
        <v>149.2049999971706</v>
      </c>
      <c r="E430" s="299" t="str">
        <f>CONCATENATE("(",ROUND((D430/$H431)*100,1),")")</f>
        <v>(40.7)</v>
      </c>
      <c r="F430" s="302">
        <f>'Ind T6'!N509</f>
        <v>28.022000002444056</v>
      </c>
      <c r="G430" s="299" t="str">
        <f>CONCATENATE("(",ROUND((F430/$H431)*100,1),")")</f>
        <v>(7.6)</v>
      </c>
      <c r="H430" s="302">
        <f t="shared" ref="H430" si="320">SUM(B430,D430,F430)</f>
        <v>300.01500000038374</v>
      </c>
      <c r="I430" s="299" t="str">
        <f>CONCATENATE("(",ROUND((H430/$H431)*100,1),")")</f>
        <v>(81.7)</v>
      </c>
      <c r="K430" s="302">
        <f t="shared" ref="K430:K431" si="321">B435-B430</f>
        <v>13.637999999391155</v>
      </c>
      <c r="L430" s="302">
        <f t="shared" ref="L430:L431" si="322">D435-D430</f>
        <v>6.6129999979634704</v>
      </c>
      <c r="M430" s="302">
        <f t="shared" ref="M430:M431" si="323">F435-F430</f>
        <v>3.8109999978374667</v>
      </c>
      <c r="N430" s="302">
        <f t="shared" ref="N430:N431" si="324">SUM(K430:M430)</f>
        <v>24.061999995192092</v>
      </c>
    </row>
    <row r="431" spans="1:14" x14ac:dyDescent="0.3">
      <c r="A431" s="282" t="s">
        <v>354</v>
      </c>
      <c r="B431" s="302">
        <f>SUM(B429:B430)</f>
        <v>170.20600000023092</v>
      </c>
      <c r="C431" s="299" t="str">
        <f>CONCATENATE("(",ROUND((B431/$H431)*100,1),")")</f>
        <v>(46.4)</v>
      </c>
      <c r="D431" s="302">
        <f>SUM(D429:D430)</f>
        <v>164.1299999972031</v>
      </c>
      <c r="E431" s="299" t="str">
        <f>CONCATENATE("(",ROUND((D431/$H431)*100,1),")")</f>
        <v>(44.7)</v>
      </c>
      <c r="F431" s="302">
        <f>SUM(F429:F430)</f>
        <v>32.702000002530355</v>
      </c>
      <c r="G431" s="299" t="str">
        <f>CONCATENATE("(",ROUND((F431/$H431)*100,1),")")</f>
        <v>(8.9)</v>
      </c>
      <c r="H431" s="302">
        <f>SUM(H429:H430)</f>
        <v>367.03799999996431</v>
      </c>
      <c r="I431" s="299" t="str">
        <f>CONCATENATE("(",ROUND((H431/$H431)*100,1),")")</f>
        <v>(100)</v>
      </c>
      <c r="K431" s="302">
        <f t="shared" si="321"/>
        <v>17.820999999233493</v>
      </c>
      <c r="L431" s="302">
        <f t="shared" si="322"/>
        <v>7.9999999979350207</v>
      </c>
      <c r="M431" s="302">
        <f t="shared" si="323"/>
        <v>4.0339999981351227</v>
      </c>
      <c r="N431" s="302">
        <f t="shared" si="324"/>
        <v>29.854999995303636</v>
      </c>
    </row>
    <row r="432" spans="1:14" x14ac:dyDescent="0.3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3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3">
      <c r="A434" s="282" t="s">
        <v>355</v>
      </c>
      <c r="B434" s="302">
        <f>'Ind T6'!Q510</f>
        <v>51.600999999304136</v>
      </c>
      <c r="C434" s="299" t="str">
        <f>CONCATENATE("(",ROUND((B434/$H436)*100,1),")")</f>
        <v>(13)</v>
      </c>
      <c r="D434" s="302">
        <f>'Ind T6'!R510</f>
        <v>16.312000000004033</v>
      </c>
      <c r="E434" s="299" t="str">
        <f>CONCATENATE("(",ROUND((D434/$H436)*100,1),")")</f>
        <v>(4.1)</v>
      </c>
      <c r="F434" s="302">
        <f>'Ind T6'!S510</f>
        <v>4.9030000003839564</v>
      </c>
      <c r="G434" s="299" t="str">
        <f>CONCATENATE("(",ROUND((F434/$H436)*100,1),")")</f>
        <v>(1.2)</v>
      </c>
      <c r="H434" s="302">
        <f>SUM(B434,D434,F434)</f>
        <v>72.815999999692124</v>
      </c>
      <c r="I434" s="299" t="str">
        <f>CONCATENATE("(",ROUND((H434/$H436)*100,1),")")</f>
        <v>(18.3)</v>
      </c>
      <c r="K434" s="302">
        <f>B439-B434</f>
        <v>6.3329999998377531</v>
      </c>
      <c r="L434" s="302">
        <f>D439-D434</f>
        <v>2.1140000000044772</v>
      </c>
      <c r="M434" s="302">
        <f>F439-F434</f>
        <v>0.13899999983772116</v>
      </c>
      <c r="N434" s="302">
        <f>SUM(K434:M434)</f>
        <v>8.5859999996799523</v>
      </c>
    </row>
    <row r="435" spans="1:14" x14ac:dyDescent="0.3">
      <c r="A435" s="282" t="s">
        <v>356</v>
      </c>
      <c r="B435" s="302">
        <f>'Ind T6'!Q509</f>
        <v>136.42600000016029</v>
      </c>
      <c r="C435" s="299" t="str">
        <f>CONCATENATE("(",ROUND((B435/$H436)*100,1),")")</f>
        <v>(34.4)</v>
      </c>
      <c r="D435" s="302">
        <f>'Ind T6'!R509</f>
        <v>155.81799999513407</v>
      </c>
      <c r="E435" s="299" t="str">
        <f>CONCATENATE("(",ROUND((D435/$H436)*100,1),")")</f>
        <v>(39.3)</v>
      </c>
      <c r="F435" s="302">
        <f>'Ind T6'!S509</f>
        <v>31.833000000281523</v>
      </c>
      <c r="G435" s="299" t="str">
        <f>CONCATENATE("(",ROUND((F435/$H436)*100,1),")")</f>
        <v>(8)</v>
      </c>
      <c r="H435" s="302">
        <f t="shared" ref="H435" si="325">SUM(B435,D435,F435)</f>
        <v>324.07699999557587</v>
      </c>
      <c r="I435" s="299" t="str">
        <f>CONCATENATE("(",ROUND((H435/$H436)*100,1),")")</f>
        <v>(81.7)</v>
      </c>
      <c r="K435" s="302">
        <f t="shared" ref="K435:K436" si="326">B440-B435</f>
        <v>22.553999999748044</v>
      </c>
      <c r="L435" s="302">
        <f t="shared" ref="L435:L436" si="327">D440-D435</f>
        <v>4.4350000038651558</v>
      </c>
      <c r="M435" s="302">
        <f t="shared" ref="M435:M436" si="328">F440-F435</f>
        <v>6.1169999997379207</v>
      </c>
      <c r="N435" s="302">
        <f t="shared" ref="N435:N436" si="329">SUM(K435:M435)</f>
        <v>33.10600000335112</v>
      </c>
    </row>
    <row r="436" spans="1:14" x14ac:dyDescent="0.3">
      <c r="A436" s="282" t="s">
        <v>354</v>
      </c>
      <c r="B436" s="302">
        <f>SUM(B434:B435)</f>
        <v>188.02699999946441</v>
      </c>
      <c r="C436" s="299" t="str">
        <f>CONCATENATE("(",ROUND((B436/$H436)*100,1),")")</f>
        <v>(47.4)</v>
      </c>
      <c r="D436" s="302">
        <f>SUM(D434:D435)</f>
        <v>172.12999999513812</v>
      </c>
      <c r="E436" s="299" t="str">
        <f>CONCATENATE("(",ROUND((D436/$H436)*100,1),")")</f>
        <v>(43.4)</v>
      </c>
      <c r="F436" s="302">
        <f>SUM(F434:F435)</f>
        <v>36.736000000665477</v>
      </c>
      <c r="G436" s="299" t="str">
        <f>CONCATENATE("(",ROUND((F436/$H436)*100,1),")")</f>
        <v>(9.3)</v>
      </c>
      <c r="H436" s="302">
        <f>SUM(H434:H435)</f>
        <v>396.89299999526799</v>
      </c>
      <c r="I436" s="299" t="str">
        <f>CONCATENATE("(",ROUND((H436/$H436)*100,1),")")</f>
        <v>(100)</v>
      </c>
      <c r="K436" s="302">
        <f t="shared" si="326"/>
        <v>28.886999999585811</v>
      </c>
      <c r="L436" s="302">
        <f t="shared" si="327"/>
        <v>6.5490000038696223</v>
      </c>
      <c r="M436" s="302">
        <f t="shared" si="328"/>
        <v>6.2559999995756428</v>
      </c>
      <c r="N436" s="302">
        <f t="shared" si="329"/>
        <v>41.692000003031076</v>
      </c>
    </row>
    <row r="437" spans="1:14" x14ac:dyDescent="0.3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3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3">
      <c r="A439" s="282" t="s">
        <v>355</v>
      </c>
      <c r="B439" s="302">
        <f>'Ind T6'!V510</f>
        <v>57.933999999141889</v>
      </c>
      <c r="C439" s="299" t="str">
        <f>CONCATENATE("(",ROUND((B439/$H441)*100,1),")")</f>
        <v>(13.2)</v>
      </c>
      <c r="D439" s="302">
        <f>'Ind T6'!W510</f>
        <v>18.426000000008511</v>
      </c>
      <c r="E439" s="299" t="str">
        <f>CONCATENATE("(",ROUND((D439/$H441)*100,1),")")</f>
        <v>(4.2)</v>
      </c>
      <c r="F439" s="302">
        <f>'Ind T6'!X510</f>
        <v>5.0420000002216776</v>
      </c>
      <c r="G439" s="299" t="str">
        <f>CONCATENATE("(",ROUND((F439/$H441)*100,1),")")</f>
        <v>(1.1)</v>
      </c>
      <c r="H439" s="302">
        <f>SUM(B439,D439,F439)</f>
        <v>81.40199999937208</v>
      </c>
      <c r="I439" s="299" t="str">
        <f>CONCATENATE("(",ROUND((H439/$H441)*100,1),")")</f>
        <v>(18.6)</v>
      </c>
      <c r="K439" s="302">
        <f>B439-B429</f>
        <v>10.515999999680098</v>
      </c>
      <c r="L439" s="302">
        <f>D439-D429</f>
        <v>3.500999999976024</v>
      </c>
      <c r="M439" s="302">
        <f>F439-F429</f>
        <v>0.36200000013537892</v>
      </c>
      <c r="N439" s="302">
        <f>SUM(K439:M439)</f>
        <v>14.3789999997915</v>
      </c>
    </row>
    <row r="440" spans="1:14" x14ac:dyDescent="0.3">
      <c r="A440" s="282" t="s">
        <v>356</v>
      </c>
      <c r="B440" s="302">
        <f>'Ind T6'!V509</f>
        <v>158.97999999990833</v>
      </c>
      <c r="C440" s="299" t="str">
        <f>CONCATENATE("(",ROUND((B440/$H441)*100,1),")")</f>
        <v>(36.2)</v>
      </c>
      <c r="D440" s="302">
        <f>'Ind T6'!W509</f>
        <v>160.25299999899923</v>
      </c>
      <c r="E440" s="299" t="str">
        <f>CONCATENATE("(",ROUND((D440/$H441)*100,1),")")</f>
        <v>(36.5)</v>
      </c>
      <c r="F440" s="302">
        <f>'Ind T6'!X509</f>
        <v>37.950000000019443</v>
      </c>
      <c r="G440" s="299" t="str">
        <f>CONCATENATE("(",ROUND((F440/$H441)*100,1),")")</f>
        <v>(8.7)</v>
      </c>
      <c r="H440" s="302">
        <f t="shared" ref="H440" si="330">SUM(B440,D440,F440)</f>
        <v>357.18299999892696</v>
      </c>
      <c r="I440" s="299" t="str">
        <f>CONCATENATE("(",ROUND((H440/$H441)*100,1),")")</f>
        <v>(81.4)</v>
      </c>
      <c r="K440" s="302">
        <f t="shared" ref="K440:K441" si="331">B440-B430</f>
        <v>36.191999999139199</v>
      </c>
      <c r="L440" s="302">
        <f t="shared" ref="L440:L441" si="332">D440-D430</f>
        <v>11.048000001828626</v>
      </c>
      <c r="M440" s="302">
        <f t="shared" ref="M440:M441" si="333">F440-F430</f>
        <v>9.9279999975753874</v>
      </c>
      <c r="N440" s="302">
        <f t="shared" ref="N440:N441" si="334">SUM(K440:M440)</f>
        <v>57.167999998543209</v>
      </c>
    </row>
    <row r="441" spans="1:14" x14ac:dyDescent="0.3">
      <c r="A441" s="282" t="s">
        <v>354</v>
      </c>
      <c r="B441" s="302">
        <f>SUM(B439:B440)</f>
        <v>216.91399999905022</v>
      </c>
      <c r="C441" s="299" t="str">
        <f>CONCATENATE("(",ROUND((B441/$H441)*100,1),")")</f>
        <v>(49.5)</v>
      </c>
      <c r="D441" s="302">
        <f>SUM(D439:D440)</f>
        <v>178.67899999900774</v>
      </c>
      <c r="E441" s="299" t="str">
        <f>CONCATENATE("(",ROUND((D441/$H441)*100,1),")")</f>
        <v>(40.7)</v>
      </c>
      <c r="F441" s="302">
        <f>SUM(F439:F440)</f>
        <v>42.99200000024112</v>
      </c>
      <c r="G441" s="299" t="str">
        <f>CONCATENATE("(",ROUND((F441/$H441)*100,1),")")</f>
        <v>(9.8)</v>
      </c>
      <c r="H441" s="302">
        <f>SUM(H439:H440)</f>
        <v>438.58499999829905</v>
      </c>
      <c r="I441" s="299" t="str">
        <f>CONCATENATE("(",ROUND((H441/$H441)*100,1),")")</f>
        <v>(100)</v>
      </c>
      <c r="K441" s="302">
        <f t="shared" si="331"/>
        <v>46.707999998819304</v>
      </c>
      <c r="L441" s="302">
        <f t="shared" si="332"/>
        <v>14.549000001804643</v>
      </c>
      <c r="M441" s="302">
        <f t="shared" si="333"/>
        <v>10.289999997710765</v>
      </c>
      <c r="N441" s="302">
        <f t="shared" si="334"/>
        <v>71.546999998334712</v>
      </c>
    </row>
    <row r="442" spans="1:14" x14ac:dyDescent="0.3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3">
      <c r="A446" s="288"/>
      <c r="B446" s="289" t="s">
        <v>379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3">
      <c r="N447" s="287" t="s">
        <v>377</v>
      </c>
    </row>
    <row r="448" spans="1:14" x14ac:dyDescent="0.3">
      <c r="A448" s="181" t="s">
        <v>378</v>
      </c>
      <c r="B448" s="370" t="s">
        <v>376</v>
      </c>
      <c r="C448" s="370"/>
      <c r="D448" s="370" t="s">
        <v>375</v>
      </c>
      <c r="E448" s="370"/>
      <c r="F448" s="370" t="s">
        <v>374</v>
      </c>
      <c r="G448" s="370"/>
      <c r="H448" s="370" t="s">
        <v>32</v>
      </c>
      <c r="I448" s="370"/>
      <c r="J448" s="181"/>
      <c r="K448" s="297" t="s">
        <v>339</v>
      </c>
      <c r="L448" s="297" t="s">
        <v>341</v>
      </c>
      <c r="M448" s="297" t="s">
        <v>337</v>
      </c>
      <c r="N448" s="297" t="s">
        <v>32</v>
      </c>
    </row>
    <row r="449" spans="1:14" x14ac:dyDescent="0.3">
      <c r="A449" s="292">
        <f>$A$8</f>
        <v>2020</v>
      </c>
      <c r="B449" s="287" t="s">
        <v>60</v>
      </c>
      <c r="C449" s="19" t="s">
        <v>373</v>
      </c>
      <c r="D449" s="287" t="s">
        <v>60</v>
      </c>
      <c r="E449" s="19" t="s">
        <v>373</v>
      </c>
      <c r="F449" s="287" t="s">
        <v>337</v>
      </c>
      <c r="G449" s="19" t="s">
        <v>373</v>
      </c>
      <c r="H449" s="287" t="s">
        <v>60</v>
      </c>
      <c r="I449" s="19" t="s">
        <v>373</v>
      </c>
      <c r="J449" s="181"/>
      <c r="K449" s="286" t="str">
        <f>CONCATENATE(A449," - ",A454)</f>
        <v>2020 - 2025</v>
      </c>
      <c r="L449" s="285"/>
      <c r="M449" s="285"/>
    </row>
    <row r="450" spans="1:14" x14ac:dyDescent="0.3">
      <c r="A450" s="282" t="s">
        <v>355</v>
      </c>
      <c r="B450" s="302">
        <f>'Ind T6'!L540</f>
        <v>21.540999999907818</v>
      </c>
      <c r="C450" s="299" t="str">
        <f>CONCATENATE("(",ROUND((B450/$H452)*100,1),")")</f>
        <v>(21)</v>
      </c>
      <c r="D450" s="302">
        <f>'Ind T6'!M540</f>
        <v>15.0360000000728</v>
      </c>
      <c r="E450" s="299" t="str">
        <f>CONCATENATE("(",ROUND((D450/$H452)*100,1),")")</f>
        <v>(14.6)</v>
      </c>
      <c r="F450" s="302">
        <f>'Ind T6'!N540</f>
        <v>13.506000000343569</v>
      </c>
      <c r="G450" s="299" t="str">
        <f>CONCATENATE("(",ROUND((F450/$H452)*100,1),")")</f>
        <v>(13.2)</v>
      </c>
      <c r="H450" s="302">
        <f>SUM(B450,D450,F450)</f>
        <v>50.083000000324184</v>
      </c>
      <c r="I450" s="299" t="str">
        <f>CONCATENATE("(",ROUND((H450/$H452)*100,1),")")</f>
        <v>(48.8)</v>
      </c>
      <c r="K450" s="302">
        <f>B455-B450</f>
        <v>-0.51799999996831048</v>
      </c>
      <c r="L450" s="302">
        <f>D455-D450</f>
        <v>0.11300000000786525</v>
      </c>
      <c r="M450" s="302">
        <f>F455-F450</f>
        <v>-1.15399999945096</v>
      </c>
      <c r="N450" s="302">
        <f>SUM(K450:M450)</f>
        <v>-1.5589999994114052</v>
      </c>
    </row>
    <row r="451" spans="1:14" x14ac:dyDescent="0.3">
      <c r="A451" s="282" t="s">
        <v>356</v>
      </c>
      <c r="B451" s="302">
        <f>'Ind T6'!L539</f>
        <v>13.840000000078732</v>
      </c>
      <c r="C451" s="299" t="str">
        <f>CONCATENATE("(",ROUND((B451/$H452)*100,1),")")</f>
        <v>(13.5)</v>
      </c>
      <c r="D451" s="302">
        <f>'Ind T6'!M539</f>
        <v>20.845999999994572</v>
      </c>
      <c r="E451" s="299" t="str">
        <f>CONCATENATE("(",ROUND((D451/$H452)*100,1),")")</f>
        <v>(20.3)</v>
      </c>
      <c r="F451" s="302">
        <f>'Ind T6'!N539</f>
        <v>17.927000000073043</v>
      </c>
      <c r="G451" s="299" t="str">
        <f>CONCATENATE("(",ROUND((F451/$H452)*100,1),")")</f>
        <v>(17.5)</v>
      </c>
      <c r="H451" s="302">
        <f t="shared" ref="H451" si="335">SUM(B451,D451,F451)</f>
        <v>52.61300000014635</v>
      </c>
      <c r="I451" s="299" t="str">
        <f>CONCATENATE("(",ROUND((H451/$H452)*100,1),")")</f>
        <v>(51.2)</v>
      </c>
      <c r="K451" s="302">
        <f t="shared" ref="K451:K452" si="336">B456-B451</f>
        <v>-1.0879999998679786</v>
      </c>
      <c r="L451" s="302">
        <f t="shared" ref="L451:L452" si="337">D456-D451</f>
        <v>-0.48999999981279174</v>
      </c>
      <c r="M451" s="302">
        <f t="shared" ref="M451:M452" si="338">F456-F451</f>
        <v>-2.2669999998831862</v>
      </c>
      <c r="N451" s="302">
        <f t="shared" ref="N451:N452" si="339">SUM(K451:M451)</f>
        <v>-3.8449999995639565</v>
      </c>
    </row>
    <row r="452" spans="1:14" x14ac:dyDescent="0.3">
      <c r="A452" s="282" t="s">
        <v>354</v>
      </c>
      <c r="B452" s="302">
        <f>SUM(B450:B451)</f>
        <v>35.38099999998655</v>
      </c>
      <c r="C452" s="299" t="str">
        <f>CONCATENATE("(",ROUND((B452/$H452)*100,1),")")</f>
        <v>(34.5)</v>
      </c>
      <c r="D452" s="302">
        <f>SUM(D450:D451)</f>
        <v>35.882000000067372</v>
      </c>
      <c r="E452" s="299" t="str">
        <f>CONCATENATE("(",ROUND((D452/$H452)*100,1),")")</f>
        <v>(34.9)</v>
      </c>
      <c r="F452" s="302">
        <f>SUM(F450:F451)</f>
        <v>31.433000000416612</v>
      </c>
      <c r="G452" s="299" t="str">
        <f>CONCATENATE("(",ROUND((F452/$H452)*100,1),")")</f>
        <v>(30.6)</v>
      </c>
      <c r="H452" s="302">
        <f>SUM(H450:H451)</f>
        <v>102.69600000047053</v>
      </c>
      <c r="I452" s="299" t="str">
        <f>CONCATENATE("(",ROUND((H452/$H452)*100,1),")")</f>
        <v>(100)</v>
      </c>
      <c r="K452" s="302">
        <f t="shared" si="336"/>
        <v>-1.6059999998362926</v>
      </c>
      <c r="L452" s="302">
        <f t="shared" si="337"/>
        <v>-0.37699999980493004</v>
      </c>
      <c r="M452" s="302">
        <f t="shared" si="338"/>
        <v>-3.4209999993341462</v>
      </c>
      <c r="N452" s="302">
        <f t="shared" si="339"/>
        <v>-5.4039999989753689</v>
      </c>
    </row>
    <row r="453" spans="1:14" x14ac:dyDescent="0.3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3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3">
      <c r="A455" s="282" t="s">
        <v>355</v>
      </c>
      <c r="B455" s="302">
        <f>'Ind T6'!Q540</f>
        <v>21.022999999939508</v>
      </c>
      <c r="C455" s="299" t="str">
        <f>CONCATENATE("(",ROUND((B455/$H457)*100,1),")")</f>
        <v>(21.6)</v>
      </c>
      <c r="D455" s="302">
        <f>'Ind T6'!R540</f>
        <v>15.149000000080665</v>
      </c>
      <c r="E455" s="299" t="str">
        <f>CONCATENATE("(",ROUND((D455/$H457)*100,1),")")</f>
        <v>(15.6)</v>
      </c>
      <c r="F455" s="302">
        <f>'Ind T6'!S540</f>
        <v>12.352000000892609</v>
      </c>
      <c r="G455" s="299" t="str">
        <f>CONCATENATE("(",ROUND((F455/$H457)*100,1),")")</f>
        <v>(12.7)</v>
      </c>
      <c r="H455" s="302">
        <f>SUM(B455,D455,F455)</f>
        <v>48.524000000912785</v>
      </c>
      <c r="I455" s="299" t="str">
        <f>CONCATENATE("(",ROUND((H455/$H457)*100,1),")")</f>
        <v>(49.9)</v>
      </c>
      <c r="K455" s="302">
        <f>B460-B455</f>
        <v>0.90799999990532143</v>
      </c>
      <c r="L455" s="302">
        <f>D460-D455</f>
        <v>1.2310000000536867</v>
      </c>
      <c r="M455" s="302">
        <f>F460-F455</f>
        <v>0.47099999974042817</v>
      </c>
      <c r="N455" s="302">
        <f>SUM(K455:M455)</f>
        <v>2.6099999996994363</v>
      </c>
    </row>
    <row r="456" spans="1:14" x14ac:dyDescent="0.3">
      <c r="A456" s="282" t="s">
        <v>356</v>
      </c>
      <c r="B456" s="302">
        <f>'Ind T6'!Q539</f>
        <v>12.752000000210753</v>
      </c>
      <c r="C456" s="299" t="str">
        <f>CONCATENATE("(",ROUND((B456/$H457)*100,1),")")</f>
        <v>(13.1)</v>
      </c>
      <c r="D456" s="302">
        <f>'Ind T6'!R539</f>
        <v>20.35600000018178</v>
      </c>
      <c r="E456" s="299" t="str">
        <f>CONCATENATE("(",ROUND((D456/$H457)*100,1),")")</f>
        <v>(20.9)</v>
      </c>
      <c r="F456" s="302">
        <f>'Ind T6'!S539</f>
        <v>15.660000000189857</v>
      </c>
      <c r="G456" s="299" t="str">
        <f>CONCATENATE("(",ROUND((F456/$H457)*100,1),")")</f>
        <v>(16.1)</v>
      </c>
      <c r="H456" s="302">
        <f t="shared" ref="H456" si="340">SUM(B456,D456,F456)</f>
        <v>48.76800000058239</v>
      </c>
      <c r="I456" s="299" t="str">
        <f>CONCATENATE("(",ROUND((H456/$H457)*100,1),")")</f>
        <v>(50.1)</v>
      </c>
      <c r="K456" s="302">
        <f t="shared" ref="K456:K457" si="341">B461-B456</f>
        <v>-0.42000000014797934</v>
      </c>
      <c r="L456" s="302">
        <f t="shared" ref="L456:L457" si="342">D461-D456</f>
        <v>0.61799999969590402</v>
      </c>
      <c r="M456" s="302">
        <f t="shared" ref="M456:M457" si="343">F461-F456</f>
        <v>0.79200000007559268</v>
      </c>
      <c r="N456" s="302">
        <f t="shared" ref="N456:N457" si="344">SUM(K456:M456)</f>
        <v>0.98999999962351737</v>
      </c>
    </row>
    <row r="457" spans="1:14" x14ac:dyDescent="0.3">
      <c r="A457" s="282" t="s">
        <v>354</v>
      </c>
      <c r="B457" s="302">
        <f>SUM(B455:B456)</f>
        <v>33.775000000150257</v>
      </c>
      <c r="C457" s="299" t="str">
        <f>CONCATENATE("(",ROUND((B457/$H457)*100,1),")")</f>
        <v>(34.7)</v>
      </c>
      <c r="D457" s="302">
        <f>SUM(D455:D456)</f>
        <v>35.505000000262442</v>
      </c>
      <c r="E457" s="299" t="str">
        <f>CONCATENATE("(",ROUND((D457/$H457)*100,1),")")</f>
        <v>(36.5)</v>
      </c>
      <c r="F457" s="302">
        <f>SUM(F455:F456)</f>
        <v>28.012000001082466</v>
      </c>
      <c r="G457" s="299" t="str">
        <f>CONCATENATE("(",ROUND((F457/$H457)*100,1),")")</f>
        <v>(28.8)</v>
      </c>
      <c r="H457" s="302">
        <f>SUM(H455:H456)</f>
        <v>97.292000001495182</v>
      </c>
      <c r="I457" s="299" t="str">
        <f>CONCATENATE("(",ROUND((H457/$H457)*100,1),")")</f>
        <v>(100)</v>
      </c>
      <c r="K457" s="302">
        <f t="shared" si="341"/>
        <v>0.4879999997573492</v>
      </c>
      <c r="L457" s="302">
        <f t="shared" si="342"/>
        <v>1.8489999997495943</v>
      </c>
      <c r="M457" s="302">
        <f t="shared" si="343"/>
        <v>1.2629999998160208</v>
      </c>
      <c r="N457" s="302">
        <f t="shared" si="344"/>
        <v>3.5999999993229643</v>
      </c>
    </row>
    <row r="458" spans="1:14" x14ac:dyDescent="0.3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3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3">
      <c r="A460" s="282" t="s">
        <v>355</v>
      </c>
      <c r="B460" s="302">
        <f>'Ind T6'!V540</f>
        <v>21.930999999844829</v>
      </c>
      <c r="C460" s="299" t="str">
        <f>CONCATENATE("(",ROUND((B460/$H462)*100,1),")")</f>
        <v>(21.7)</v>
      </c>
      <c r="D460" s="302">
        <f>'Ind T6'!W540</f>
        <v>16.380000000134352</v>
      </c>
      <c r="E460" s="299" t="str">
        <f>CONCATENATE("(",ROUND((D460/$H462)*100,1),")")</f>
        <v>(16.2)</v>
      </c>
      <c r="F460" s="302">
        <f>'Ind T6'!X540</f>
        <v>12.823000000633037</v>
      </c>
      <c r="G460" s="299" t="str">
        <f>CONCATENATE("(",ROUND((F460/$H462)*100,1),")")</f>
        <v>(12.7)</v>
      </c>
      <c r="H460" s="302">
        <f>SUM(B460,D460,F460)</f>
        <v>51.134000000612218</v>
      </c>
      <c r="I460" s="299" t="str">
        <f>CONCATENATE("(",ROUND((H460/$H462)*100,1),")")</f>
        <v>(50.7)</v>
      </c>
      <c r="K460" s="302">
        <f>B460-B450</f>
        <v>0.38999999993701095</v>
      </c>
      <c r="L460" s="302">
        <f>D460-D450</f>
        <v>1.344000000061552</v>
      </c>
      <c r="M460" s="302">
        <f>F460-F450</f>
        <v>-0.68299999971053182</v>
      </c>
      <c r="N460" s="302">
        <f>SUM(K460:M460)</f>
        <v>1.0510000002880311</v>
      </c>
    </row>
    <row r="461" spans="1:14" x14ac:dyDescent="0.3">
      <c r="A461" s="282" t="s">
        <v>356</v>
      </c>
      <c r="B461" s="302">
        <f>'Ind T6'!V539</f>
        <v>12.332000000062774</v>
      </c>
      <c r="C461" s="299" t="str">
        <f>CONCATENATE("(",ROUND((B461/$H462)*100,1),")")</f>
        <v>(12.2)</v>
      </c>
      <c r="D461" s="302">
        <f>'Ind T6'!W539</f>
        <v>20.973999999877684</v>
      </c>
      <c r="E461" s="299" t="str">
        <f>CONCATENATE("(",ROUND((D461/$H462)*100,1),")")</f>
        <v>(20.8)</v>
      </c>
      <c r="F461" s="302">
        <f>'Ind T6'!X539</f>
        <v>16.45200000026545</v>
      </c>
      <c r="G461" s="299" t="str">
        <f>CONCATENATE("(",ROUND((F461/$H462)*100,1),")")</f>
        <v>(16.3)</v>
      </c>
      <c r="H461" s="302">
        <f t="shared" ref="H461" si="345">SUM(B461,D461,F461)</f>
        <v>49.758000000205904</v>
      </c>
      <c r="I461" s="299" t="str">
        <f>CONCATENATE("(",ROUND((H461/$H462)*100,1),")")</f>
        <v>(49.3)</v>
      </c>
      <c r="K461" s="302">
        <f t="shared" ref="K461:K462" si="346">B461-B451</f>
        <v>-1.5080000000159579</v>
      </c>
      <c r="L461" s="302">
        <f t="shared" ref="L461:L462" si="347">D461-D451</f>
        <v>0.12799999988311228</v>
      </c>
      <c r="M461" s="302">
        <f t="shared" ref="M461:M462" si="348">F461-F451</f>
        <v>-1.4749999998075936</v>
      </c>
      <c r="N461" s="302">
        <f t="shared" ref="N461:N462" si="349">SUM(K461:M461)</f>
        <v>-2.8549999999404392</v>
      </c>
    </row>
    <row r="462" spans="1:14" x14ac:dyDescent="0.3">
      <c r="A462" s="282" t="s">
        <v>354</v>
      </c>
      <c r="B462" s="302">
        <f>SUM(B460:B461)</f>
        <v>34.262999999907606</v>
      </c>
      <c r="C462" s="299" t="str">
        <f>CONCATENATE("(",ROUND((B462/$H462)*100,1),")")</f>
        <v>(34)</v>
      </c>
      <c r="D462" s="302">
        <f>SUM(D460:D461)</f>
        <v>37.354000000012036</v>
      </c>
      <c r="E462" s="299" t="str">
        <f>CONCATENATE("(",ROUND((D462/$H462)*100,1),")")</f>
        <v>(37)</v>
      </c>
      <c r="F462" s="302">
        <f>SUM(F460:F461)</f>
        <v>29.275000000898487</v>
      </c>
      <c r="G462" s="299" t="str">
        <f>CONCATENATE("(",ROUND((F462/$H462)*100,1),")")</f>
        <v>(29)</v>
      </c>
      <c r="H462" s="302">
        <f>SUM(H460:H461)</f>
        <v>100.89200000081811</v>
      </c>
      <c r="I462" s="299" t="str">
        <f>CONCATENATE("(",ROUND((H462/$H462)*100,1),")")</f>
        <v>(100)</v>
      </c>
      <c r="K462" s="302">
        <f t="shared" si="346"/>
        <v>-1.1180000000789434</v>
      </c>
      <c r="L462" s="302">
        <f t="shared" si="347"/>
        <v>1.4719999999446642</v>
      </c>
      <c r="M462" s="302">
        <f t="shared" si="348"/>
        <v>-2.1579999995181254</v>
      </c>
      <c r="N462" s="302">
        <f t="shared" si="349"/>
        <v>-1.8039999996524045</v>
      </c>
    </row>
    <row r="463" spans="1:14" x14ac:dyDescent="0.3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3">
      <c r="C466" s="181"/>
      <c r="E466" s="181"/>
      <c r="G466" s="181"/>
      <c r="I466" s="181"/>
    </row>
    <row r="467" spans="1:14" x14ac:dyDescent="0.3">
      <c r="A467" s="288"/>
      <c r="B467" s="289" t="s">
        <v>379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3">
      <c r="N468" s="287" t="s">
        <v>377</v>
      </c>
    </row>
    <row r="469" spans="1:14" x14ac:dyDescent="0.3">
      <c r="A469" s="181" t="s">
        <v>378</v>
      </c>
      <c r="B469" s="370" t="s">
        <v>376</v>
      </c>
      <c r="C469" s="370"/>
      <c r="D469" s="370" t="s">
        <v>375</v>
      </c>
      <c r="E469" s="370"/>
      <c r="F469" s="370" t="s">
        <v>374</v>
      </c>
      <c r="G469" s="370"/>
      <c r="H469" s="370" t="s">
        <v>32</v>
      </c>
      <c r="I469" s="370"/>
      <c r="J469" s="181"/>
      <c r="K469" s="297" t="s">
        <v>339</v>
      </c>
      <c r="L469" s="297" t="s">
        <v>341</v>
      </c>
      <c r="M469" s="297" t="s">
        <v>337</v>
      </c>
      <c r="N469" s="297" t="s">
        <v>32</v>
      </c>
    </row>
    <row r="470" spans="1:14" x14ac:dyDescent="0.3">
      <c r="A470" s="292">
        <f>$A$8</f>
        <v>2020</v>
      </c>
      <c r="B470" s="287" t="s">
        <v>60</v>
      </c>
      <c r="C470" s="19" t="s">
        <v>373</v>
      </c>
      <c r="D470" s="287" t="s">
        <v>60</v>
      </c>
      <c r="E470" s="19" t="s">
        <v>373</v>
      </c>
      <c r="F470" s="287" t="s">
        <v>60</v>
      </c>
      <c r="G470" s="19" t="s">
        <v>373</v>
      </c>
      <c r="H470" s="287" t="s">
        <v>60</v>
      </c>
      <c r="I470" s="19" t="s">
        <v>373</v>
      </c>
      <c r="J470" s="181"/>
      <c r="K470" s="286" t="str">
        <f>CONCATENATE(A470," - ",A475)</f>
        <v>2020 - 2025</v>
      </c>
      <c r="L470" s="285"/>
      <c r="M470" s="285"/>
    </row>
    <row r="471" spans="1:14" x14ac:dyDescent="0.3">
      <c r="A471" s="282" t="s">
        <v>355</v>
      </c>
      <c r="B471" s="302">
        <f>'Ind T6'!L565</f>
        <v>14.936999999867751</v>
      </c>
      <c r="C471" s="299" t="str">
        <f>CONCATENATE("(",ROUND((B471/$H473)*100,1),")")</f>
        <v>(15.4)</v>
      </c>
      <c r="D471" s="302">
        <f>'Ind T6'!M565</f>
        <v>3.8350000000150968</v>
      </c>
      <c r="E471" s="299" t="str">
        <f>CONCATENATE("(",ROUND((D471/$H473)*100,1),")")</f>
        <v>(4)</v>
      </c>
      <c r="F471" s="302">
        <f>'Ind T6'!N565</f>
        <v>7.2760000001056717</v>
      </c>
      <c r="G471" s="299" t="str">
        <f>CONCATENATE("(",ROUND((F471/$H473)*100,1),")")</f>
        <v>(7.5)</v>
      </c>
      <c r="H471" s="302">
        <f>SUM(B471,D471,F471)</f>
        <v>26.047999999988519</v>
      </c>
      <c r="I471" s="299" t="str">
        <f>CONCATENATE("(",ROUND((H471/$H473)*100,1),")")</f>
        <v>(26.8)</v>
      </c>
      <c r="K471" s="302">
        <f>B476-B471</f>
        <v>0.46900000002937681</v>
      </c>
      <c r="L471" s="302">
        <f>D476-D471</f>
        <v>-1.8000000006126893E-2</v>
      </c>
      <c r="M471" s="302">
        <f>F476-F471</f>
        <v>0.22000000018521071</v>
      </c>
      <c r="N471" s="302">
        <f>SUM(K471:M471)</f>
        <v>0.67100000020846062</v>
      </c>
    </row>
    <row r="472" spans="1:14" x14ac:dyDescent="0.3">
      <c r="A472" s="282" t="s">
        <v>356</v>
      </c>
      <c r="B472" s="302">
        <f>'Ind T6'!L564</f>
        <v>16.911999999916315</v>
      </c>
      <c r="C472" s="299" t="str">
        <f>CONCATENATE("(",ROUND((B472/$H473)*100,1),")")</f>
        <v>(17.4)</v>
      </c>
      <c r="D472" s="302">
        <f>'Ind T6'!M564</f>
        <v>17.011000000041555</v>
      </c>
      <c r="E472" s="299" t="str">
        <f>CONCATENATE("(",ROUND((D472/$H473)*100,1),")")</f>
        <v>(17.5)</v>
      </c>
      <c r="F472" s="302">
        <f>'Ind T6'!N564</f>
        <v>37.1039999994629</v>
      </c>
      <c r="G472" s="299" t="str">
        <f>CONCATENATE("(",ROUND((F472/$H473)*100,1),")")</f>
        <v>(38.2)</v>
      </c>
      <c r="H472" s="302">
        <f t="shared" ref="H472" si="350">SUM(B472,D472,F472)</f>
        <v>71.026999999420767</v>
      </c>
      <c r="I472" s="299" t="str">
        <f>CONCATENATE("(",ROUND((H472/$H473)*100,1),")")</f>
        <v>(73.2)</v>
      </c>
      <c r="K472" s="302">
        <f t="shared" ref="K472:K473" si="351">B477-B472</f>
        <v>-0.54999999963964186</v>
      </c>
      <c r="L472" s="302">
        <f t="shared" ref="L472:L473" si="352">D477-D472</f>
        <v>-0.26299999982049727</v>
      </c>
      <c r="M472" s="302">
        <f t="shared" ref="M472:M473" si="353">F477-F472</f>
        <v>6.8000000589421461E-2</v>
      </c>
      <c r="N472" s="302">
        <f t="shared" ref="N472:N473" si="354">SUM(K472:M472)</f>
        <v>-0.74499999887071766</v>
      </c>
    </row>
    <row r="473" spans="1:14" x14ac:dyDescent="0.3">
      <c r="A473" s="282" t="s">
        <v>354</v>
      </c>
      <c r="B473" s="302">
        <f>SUM(B471:B472)</f>
        <v>31.848999999784066</v>
      </c>
      <c r="C473" s="299" t="str">
        <f>CONCATENATE("(",ROUND((B473/$H473)*100,1),")")</f>
        <v>(32.8)</v>
      </c>
      <c r="D473" s="302">
        <f>SUM(D471:D472)</f>
        <v>20.846000000056652</v>
      </c>
      <c r="E473" s="299" t="str">
        <f>CONCATENATE("(",ROUND((D473/$H473)*100,1),")")</f>
        <v>(21.5)</v>
      </c>
      <c r="F473" s="302">
        <f>SUM(F471:F472)</f>
        <v>44.379999999568568</v>
      </c>
      <c r="G473" s="299" t="str">
        <f>CONCATENATE("(",ROUND((F473/$H473)*100,1),")")</f>
        <v>(45.7)</v>
      </c>
      <c r="H473" s="302">
        <f>SUM(H471:H472)</f>
        <v>97.074999999409286</v>
      </c>
      <c r="I473" s="299" t="str">
        <f>CONCATENATE("(",ROUND((H473/$H473)*100,1),")")</f>
        <v>(100)</v>
      </c>
      <c r="K473" s="302">
        <f t="shared" si="351"/>
        <v>-8.0999999610266826E-2</v>
      </c>
      <c r="L473" s="302">
        <f t="shared" si="352"/>
        <v>-0.28099999982662283</v>
      </c>
      <c r="M473" s="302">
        <f t="shared" si="353"/>
        <v>0.2880000007746375</v>
      </c>
      <c r="N473" s="302">
        <f t="shared" si="354"/>
        <v>-7.3999998662252153E-2</v>
      </c>
    </row>
    <row r="474" spans="1:14" x14ac:dyDescent="0.3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3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3">
      <c r="A476" s="282" t="s">
        <v>355</v>
      </c>
      <c r="B476" s="302">
        <f>'Ind T6'!Q565</f>
        <v>15.405999999897128</v>
      </c>
      <c r="C476" s="299" t="str">
        <f>CONCATENATE("(",ROUND((B476/$H478)*100,1),")")</f>
        <v>(15.9)</v>
      </c>
      <c r="D476" s="302">
        <f>'Ind T6'!R565</f>
        <v>3.8170000000089699</v>
      </c>
      <c r="E476" s="299" t="str">
        <f>CONCATENATE("(",ROUND((D476/$H478)*100,1),")")</f>
        <v>(3.9)</v>
      </c>
      <c r="F476" s="302">
        <f>'Ind T6'!S565</f>
        <v>7.4960000002908824</v>
      </c>
      <c r="G476" s="299" t="str">
        <f>CONCATENATE("(",ROUND((F476/$H478)*100,1),")")</f>
        <v>(7.7)</v>
      </c>
      <c r="H476" s="302">
        <f>SUM(B476,D476,F476)</f>
        <v>26.719000000196978</v>
      </c>
      <c r="I476" s="299" t="str">
        <f>CONCATENATE("(",ROUND((H476/$H478)*100,1),")")</f>
        <v>(27.5)</v>
      </c>
      <c r="K476" s="302">
        <f>B481-B476</f>
        <v>0.9619999999535036</v>
      </c>
      <c r="L476" s="302">
        <f>D481-D476</f>
        <v>6.6000000005758785E-2</v>
      </c>
      <c r="M476" s="302">
        <f>F481-F476</f>
        <v>0.43399999991307681</v>
      </c>
      <c r="N476" s="302">
        <f>SUM(K476:M476)</f>
        <v>1.4619999998723392</v>
      </c>
    </row>
    <row r="477" spans="1:14" x14ac:dyDescent="0.3">
      <c r="A477" s="282" t="s">
        <v>356</v>
      </c>
      <c r="B477" s="302">
        <f>'Ind T6'!Q564</f>
        <v>16.362000000276673</v>
      </c>
      <c r="C477" s="299" t="str">
        <f>CONCATENATE("(",ROUND((B477/$H478)*100,1),")")</f>
        <v>(16.9)</v>
      </c>
      <c r="D477" s="302">
        <f>'Ind T6'!R564</f>
        <v>16.748000000221058</v>
      </c>
      <c r="E477" s="299" t="str">
        <f>CONCATENATE("(",ROUND((D477/$H478)*100,1),")")</f>
        <v>(17.3)</v>
      </c>
      <c r="F477" s="302">
        <f>'Ind T6'!S564</f>
        <v>37.172000000052321</v>
      </c>
      <c r="G477" s="299" t="str">
        <f>CONCATENATE("(",ROUND((F477/$H478)*100,1),")")</f>
        <v>(38.3)</v>
      </c>
      <c r="H477" s="302">
        <f t="shared" ref="H477" si="355">SUM(B477,D477,F477)</f>
        <v>70.282000000550056</v>
      </c>
      <c r="I477" s="299" t="str">
        <f>CONCATENATE("(",ROUND((H477/$H478)*100,1),")")</f>
        <v>(72.5)</v>
      </c>
      <c r="K477" s="302">
        <f t="shared" ref="K477:K478" si="356">B482-B477</f>
        <v>-0.52400000031015992</v>
      </c>
      <c r="L477" s="302">
        <f t="shared" ref="L477:L478" si="357">D482-D477</f>
        <v>-0.31000000026407903</v>
      </c>
      <c r="M477" s="302">
        <f t="shared" ref="M477:M478" si="358">F482-F477</f>
        <v>-7.0999999786828027E-2</v>
      </c>
      <c r="N477" s="302">
        <f t="shared" ref="N477:N478" si="359">SUM(K477:M477)</f>
        <v>-0.90500000036106698</v>
      </c>
    </row>
    <row r="478" spans="1:14" x14ac:dyDescent="0.3">
      <c r="A478" s="282" t="s">
        <v>354</v>
      </c>
      <c r="B478" s="302">
        <f>SUM(B476:B477)</f>
        <v>31.768000000173799</v>
      </c>
      <c r="C478" s="299" t="str">
        <f>CONCATENATE("(",ROUND((B478/$H478)*100,1),")")</f>
        <v>(32.8)</v>
      </c>
      <c r="D478" s="302">
        <f>SUM(D476:D477)</f>
        <v>20.565000000230029</v>
      </c>
      <c r="E478" s="299" t="str">
        <f>CONCATENATE("(",ROUND((D478/$H478)*100,1),")")</f>
        <v>(21.2)</v>
      </c>
      <c r="F478" s="302">
        <f>SUM(F476:F477)</f>
        <v>44.668000000343206</v>
      </c>
      <c r="G478" s="299" t="str">
        <f>CONCATENATE("(",ROUND((F478/$H478)*100,1),")")</f>
        <v>(46)</v>
      </c>
      <c r="H478" s="302">
        <f>SUM(H476:H477)</f>
        <v>97.001000000747041</v>
      </c>
      <c r="I478" s="299" t="str">
        <f>CONCATENATE("(",ROUND((H478/$H478)*100,1),")")</f>
        <v>(100)</v>
      </c>
      <c r="K478" s="302">
        <f t="shared" si="356"/>
        <v>0.43799999964334546</v>
      </c>
      <c r="L478" s="302">
        <f t="shared" si="357"/>
        <v>-0.24400000025832114</v>
      </c>
      <c r="M478" s="302">
        <f t="shared" si="358"/>
        <v>0.36300000012624878</v>
      </c>
      <c r="N478" s="302">
        <f t="shared" si="359"/>
        <v>0.5569999995112731</v>
      </c>
    </row>
    <row r="479" spans="1:14" x14ac:dyDescent="0.3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3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3">
      <c r="A481" s="282" t="s">
        <v>355</v>
      </c>
      <c r="B481" s="302">
        <f>'Ind T6'!V565</f>
        <v>16.367999999850632</v>
      </c>
      <c r="C481" s="299" t="str">
        <f>CONCATENATE("(",ROUND((B481/$H483)*100,1),")")</f>
        <v>(16.8)</v>
      </c>
      <c r="D481" s="302">
        <f>'Ind T6'!W565</f>
        <v>3.8830000000147287</v>
      </c>
      <c r="E481" s="299" t="str">
        <f>CONCATENATE("(",ROUND((D481/$H483)*100,1),")")</f>
        <v>(4)</v>
      </c>
      <c r="F481" s="302">
        <f>'Ind T6'!X565</f>
        <v>7.9300000002039592</v>
      </c>
      <c r="G481" s="299" t="str">
        <f>CONCATENATE("(",ROUND((F481/$H483)*100,1),")")</f>
        <v>(8.1)</v>
      </c>
      <c r="H481" s="302">
        <f>SUM(B481,D481,F481)</f>
        <v>28.181000000069318</v>
      </c>
      <c r="I481" s="299" t="str">
        <f>CONCATENATE("(",ROUND((H481/$H483)*100,1),")")</f>
        <v>(28.9)</v>
      </c>
      <c r="K481" s="302">
        <f>B481-B471</f>
        <v>1.4309999999828804</v>
      </c>
      <c r="L481" s="302">
        <f>D481-D471</f>
        <v>4.7999999999631893E-2</v>
      </c>
      <c r="M481" s="302">
        <f>F481-F471</f>
        <v>0.65400000009828752</v>
      </c>
      <c r="N481" s="302">
        <f>SUM(K481:M481)</f>
        <v>2.1330000000807998</v>
      </c>
    </row>
    <row r="482" spans="1:14" x14ac:dyDescent="0.3">
      <c r="A482" s="282" t="s">
        <v>356</v>
      </c>
      <c r="B482" s="302">
        <f>'Ind T6'!V564</f>
        <v>15.837999999966513</v>
      </c>
      <c r="C482" s="299" t="str">
        <f>CONCATENATE("(",ROUND((B482/$H483)*100,1),")")</f>
        <v>(16.2)</v>
      </c>
      <c r="D482" s="302">
        <f>'Ind T6'!W564</f>
        <v>16.437999999956979</v>
      </c>
      <c r="E482" s="299" t="str">
        <f>CONCATENATE("(",ROUND((D482/$H483)*100,1),")")</f>
        <v>(16.8)</v>
      </c>
      <c r="F482" s="302">
        <f>'Ind T6'!X564</f>
        <v>37.101000000265493</v>
      </c>
      <c r="G482" s="299" t="str">
        <f>CONCATENATE("(",ROUND((F482/$H483)*100,1),")")</f>
        <v>(38)</v>
      </c>
      <c r="H482" s="302">
        <f t="shared" ref="H482" si="360">SUM(B482,D482,F482)</f>
        <v>69.377000000188985</v>
      </c>
      <c r="I482" s="299" t="str">
        <f>CONCATENATE("(",ROUND((H482/$H483)*100,1),")")</f>
        <v>(71.1)</v>
      </c>
      <c r="K482" s="302">
        <f t="shared" ref="K482:K483" si="361">B482-B472</f>
        <v>-1.0739999999498018</v>
      </c>
      <c r="L482" s="302">
        <f t="shared" ref="L482:L483" si="362">D482-D472</f>
        <v>-0.5730000000845763</v>
      </c>
      <c r="M482" s="302">
        <f t="shared" ref="M482:M483" si="363">F482-F472</f>
        <v>-2.9999991974065665E-3</v>
      </c>
      <c r="N482" s="302">
        <f t="shared" ref="N482:N483" si="364">SUM(K482:M482)</f>
        <v>-1.6499999992317846</v>
      </c>
    </row>
    <row r="483" spans="1:14" x14ac:dyDescent="0.3">
      <c r="A483" s="282" t="s">
        <v>354</v>
      </c>
      <c r="B483" s="302">
        <f>SUM(B481:B482)</f>
        <v>32.205999999817145</v>
      </c>
      <c r="C483" s="299" t="str">
        <f>CONCATENATE("(",ROUND((B483/$H483)*100,1),")")</f>
        <v>(33)</v>
      </c>
      <c r="D483" s="302">
        <f>SUM(D481:D482)</f>
        <v>20.320999999971708</v>
      </c>
      <c r="E483" s="299" t="str">
        <f>CONCATENATE("(",ROUND((D483/$H483)*100,1),")")</f>
        <v>(20.8)</v>
      </c>
      <c r="F483" s="302">
        <f>SUM(F481:F482)</f>
        <v>45.031000000469454</v>
      </c>
      <c r="G483" s="299" t="str">
        <f>CONCATENATE("(",ROUND((F483/$H483)*100,1),")")</f>
        <v>(46.2)</v>
      </c>
      <c r="H483" s="302">
        <f>SUM(H481:H482)</f>
        <v>97.558000000258303</v>
      </c>
      <c r="I483" s="299" t="str">
        <f>CONCATENATE("(",ROUND((H483/$H483)*100,1),")")</f>
        <v>(100)</v>
      </c>
      <c r="K483" s="302">
        <f t="shared" si="361"/>
        <v>0.35700000003307863</v>
      </c>
      <c r="L483" s="302">
        <f t="shared" si="362"/>
        <v>-0.52500000008494396</v>
      </c>
      <c r="M483" s="302">
        <f t="shared" si="363"/>
        <v>0.65100000090088628</v>
      </c>
      <c r="N483" s="302">
        <f t="shared" si="364"/>
        <v>0.48300000084902095</v>
      </c>
    </row>
    <row r="484" spans="1:14" x14ac:dyDescent="0.3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3">
      <c r="A488" s="181"/>
      <c r="B488" s="285"/>
      <c r="C488" s="181"/>
      <c r="D488" s="285"/>
      <c r="E488" s="181"/>
      <c r="F488" s="285"/>
      <c r="G488" s="181"/>
      <c r="I488" s="181"/>
    </row>
    <row r="489" spans="1:14" x14ac:dyDescent="0.3">
      <c r="N489" s="287"/>
    </row>
    <row r="490" spans="1:14" x14ac:dyDescent="0.3">
      <c r="A490" s="181"/>
      <c r="B490" s="370"/>
      <c r="C490" s="370"/>
      <c r="D490" s="370"/>
      <c r="E490" s="370"/>
      <c r="F490" s="370"/>
      <c r="G490" s="370"/>
      <c r="H490" s="370"/>
      <c r="I490" s="370"/>
      <c r="J490" s="181"/>
      <c r="K490" s="287"/>
      <c r="L490" s="287"/>
      <c r="M490" s="287"/>
      <c r="N490" s="287"/>
    </row>
    <row r="491" spans="1:14" x14ac:dyDescent="0.3">
      <c r="A491" s="292"/>
      <c r="B491" s="287"/>
      <c r="C491" s="19"/>
      <c r="D491" s="287"/>
      <c r="E491" s="19"/>
      <c r="F491" s="287"/>
      <c r="G491" s="19"/>
      <c r="H491" s="287"/>
      <c r="I491" s="19"/>
      <c r="J491" s="181"/>
      <c r="K491" s="286"/>
      <c r="L491" s="285"/>
      <c r="M491" s="285"/>
    </row>
    <row r="492" spans="1:14" x14ac:dyDescent="0.3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3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3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3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3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3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3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3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3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3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3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3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3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3">
      <c r="A509" s="181"/>
      <c r="B509" s="285"/>
      <c r="C509" s="181"/>
      <c r="D509" s="285"/>
      <c r="E509" s="181"/>
      <c r="F509" s="285"/>
      <c r="G509" s="181"/>
      <c r="I509" s="181"/>
    </row>
    <row r="510" spans="1:14" x14ac:dyDescent="0.3">
      <c r="N510" s="287"/>
    </row>
    <row r="511" spans="1:14" x14ac:dyDescent="0.3">
      <c r="A511" s="181"/>
      <c r="B511" s="370"/>
      <c r="C511" s="370"/>
      <c r="D511" s="370"/>
      <c r="E511" s="370"/>
      <c r="F511" s="370"/>
      <c r="G511" s="370"/>
      <c r="H511" s="370"/>
      <c r="I511" s="370"/>
      <c r="J511" s="181"/>
      <c r="K511" s="287"/>
      <c r="L511" s="287"/>
      <c r="M511" s="287"/>
      <c r="N511" s="287"/>
    </row>
    <row r="512" spans="1:14" x14ac:dyDescent="0.3">
      <c r="A512" s="292"/>
      <c r="B512" s="287"/>
      <c r="C512" s="19"/>
      <c r="D512" s="287"/>
      <c r="E512" s="19"/>
      <c r="F512" s="287"/>
      <c r="G512" s="19"/>
      <c r="H512" s="287"/>
      <c r="I512" s="19"/>
      <c r="J512" s="181"/>
      <c r="K512" s="286"/>
      <c r="L512" s="285"/>
      <c r="M512" s="285"/>
    </row>
    <row r="513" spans="1:14" x14ac:dyDescent="0.3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3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3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3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3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3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3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3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3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3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3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3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3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3">
      <c r="A530" s="181"/>
      <c r="B530" s="285"/>
      <c r="C530" s="181"/>
      <c r="D530" s="285"/>
      <c r="E530" s="181"/>
      <c r="F530" s="285"/>
      <c r="G530" s="181"/>
      <c r="H530" s="285"/>
      <c r="I530" s="181"/>
    </row>
    <row r="531" spans="1:14" x14ac:dyDescent="0.3">
      <c r="N531" s="287"/>
    </row>
    <row r="532" spans="1:14" x14ac:dyDescent="0.3">
      <c r="A532" s="181"/>
      <c r="B532" s="285"/>
      <c r="C532" s="181"/>
      <c r="D532" s="285"/>
      <c r="E532" s="181"/>
      <c r="F532" s="285"/>
      <c r="G532" s="181"/>
      <c r="H532" s="285"/>
      <c r="I532" s="181"/>
      <c r="J532" s="181"/>
      <c r="K532" s="287"/>
      <c r="L532" s="287"/>
      <c r="M532" s="287"/>
      <c r="N532" s="287"/>
    </row>
    <row r="533" spans="1:14" x14ac:dyDescent="0.3">
      <c r="A533" s="292"/>
      <c r="B533" s="287"/>
      <c r="C533" s="19"/>
      <c r="D533" s="287"/>
      <c r="E533" s="19"/>
      <c r="F533" s="287"/>
      <c r="G533" s="19"/>
      <c r="H533" s="287"/>
      <c r="I533" s="19"/>
      <c r="J533" s="181"/>
      <c r="K533" s="286"/>
      <c r="L533" s="285"/>
      <c r="M533" s="285"/>
    </row>
    <row r="534" spans="1:14" x14ac:dyDescent="0.3">
      <c r="C534" s="284"/>
      <c r="E534" s="284"/>
      <c r="G534" s="284"/>
      <c r="I534" s="284"/>
    </row>
    <row r="535" spans="1:14" x14ac:dyDescent="0.3">
      <c r="C535" s="284"/>
      <c r="E535" s="284"/>
      <c r="G535" s="284"/>
      <c r="I535" s="284"/>
    </row>
    <row r="536" spans="1:14" x14ac:dyDescent="0.3">
      <c r="C536" s="284"/>
      <c r="E536" s="284"/>
      <c r="G536" s="284"/>
      <c r="I536" s="284"/>
    </row>
    <row r="537" spans="1:14" x14ac:dyDescent="0.3">
      <c r="C537" s="284"/>
      <c r="E537" s="284"/>
      <c r="G537" s="284"/>
      <c r="I537" s="284"/>
    </row>
    <row r="538" spans="1:14" x14ac:dyDescent="0.3">
      <c r="A538" s="292"/>
      <c r="C538" s="284"/>
      <c r="E538" s="284"/>
      <c r="G538" s="284"/>
      <c r="I538" s="284"/>
      <c r="K538" s="285"/>
    </row>
    <row r="539" spans="1:14" x14ac:dyDescent="0.3">
      <c r="C539" s="284"/>
      <c r="E539" s="284"/>
      <c r="G539" s="284"/>
      <c r="I539" s="284"/>
    </row>
    <row r="540" spans="1:14" x14ac:dyDescent="0.3">
      <c r="C540" s="284"/>
      <c r="E540" s="284"/>
      <c r="G540" s="284"/>
      <c r="I540" s="284"/>
    </row>
    <row r="541" spans="1:14" x14ac:dyDescent="0.3">
      <c r="C541" s="284"/>
      <c r="E541" s="284"/>
      <c r="G541" s="284"/>
      <c r="I541" s="284"/>
    </row>
    <row r="542" spans="1:14" x14ac:dyDescent="0.3">
      <c r="C542" s="284"/>
      <c r="E542" s="284"/>
      <c r="G542" s="284"/>
      <c r="I542" s="284"/>
    </row>
    <row r="543" spans="1:14" x14ac:dyDescent="0.3">
      <c r="A543" s="292"/>
      <c r="C543" s="284"/>
      <c r="E543" s="284"/>
      <c r="G543" s="284"/>
      <c r="I543" s="284"/>
      <c r="K543" s="285"/>
    </row>
    <row r="544" spans="1:14" x14ac:dyDescent="0.3">
      <c r="C544" s="284"/>
      <c r="E544" s="284"/>
      <c r="G544" s="284"/>
      <c r="I544" s="284"/>
    </row>
    <row r="545" spans="1:9" x14ac:dyDescent="0.3">
      <c r="C545" s="284"/>
      <c r="E545" s="284"/>
      <c r="G545" s="284"/>
      <c r="I545" s="284"/>
    </row>
    <row r="546" spans="1:9" x14ac:dyDescent="0.3">
      <c r="C546" s="284"/>
      <c r="E546" s="284"/>
      <c r="G546" s="284"/>
      <c r="I546" s="284"/>
    </row>
    <row r="557" spans="1:9" x14ac:dyDescent="0.3">
      <c r="C557" s="181"/>
      <c r="E557" s="181"/>
      <c r="G557" s="181"/>
      <c r="I557" s="181"/>
    </row>
    <row r="558" spans="1:9" x14ac:dyDescent="0.3">
      <c r="A558" s="181"/>
      <c r="B558" s="285"/>
      <c r="C558" s="181"/>
      <c r="D558" s="285"/>
      <c r="E558" s="181"/>
      <c r="F558" s="285"/>
      <c r="G558" s="181"/>
      <c r="H558" s="285"/>
      <c r="I558" s="181"/>
    </row>
    <row r="559" spans="1:9" x14ac:dyDescent="0.3">
      <c r="A559" s="181"/>
      <c r="B559" s="285"/>
      <c r="C559" s="181"/>
      <c r="D559" s="285"/>
      <c r="E559" s="181"/>
      <c r="F559" s="285"/>
      <c r="G559" s="181"/>
      <c r="H559" s="285"/>
      <c r="I559" s="181"/>
    </row>
    <row r="560" spans="1:9" x14ac:dyDescent="0.3">
      <c r="A560" s="181"/>
      <c r="B560" s="285"/>
      <c r="C560" s="181"/>
      <c r="D560" s="285"/>
      <c r="E560" s="181"/>
      <c r="F560" s="285"/>
      <c r="G560" s="181"/>
      <c r="H560" s="285"/>
      <c r="I560" s="181"/>
    </row>
    <row r="561" spans="1:9" x14ac:dyDescent="0.3">
      <c r="A561" s="181"/>
      <c r="B561" s="285"/>
      <c r="C561" s="181"/>
      <c r="D561" s="285"/>
      <c r="E561" s="181"/>
      <c r="F561" s="285"/>
      <c r="G561" s="181"/>
      <c r="H561" s="285"/>
      <c r="I561" s="181"/>
    </row>
    <row r="562" spans="1:9" x14ac:dyDescent="0.3">
      <c r="A562" s="181"/>
      <c r="B562" s="285"/>
      <c r="C562" s="181"/>
      <c r="D562" s="285"/>
      <c r="E562" s="181"/>
      <c r="F562" s="285"/>
      <c r="G562" s="181"/>
      <c r="H562" s="285"/>
      <c r="I562" s="181"/>
    </row>
    <row r="563" spans="1:9" x14ac:dyDescent="0.3">
      <c r="A563" s="181"/>
      <c r="B563" s="285"/>
      <c r="C563" s="181"/>
      <c r="D563" s="285"/>
      <c r="E563" s="181"/>
      <c r="F563" s="285"/>
      <c r="G563" s="181"/>
      <c r="H563" s="285"/>
      <c r="I563" s="181"/>
    </row>
    <row r="564" spans="1:9" x14ac:dyDescent="0.3">
      <c r="A564" s="181"/>
      <c r="B564" s="285"/>
      <c r="C564" s="181"/>
      <c r="D564" s="285"/>
      <c r="E564" s="181"/>
      <c r="F564" s="285"/>
      <c r="G564" s="181"/>
      <c r="H564" s="285"/>
      <c r="I564" s="181"/>
    </row>
    <row r="565" spans="1:9" x14ac:dyDescent="0.3">
      <c r="A565" s="181"/>
      <c r="B565" s="285"/>
      <c r="C565" s="181"/>
      <c r="D565" s="285"/>
      <c r="E565" s="181"/>
      <c r="F565" s="285"/>
      <c r="G565" s="181"/>
      <c r="H565" s="285"/>
      <c r="I565" s="181"/>
    </row>
    <row r="566" spans="1:9" x14ac:dyDescent="0.3">
      <c r="A566" s="181"/>
      <c r="B566" s="285"/>
      <c r="C566" s="181"/>
      <c r="D566" s="285"/>
      <c r="E566" s="181"/>
      <c r="F566" s="285"/>
      <c r="G566" s="181"/>
      <c r="H566" s="285"/>
      <c r="I566" s="181"/>
    </row>
    <row r="567" spans="1:9" x14ac:dyDescent="0.3">
      <c r="A567" s="181"/>
      <c r="B567" s="285"/>
      <c r="C567" s="181"/>
      <c r="D567" s="285"/>
      <c r="E567" s="181"/>
      <c r="F567" s="285"/>
      <c r="G567" s="181"/>
      <c r="H567" s="285"/>
      <c r="I567" s="181"/>
    </row>
    <row r="568" spans="1:9" x14ac:dyDescent="0.3">
      <c r="A568" s="181"/>
      <c r="B568" s="285"/>
      <c r="C568" s="181"/>
      <c r="D568" s="285"/>
      <c r="E568" s="181"/>
      <c r="F568" s="285"/>
      <c r="G568" s="181"/>
      <c r="H568" s="285"/>
      <c r="I568" s="181"/>
    </row>
    <row r="569" spans="1:9" x14ac:dyDescent="0.3">
      <c r="A569" s="181"/>
      <c r="B569" s="285"/>
      <c r="C569" s="181"/>
      <c r="D569" s="285"/>
      <c r="E569" s="181"/>
      <c r="F569" s="285"/>
      <c r="G569" s="181"/>
      <c r="H569" s="285"/>
      <c r="I569" s="181"/>
    </row>
    <row r="570" spans="1:9" x14ac:dyDescent="0.3">
      <c r="A570" s="181"/>
      <c r="B570" s="285"/>
      <c r="C570" s="181"/>
      <c r="D570" s="285"/>
      <c r="E570" s="181"/>
      <c r="F570" s="285"/>
      <c r="G570" s="181"/>
      <c r="H570" s="285"/>
      <c r="I570" s="181"/>
    </row>
    <row r="571" spans="1:9" x14ac:dyDescent="0.3">
      <c r="A571" s="181"/>
      <c r="B571" s="285"/>
      <c r="C571" s="181"/>
      <c r="D571" s="285"/>
      <c r="E571" s="181"/>
      <c r="F571" s="285"/>
      <c r="G571" s="181"/>
      <c r="H571" s="285"/>
      <c r="I571" s="181"/>
    </row>
    <row r="572" spans="1:9" x14ac:dyDescent="0.3">
      <c r="A572" s="181"/>
      <c r="B572" s="285"/>
      <c r="C572" s="181"/>
      <c r="D572" s="285"/>
      <c r="E572" s="181"/>
      <c r="F572" s="285"/>
      <c r="G572" s="181"/>
      <c r="H572" s="285"/>
      <c r="I572" s="181"/>
    </row>
    <row r="573" spans="1:9" x14ac:dyDescent="0.3">
      <c r="A573" s="181"/>
      <c r="B573" s="285"/>
      <c r="C573" s="181"/>
      <c r="D573" s="285"/>
      <c r="E573" s="181"/>
      <c r="F573" s="285"/>
      <c r="G573" s="181"/>
      <c r="H573" s="285"/>
      <c r="I573" s="181"/>
    </row>
    <row r="574" spans="1:9" x14ac:dyDescent="0.3">
      <c r="A574" s="181"/>
      <c r="B574" s="285"/>
      <c r="C574" s="181"/>
      <c r="D574" s="285"/>
      <c r="E574" s="181"/>
      <c r="F574" s="285"/>
      <c r="G574" s="181"/>
      <c r="H574" s="285"/>
      <c r="I574" s="181"/>
    </row>
    <row r="575" spans="1:9" x14ac:dyDescent="0.3">
      <c r="A575" s="181"/>
      <c r="B575" s="285"/>
      <c r="C575" s="181"/>
      <c r="D575" s="285"/>
      <c r="E575" s="181"/>
      <c r="F575" s="285"/>
      <c r="G575" s="181"/>
      <c r="H575" s="285"/>
      <c r="I575" s="181"/>
    </row>
    <row r="576" spans="1:9" x14ac:dyDescent="0.3">
      <c r="A576" s="181"/>
      <c r="B576" s="285"/>
      <c r="C576" s="181"/>
      <c r="D576" s="285"/>
      <c r="E576" s="181"/>
      <c r="F576" s="285"/>
      <c r="G576" s="181"/>
      <c r="H576" s="285"/>
      <c r="I576" s="181"/>
    </row>
    <row r="577" spans="1:8" x14ac:dyDescent="0.3">
      <c r="A577" s="181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9:I484" 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8"/>
  <dimension ref="A1:Y1061"/>
  <sheetViews>
    <sheetView showGridLines="0" zoomScale="85" zoomScaleNormal="85" zoomScaleSheetLayoutView="85" workbookViewId="0"/>
  </sheetViews>
  <sheetFormatPr defaultColWidth="6.23046875" defaultRowHeight="12.9" x14ac:dyDescent="0.35"/>
  <cols>
    <col min="1" max="1" width="40.69140625" style="260" customWidth="1"/>
    <col min="2" max="2" width="6.69140625" style="263" customWidth="1"/>
    <col min="3" max="3" width="6.69140625" style="314" customWidth="1"/>
    <col min="4" max="25" width="6.69140625" style="263" customWidth="1"/>
    <col min="26" max="26" width="7.53515625" style="260" customWidth="1"/>
    <col min="27" max="266" width="6.23046875" style="260"/>
    <col min="267" max="267" width="43.53515625" style="260" customWidth="1"/>
    <col min="268" max="268" width="7.53515625" style="260" customWidth="1"/>
    <col min="269" max="270" width="8.4609375" style="260" customWidth="1"/>
    <col min="271" max="271" width="6.69140625" style="260" customWidth="1"/>
    <col min="272" max="273" width="7.53515625" style="260" customWidth="1"/>
    <col min="274" max="275" width="8.4609375" style="260" customWidth="1"/>
    <col min="276" max="276" width="6.69140625" style="260" customWidth="1"/>
    <col min="277" max="278" width="7.53515625" style="260" customWidth="1"/>
    <col min="279" max="280" width="8.4609375" style="260" customWidth="1"/>
    <col min="281" max="281" width="6.69140625" style="260" customWidth="1"/>
    <col min="282" max="282" width="7.53515625" style="260" customWidth="1"/>
    <col min="283" max="522" width="6.23046875" style="260"/>
    <col min="523" max="523" width="43.53515625" style="260" customWidth="1"/>
    <col min="524" max="524" width="7.53515625" style="260" customWidth="1"/>
    <col min="525" max="526" width="8.4609375" style="260" customWidth="1"/>
    <col min="527" max="527" width="6.69140625" style="260" customWidth="1"/>
    <col min="528" max="529" width="7.53515625" style="260" customWidth="1"/>
    <col min="530" max="531" width="8.4609375" style="260" customWidth="1"/>
    <col min="532" max="532" width="6.69140625" style="260" customWidth="1"/>
    <col min="533" max="534" width="7.53515625" style="260" customWidth="1"/>
    <col min="535" max="536" width="8.4609375" style="260" customWidth="1"/>
    <col min="537" max="537" width="6.69140625" style="260" customWidth="1"/>
    <col min="538" max="538" width="7.53515625" style="260" customWidth="1"/>
    <col min="539" max="778" width="6.23046875" style="260"/>
    <col min="779" max="779" width="43.53515625" style="260" customWidth="1"/>
    <col min="780" max="780" width="7.53515625" style="260" customWidth="1"/>
    <col min="781" max="782" width="8.4609375" style="260" customWidth="1"/>
    <col min="783" max="783" width="6.69140625" style="260" customWidth="1"/>
    <col min="784" max="785" width="7.53515625" style="260" customWidth="1"/>
    <col min="786" max="787" width="8.4609375" style="260" customWidth="1"/>
    <col min="788" max="788" width="6.69140625" style="260" customWidth="1"/>
    <col min="789" max="790" width="7.53515625" style="260" customWidth="1"/>
    <col min="791" max="792" width="8.4609375" style="260" customWidth="1"/>
    <col min="793" max="793" width="6.69140625" style="260" customWidth="1"/>
    <col min="794" max="794" width="7.53515625" style="260" customWidth="1"/>
    <col min="795" max="1034" width="6.23046875" style="260"/>
    <col min="1035" max="1035" width="43.53515625" style="260" customWidth="1"/>
    <col min="1036" max="1036" width="7.53515625" style="260" customWidth="1"/>
    <col min="1037" max="1038" width="8.4609375" style="260" customWidth="1"/>
    <col min="1039" max="1039" width="6.69140625" style="260" customWidth="1"/>
    <col min="1040" max="1041" width="7.53515625" style="260" customWidth="1"/>
    <col min="1042" max="1043" width="8.4609375" style="260" customWidth="1"/>
    <col min="1044" max="1044" width="6.69140625" style="260" customWidth="1"/>
    <col min="1045" max="1046" width="7.53515625" style="260" customWidth="1"/>
    <col min="1047" max="1048" width="8.4609375" style="260" customWidth="1"/>
    <col min="1049" max="1049" width="6.69140625" style="260" customWidth="1"/>
    <col min="1050" max="1050" width="7.53515625" style="260" customWidth="1"/>
    <col min="1051" max="1290" width="6.23046875" style="260"/>
    <col min="1291" max="1291" width="43.53515625" style="260" customWidth="1"/>
    <col min="1292" max="1292" width="7.53515625" style="260" customWidth="1"/>
    <col min="1293" max="1294" width="8.4609375" style="260" customWidth="1"/>
    <col min="1295" max="1295" width="6.69140625" style="260" customWidth="1"/>
    <col min="1296" max="1297" width="7.53515625" style="260" customWidth="1"/>
    <col min="1298" max="1299" width="8.4609375" style="260" customWidth="1"/>
    <col min="1300" max="1300" width="6.69140625" style="260" customWidth="1"/>
    <col min="1301" max="1302" width="7.53515625" style="260" customWidth="1"/>
    <col min="1303" max="1304" width="8.4609375" style="260" customWidth="1"/>
    <col min="1305" max="1305" width="6.69140625" style="260" customWidth="1"/>
    <col min="1306" max="1306" width="7.53515625" style="260" customWidth="1"/>
    <col min="1307" max="1546" width="6.23046875" style="260"/>
    <col min="1547" max="1547" width="43.53515625" style="260" customWidth="1"/>
    <col min="1548" max="1548" width="7.53515625" style="260" customWidth="1"/>
    <col min="1549" max="1550" width="8.4609375" style="260" customWidth="1"/>
    <col min="1551" max="1551" width="6.69140625" style="260" customWidth="1"/>
    <col min="1552" max="1553" width="7.53515625" style="260" customWidth="1"/>
    <col min="1554" max="1555" width="8.4609375" style="260" customWidth="1"/>
    <col min="1556" max="1556" width="6.69140625" style="260" customWidth="1"/>
    <col min="1557" max="1558" width="7.53515625" style="260" customWidth="1"/>
    <col min="1559" max="1560" width="8.4609375" style="260" customWidth="1"/>
    <col min="1561" max="1561" width="6.69140625" style="260" customWidth="1"/>
    <col min="1562" max="1562" width="7.53515625" style="260" customWidth="1"/>
    <col min="1563" max="1802" width="6.23046875" style="260"/>
    <col min="1803" max="1803" width="43.53515625" style="260" customWidth="1"/>
    <col min="1804" max="1804" width="7.53515625" style="260" customWidth="1"/>
    <col min="1805" max="1806" width="8.4609375" style="260" customWidth="1"/>
    <col min="1807" max="1807" width="6.69140625" style="260" customWidth="1"/>
    <col min="1808" max="1809" width="7.53515625" style="260" customWidth="1"/>
    <col min="1810" max="1811" width="8.4609375" style="260" customWidth="1"/>
    <col min="1812" max="1812" width="6.69140625" style="260" customWidth="1"/>
    <col min="1813" max="1814" width="7.53515625" style="260" customWidth="1"/>
    <col min="1815" max="1816" width="8.4609375" style="260" customWidth="1"/>
    <col min="1817" max="1817" width="6.69140625" style="260" customWidth="1"/>
    <col min="1818" max="1818" width="7.53515625" style="260" customWidth="1"/>
    <col min="1819" max="2058" width="6.23046875" style="260"/>
    <col min="2059" max="2059" width="43.53515625" style="260" customWidth="1"/>
    <col min="2060" max="2060" width="7.53515625" style="260" customWidth="1"/>
    <col min="2061" max="2062" width="8.4609375" style="260" customWidth="1"/>
    <col min="2063" max="2063" width="6.69140625" style="260" customWidth="1"/>
    <col min="2064" max="2065" width="7.53515625" style="260" customWidth="1"/>
    <col min="2066" max="2067" width="8.4609375" style="260" customWidth="1"/>
    <col min="2068" max="2068" width="6.69140625" style="260" customWidth="1"/>
    <col min="2069" max="2070" width="7.53515625" style="260" customWidth="1"/>
    <col min="2071" max="2072" width="8.4609375" style="260" customWidth="1"/>
    <col min="2073" max="2073" width="6.69140625" style="260" customWidth="1"/>
    <col min="2074" max="2074" width="7.53515625" style="260" customWidth="1"/>
    <col min="2075" max="2314" width="6.23046875" style="260"/>
    <col min="2315" max="2315" width="43.53515625" style="260" customWidth="1"/>
    <col min="2316" max="2316" width="7.53515625" style="260" customWidth="1"/>
    <col min="2317" max="2318" width="8.4609375" style="260" customWidth="1"/>
    <col min="2319" max="2319" width="6.69140625" style="260" customWidth="1"/>
    <col min="2320" max="2321" width="7.53515625" style="260" customWidth="1"/>
    <col min="2322" max="2323" width="8.4609375" style="260" customWidth="1"/>
    <col min="2324" max="2324" width="6.69140625" style="260" customWidth="1"/>
    <col min="2325" max="2326" width="7.53515625" style="260" customWidth="1"/>
    <col min="2327" max="2328" width="8.4609375" style="260" customWidth="1"/>
    <col min="2329" max="2329" width="6.69140625" style="260" customWidth="1"/>
    <col min="2330" max="2330" width="7.53515625" style="260" customWidth="1"/>
    <col min="2331" max="2570" width="6.23046875" style="260"/>
    <col min="2571" max="2571" width="43.53515625" style="260" customWidth="1"/>
    <col min="2572" max="2572" width="7.53515625" style="260" customWidth="1"/>
    <col min="2573" max="2574" width="8.4609375" style="260" customWidth="1"/>
    <col min="2575" max="2575" width="6.69140625" style="260" customWidth="1"/>
    <col min="2576" max="2577" width="7.53515625" style="260" customWidth="1"/>
    <col min="2578" max="2579" width="8.4609375" style="260" customWidth="1"/>
    <col min="2580" max="2580" width="6.69140625" style="260" customWidth="1"/>
    <col min="2581" max="2582" width="7.53515625" style="260" customWidth="1"/>
    <col min="2583" max="2584" width="8.4609375" style="260" customWidth="1"/>
    <col min="2585" max="2585" width="6.69140625" style="260" customWidth="1"/>
    <col min="2586" max="2586" width="7.53515625" style="260" customWidth="1"/>
    <col min="2587" max="2826" width="6.23046875" style="260"/>
    <col min="2827" max="2827" width="43.53515625" style="260" customWidth="1"/>
    <col min="2828" max="2828" width="7.53515625" style="260" customWidth="1"/>
    <col min="2829" max="2830" width="8.4609375" style="260" customWidth="1"/>
    <col min="2831" max="2831" width="6.69140625" style="260" customWidth="1"/>
    <col min="2832" max="2833" width="7.53515625" style="260" customWidth="1"/>
    <col min="2834" max="2835" width="8.4609375" style="260" customWidth="1"/>
    <col min="2836" max="2836" width="6.69140625" style="260" customWidth="1"/>
    <col min="2837" max="2838" width="7.53515625" style="260" customWidth="1"/>
    <col min="2839" max="2840" width="8.4609375" style="260" customWidth="1"/>
    <col min="2841" max="2841" width="6.69140625" style="260" customWidth="1"/>
    <col min="2842" max="2842" width="7.53515625" style="260" customWidth="1"/>
    <col min="2843" max="3082" width="6.23046875" style="260"/>
    <col min="3083" max="3083" width="43.53515625" style="260" customWidth="1"/>
    <col min="3084" max="3084" width="7.53515625" style="260" customWidth="1"/>
    <col min="3085" max="3086" width="8.4609375" style="260" customWidth="1"/>
    <col min="3087" max="3087" width="6.69140625" style="260" customWidth="1"/>
    <col min="3088" max="3089" width="7.53515625" style="260" customWidth="1"/>
    <col min="3090" max="3091" width="8.4609375" style="260" customWidth="1"/>
    <col min="3092" max="3092" width="6.69140625" style="260" customWidth="1"/>
    <col min="3093" max="3094" width="7.53515625" style="260" customWidth="1"/>
    <col min="3095" max="3096" width="8.4609375" style="260" customWidth="1"/>
    <col min="3097" max="3097" width="6.69140625" style="260" customWidth="1"/>
    <col min="3098" max="3098" width="7.53515625" style="260" customWidth="1"/>
    <col min="3099" max="3338" width="6.23046875" style="260"/>
    <col min="3339" max="3339" width="43.53515625" style="260" customWidth="1"/>
    <col min="3340" max="3340" width="7.53515625" style="260" customWidth="1"/>
    <col min="3341" max="3342" width="8.4609375" style="260" customWidth="1"/>
    <col min="3343" max="3343" width="6.69140625" style="260" customWidth="1"/>
    <col min="3344" max="3345" width="7.53515625" style="260" customWidth="1"/>
    <col min="3346" max="3347" width="8.4609375" style="260" customWidth="1"/>
    <col min="3348" max="3348" width="6.69140625" style="260" customWidth="1"/>
    <col min="3349" max="3350" width="7.53515625" style="260" customWidth="1"/>
    <col min="3351" max="3352" width="8.4609375" style="260" customWidth="1"/>
    <col min="3353" max="3353" width="6.69140625" style="260" customWidth="1"/>
    <col min="3354" max="3354" width="7.53515625" style="260" customWidth="1"/>
    <col min="3355" max="3594" width="6.23046875" style="260"/>
    <col min="3595" max="3595" width="43.53515625" style="260" customWidth="1"/>
    <col min="3596" max="3596" width="7.53515625" style="260" customWidth="1"/>
    <col min="3597" max="3598" width="8.4609375" style="260" customWidth="1"/>
    <col min="3599" max="3599" width="6.69140625" style="260" customWidth="1"/>
    <col min="3600" max="3601" width="7.53515625" style="260" customWidth="1"/>
    <col min="3602" max="3603" width="8.4609375" style="260" customWidth="1"/>
    <col min="3604" max="3604" width="6.69140625" style="260" customWidth="1"/>
    <col min="3605" max="3606" width="7.53515625" style="260" customWidth="1"/>
    <col min="3607" max="3608" width="8.4609375" style="260" customWidth="1"/>
    <col min="3609" max="3609" width="6.69140625" style="260" customWidth="1"/>
    <col min="3610" max="3610" width="7.53515625" style="260" customWidth="1"/>
    <col min="3611" max="3850" width="6.23046875" style="260"/>
    <col min="3851" max="3851" width="43.53515625" style="260" customWidth="1"/>
    <col min="3852" max="3852" width="7.53515625" style="260" customWidth="1"/>
    <col min="3853" max="3854" width="8.4609375" style="260" customWidth="1"/>
    <col min="3855" max="3855" width="6.69140625" style="260" customWidth="1"/>
    <col min="3856" max="3857" width="7.53515625" style="260" customWidth="1"/>
    <col min="3858" max="3859" width="8.4609375" style="260" customWidth="1"/>
    <col min="3860" max="3860" width="6.69140625" style="260" customWidth="1"/>
    <col min="3861" max="3862" width="7.53515625" style="260" customWidth="1"/>
    <col min="3863" max="3864" width="8.4609375" style="260" customWidth="1"/>
    <col min="3865" max="3865" width="6.69140625" style="260" customWidth="1"/>
    <col min="3866" max="3866" width="7.53515625" style="260" customWidth="1"/>
    <col min="3867" max="4106" width="6.23046875" style="260"/>
    <col min="4107" max="4107" width="43.53515625" style="260" customWidth="1"/>
    <col min="4108" max="4108" width="7.53515625" style="260" customWidth="1"/>
    <col min="4109" max="4110" width="8.4609375" style="260" customWidth="1"/>
    <col min="4111" max="4111" width="6.69140625" style="260" customWidth="1"/>
    <col min="4112" max="4113" width="7.53515625" style="260" customWidth="1"/>
    <col min="4114" max="4115" width="8.4609375" style="260" customWidth="1"/>
    <col min="4116" max="4116" width="6.69140625" style="260" customWidth="1"/>
    <col min="4117" max="4118" width="7.53515625" style="260" customWidth="1"/>
    <col min="4119" max="4120" width="8.4609375" style="260" customWidth="1"/>
    <col min="4121" max="4121" width="6.69140625" style="260" customWidth="1"/>
    <col min="4122" max="4122" width="7.53515625" style="260" customWidth="1"/>
    <col min="4123" max="4362" width="6.23046875" style="260"/>
    <col min="4363" max="4363" width="43.53515625" style="260" customWidth="1"/>
    <col min="4364" max="4364" width="7.53515625" style="260" customWidth="1"/>
    <col min="4365" max="4366" width="8.4609375" style="260" customWidth="1"/>
    <col min="4367" max="4367" width="6.69140625" style="260" customWidth="1"/>
    <col min="4368" max="4369" width="7.53515625" style="260" customWidth="1"/>
    <col min="4370" max="4371" width="8.4609375" style="260" customWidth="1"/>
    <col min="4372" max="4372" width="6.69140625" style="260" customWidth="1"/>
    <col min="4373" max="4374" width="7.53515625" style="260" customWidth="1"/>
    <col min="4375" max="4376" width="8.4609375" style="260" customWidth="1"/>
    <col min="4377" max="4377" width="6.69140625" style="260" customWidth="1"/>
    <col min="4378" max="4378" width="7.53515625" style="260" customWidth="1"/>
    <col min="4379" max="4618" width="6.23046875" style="260"/>
    <col min="4619" max="4619" width="43.53515625" style="260" customWidth="1"/>
    <col min="4620" max="4620" width="7.53515625" style="260" customWidth="1"/>
    <col min="4621" max="4622" width="8.4609375" style="260" customWidth="1"/>
    <col min="4623" max="4623" width="6.69140625" style="260" customWidth="1"/>
    <col min="4624" max="4625" width="7.53515625" style="260" customWidth="1"/>
    <col min="4626" max="4627" width="8.4609375" style="260" customWidth="1"/>
    <col min="4628" max="4628" width="6.69140625" style="260" customWidth="1"/>
    <col min="4629" max="4630" width="7.53515625" style="260" customWidth="1"/>
    <col min="4631" max="4632" width="8.4609375" style="260" customWidth="1"/>
    <col min="4633" max="4633" width="6.69140625" style="260" customWidth="1"/>
    <col min="4634" max="4634" width="7.53515625" style="260" customWidth="1"/>
    <col min="4635" max="4874" width="6.23046875" style="260"/>
    <col min="4875" max="4875" width="43.53515625" style="260" customWidth="1"/>
    <col min="4876" max="4876" width="7.53515625" style="260" customWidth="1"/>
    <col min="4877" max="4878" width="8.4609375" style="260" customWidth="1"/>
    <col min="4879" max="4879" width="6.69140625" style="260" customWidth="1"/>
    <col min="4880" max="4881" width="7.53515625" style="260" customWidth="1"/>
    <col min="4882" max="4883" width="8.4609375" style="260" customWidth="1"/>
    <col min="4884" max="4884" width="6.69140625" style="260" customWidth="1"/>
    <col min="4885" max="4886" width="7.53515625" style="260" customWidth="1"/>
    <col min="4887" max="4888" width="8.4609375" style="260" customWidth="1"/>
    <col min="4889" max="4889" width="6.69140625" style="260" customWidth="1"/>
    <col min="4890" max="4890" width="7.53515625" style="260" customWidth="1"/>
    <col min="4891" max="5130" width="6.23046875" style="260"/>
    <col min="5131" max="5131" width="43.53515625" style="260" customWidth="1"/>
    <col min="5132" max="5132" width="7.53515625" style="260" customWidth="1"/>
    <col min="5133" max="5134" width="8.4609375" style="260" customWidth="1"/>
    <col min="5135" max="5135" width="6.69140625" style="260" customWidth="1"/>
    <col min="5136" max="5137" width="7.53515625" style="260" customWidth="1"/>
    <col min="5138" max="5139" width="8.4609375" style="260" customWidth="1"/>
    <col min="5140" max="5140" width="6.69140625" style="260" customWidth="1"/>
    <col min="5141" max="5142" width="7.53515625" style="260" customWidth="1"/>
    <col min="5143" max="5144" width="8.4609375" style="260" customWidth="1"/>
    <col min="5145" max="5145" width="6.69140625" style="260" customWidth="1"/>
    <col min="5146" max="5146" width="7.53515625" style="260" customWidth="1"/>
    <col min="5147" max="5386" width="6.23046875" style="260"/>
    <col min="5387" max="5387" width="43.53515625" style="260" customWidth="1"/>
    <col min="5388" max="5388" width="7.53515625" style="260" customWidth="1"/>
    <col min="5389" max="5390" width="8.4609375" style="260" customWidth="1"/>
    <col min="5391" max="5391" width="6.69140625" style="260" customWidth="1"/>
    <col min="5392" max="5393" width="7.53515625" style="260" customWidth="1"/>
    <col min="5394" max="5395" width="8.4609375" style="260" customWidth="1"/>
    <col min="5396" max="5396" width="6.69140625" style="260" customWidth="1"/>
    <col min="5397" max="5398" width="7.53515625" style="260" customWidth="1"/>
    <col min="5399" max="5400" width="8.4609375" style="260" customWidth="1"/>
    <col min="5401" max="5401" width="6.69140625" style="260" customWidth="1"/>
    <col min="5402" max="5402" width="7.53515625" style="260" customWidth="1"/>
    <col min="5403" max="5642" width="6.23046875" style="260"/>
    <col min="5643" max="5643" width="43.53515625" style="260" customWidth="1"/>
    <col min="5644" max="5644" width="7.53515625" style="260" customWidth="1"/>
    <col min="5645" max="5646" width="8.4609375" style="260" customWidth="1"/>
    <col min="5647" max="5647" width="6.69140625" style="260" customWidth="1"/>
    <col min="5648" max="5649" width="7.53515625" style="260" customWidth="1"/>
    <col min="5650" max="5651" width="8.4609375" style="260" customWidth="1"/>
    <col min="5652" max="5652" width="6.69140625" style="260" customWidth="1"/>
    <col min="5653" max="5654" width="7.53515625" style="260" customWidth="1"/>
    <col min="5655" max="5656" width="8.4609375" style="260" customWidth="1"/>
    <col min="5657" max="5657" width="6.69140625" style="260" customWidth="1"/>
    <col min="5658" max="5658" width="7.53515625" style="260" customWidth="1"/>
    <col min="5659" max="5898" width="6.23046875" style="260"/>
    <col min="5899" max="5899" width="43.53515625" style="260" customWidth="1"/>
    <col min="5900" max="5900" width="7.53515625" style="260" customWidth="1"/>
    <col min="5901" max="5902" width="8.4609375" style="260" customWidth="1"/>
    <col min="5903" max="5903" width="6.69140625" style="260" customWidth="1"/>
    <col min="5904" max="5905" width="7.53515625" style="260" customWidth="1"/>
    <col min="5906" max="5907" width="8.4609375" style="260" customWidth="1"/>
    <col min="5908" max="5908" width="6.69140625" style="260" customWidth="1"/>
    <col min="5909" max="5910" width="7.53515625" style="260" customWidth="1"/>
    <col min="5911" max="5912" width="8.4609375" style="260" customWidth="1"/>
    <col min="5913" max="5913" width="6.69140625" style="260" customWidth="1"/>
    <col min="5914" max="5914" width="7.53515625" style="260" customWidth="1"/>
    <col min="5915" max="6154" width="6.23046875" style="260"/>
    <col min="6155" max="6155" width="43.53515625" style="260" customWidth="1"/>
    <col min="6156" max="6156" width="7.53515625" style="260" customWidth="1"/>
    <col min="6157" max="6158" width="8.4609375" style="260" customWidth="1"/>
    <col min="6159" max="6159" width="6.69140625" style="260" customWidth="1"/>
    <col min="6160" max="6161" width="7.53515625" style="260" customWidth="1"/>
    <col min="6162" max="6163" width="8.4609375" style="260" customWidth="1"/>
    <col min="6164" max="6164" width="6.69140625" style="260" customWidth="1"/>
    <col min="6165" max="6166" width="7.53515625" style="260" customWidth="1"/>
    <col min="6167" max="6168" width="8.4609375" style="260" customWidth="1"/>
    <col min="6169" max="6169" width="6.69140625" style="260" customWidth="1"/>
    <col min="6170" max="6170" width="7.53515625" style="260" customWidth="1"/>
    <col min="6171" max="6410" width="6.23046875" style="260"/>
    <col min="6411" max="6411" width="43.53515625" style="260" customWidth="1"/>
    <col min="6412" max="6412" width="7.53515625" style="260" customWidth="1"/>
    <col min="6413" max="6414" width="8.4609375" style="260" customWidth="1"/>
    <col min="6415" max="6415" width="6.69140625" style="260" customWidth="1"/>
    <col min="6416" max="6417" width="7.53515625" style="260" customWidth="1"/>
    <col min="6418" max="6419" width="8.4609375" style="260" customWidth="1"/>
    <col min="6420" max="6420" width="6.69140625" style="260" customWidth="1"/>
    <col min="6421" max="6422" width="7.53515625" style="260" customWidth="1"/>
    <col min="6423" max="6424" width="8.4609375" style="260" customWidth="1"/>
    <col min="6425" max="6425" width="6.69140625" style="260" customWidth="1"/>
    <col min="6426" max="6426" width="7.53515625" style="260" customWidth="1"/>
    <col min="6427" max="6666" width="6.23046875" style="260"/>
    <col min="6667" max="6667" width="43.53515625" style="260" customWidth="1"/>
    <col min="6668" max="6668" width="7.53515625" style="260" customWidth="1"/>
    <col min="6669" max="6670" width="8.4609375" style="260" customWidth="1"/>
    <col min="6671" max="6671" width="6.69140625" style="260" customWidth="1"/>
    <col min="6672" max="6673" width="7.53515625" style="260" customWidth="1"/>
    <col min="6674" max="6675" width="8.4609375" style="260" customWidth="1"/>
    <col min="6676" max="6676" width="6.69140625" style="260" customWidth="1"/>
    <col min="6677" max="6678" width="7.53515625" style="260" customWidth="1"/>
    <col min="6679" max="6680" width="8.4609375" style="260" customWidth="1"/>
    <col min="6681" max="6681" width="6.69140625" style="260" customWidth="1"/>
    <col min="6682" max="6682" width="7.53515625" style="260" customWidth="1"/>
    <col min="6683" max="6922" width="6.23046875" style="260"/>
    <col min="6923" max="6923" width="43.53515625" style="260" customWidth="1"/>
    <col min="6924" max="6924" width="7.53515625" style="260" customWidth="1"/>
    <col min="6925" max="6926" width="8.4609375" style="260" customWidth="1"/>
    <col min="6927" max="6927" width="6.69140625" style="260" customWidth="1"/>
    <col min="6928" max="6929" width="7.53515625" style="260" customWidth="1"/>
    <col min="6930" max="6931" width="8.4609375" style="260" customWidth="1"/>
    <col min="6932" max="6932" width="6.69140625" style="260" customWidth="1"/>
    <col min="6933" max="6934" width="7.53515625" style="260" customWidth="1"/>
    <col min="6935" max="6936" width="8.4609375" style="260" customWidth="1"/>
    <col min="6937" max="6937" width="6.69140625" style="260" customWidth="1"/>
    <col min="6938" max="6938" width="7.53515625" style="260" customWidth="1"/>
    <col min="6939" max="7178" width="6.23046875" style="260"/>
    <col min="7179" max="7179" width="43.53515625" style="260" customWidth="1"/>
    <col min="7180" max="7180" width="7.53515625" style="260" customWidth="1"/>
    <col min="7181" max="7182" width="8.4609375" style="260" customWidth="1"/>
    <col min="7183" max="7183" width="6.69140625" style="260" customWidth="1"/>
    <col min="7184" max="7185" width="7.53515625" style="260" customWidth="1"/>
    <col min="7186" max="7187" width="8.4609375" style="260" customWidth="1"/>
    <col min="7188" max="7188" width="6.69140625" style="260" customWidth="1"/>
    <col min="7189" max="7190" width="7.53515625" style="260" customWidth="1"/>
    <col min="7191" max="7192" width="8.4609375" style="260" customWidth="1"/>
    <col min="7193" max="7193" width="6.69140625" style="260" customWidth="1"/>
    <col min="7194" max="7194" width="7.53515625" style="260" customWidth="1"/>
    <col min="7195" max="7434" width="6.23046875" style="260"/>
    <col min="7435" max="7435" width="43.53515625" style="260" customWidth="1"/>
    <col min="7436" max="7436" width="7.53515625" style="260" customWidth="1"/>
    <col min="7437" max="7438" width="8.4609375" style="260" customWidth="1"/>
    <col min="7439" max="7439" width="6.69140625" style="260" customWidth="1"/>
    <col min="7440" max="7441" width="7.53515625" style="260" customWidth="1"/>
    <col min="7442" max="7443" width="8.4609375" style="260" customWidth="1"/>
    <col min="7444" max="7444" width="6.69140625" style="260" customWidth="1"/>
    <col min="7445" max="7446" width="7.53515625" style="260" customWidth="1"/>
    <col min="7447" max="7448" width="8.4609375" style="260" customWidth="1"/>
    <col min="7449" max="7449" width="6.69140625" style="260" customWidth="1"/>
    <col min="7450" max="7450" width="7.53515625" style="260" customWidth="1"/>
    <col min="7451" max="7690" width="6.23046875" style="260"/>
    <col min="7691" max="7691" width="43.53515625" style="260" customWidth="1"/>
    <col min="7692" max="7692" width="7.53515625" style="260" customWidth="1"/>
    <col min="7693" max="7694" width="8.4609375" style="260" customWidth="1"/>
    <col min="7695" max="7695" width="6.69140625" style="260" customWidth="1"/>
    <col min="7696" max="7697" width="7.53515625" style="260" customWidth="1"/>
    <col min="7698" max="7699" width="8.4609375" style="260" customWidth="1"/>
    <col min="7700" max="7700" width="6.69140625" style="260" customWidth="1"/>
    <col min="7701" max="7702" width="7.53515625" style="260" customWidth="1"/>
    <col min="7703" max="7704" width="8.4609375" style="260" customWidth="1"/>
    <col min="7705" max="7705" width="6.69140625" style="260" customWidth="1"/>
    <col min="7706" max="7706" width="7.53515625" style="260" customWidth="1"/>
    <col min="7707" max="7946" width="6.23046875" style="260"/>
    <col min="7947" max="7947" width="43.53515625" style="260" customWidth="1"/>
    <col min="7948" max="7948" width="7.53515625" style="260" customWidth="1"/>
    <col min="7949" max="7950" width="8.4609375" style="260" customWidth="1"/>
    <col min="7951" max="7951" width="6.69140625" style="260" customWidth="1"/>
    <col min="7952" max="7953" width="7.53515625" style="260" customWidth="1"/>
    <col min="7954" max="7955" width="8.4609375" style="260" customWidth="1"/>
    <col min="7956" max="7956" width="6.69140625" style="260" customWidth="1"/>
    <col min="7957" max="7958" width="7.53515625" style="260" customWidth="1"/>
    <col min="7959" max="7960" width="8.4609375" style="260" customWidth="1"/>
    <col min="7961" max="7961" width="6.69140625" style="260" customWidth="1"/>
    <col min="7962" max="7962" width="7.53515625" style="260" customWidth="1"/>
    <col min="7963" max="8202" width="6.23046875" style="260"/>
    <col min="8203" max="8203" width="43.53515625" style="260" customWidth="1"/>
    <col min="8204" max="8204" width="7.53515625" style="260" customWidth="1"/>
    <col min="8205" max="8206" width="8.4609375" style="260" customWidth="1"/>
    <col min="8207" max="8207" width="6.69140625" style="260" customWidth="1"/>
    <col min="8208" max="8209" width="7.53515625" style="260" customWidth="1"/>
    <col min="8210" max="8211" width="8.4609375" style="260" customWidth="1"/>
    <col min="8212" max="8212" width="6.69140625" style="260" customWidth="1"/>
    <col min="8213" max="8214" width="7.53515625" style="260" customWidth="1"/>
    <col min="8215" max="8216" width="8.4609375" style="260" customWidth="1"/>
    <col min="8217" max="8217" width="6.69140625" style="260" customWidth="1"/>
    <col min="8218" max="8218" width="7.53515625" style="260" customWidth="1"/>
    <col min="8219" max="8458" width="6.23046875" style="260"/>
    <col min="8459" max="8459" width="43.53515625" style="260" customWidth="1"/>
    <col min="8460" max="8460" width="7.53515625" style="260" customWidth="1"/>
    <col min="8461" max="8462" width="8.4609375" style="260" customWidth="1"/>
    <col min="8463" max="8463" width="6.69140625" style="260" customWidth="1"/>
    <col min="8464" max="8465" width="7.53515625" style="260" customWidth="1"/>
    <col min="8466" max="8467" width="8.4609375" style="260" customWidth="1"/>
    <col min="8468" max="8468" width="6.69140625" style="260" customWidth="1"/>
    <col min="8469" max="8470" width="7.53515625" style="260" customWidth="1"/>
    <col min="8471" max="8472" width="8.4609375" style="260" customWidth="1"/>
    <col min="8473" max="8473" width="6.69140625" style="260" customWidth="1"/>
    <col min="8474" max="8474" width="7.53515625" style="260" customWidth="1"/>
    <col min="8475" max="8714" width="6.23046875" style="260"/>
    <col min="8715" max="8715" width="43.53515625" style="260" customWidth="1"/>
    <col min="8716" max="8716" width="7.53515625" style="260" customWidth="1"/>
    <col min="8717" max="8718" width="8.4609375" style="260" customWidth="1"/>
    <col min="8719" max="8719" width="6.69140625" style="260" customWidth="1"/>
    <col min="8720" max="8721" width="7.53515625" style="260" customWidth="1"/>
    <col min="8722" max="8723" width="8.4609375" style="260" customWidth="1"/>
    <col min="8724" max="8724" width="6.69140625" style="260" customWidth="1"/>
    <col min="8725" max="8726" width="7.53515625" style="260" customWidth="1"/>
    <col min="8727" max="8728" width="8.4609375" style="260" customWidth="1"/>
    <col min="8729" max="8729" width="6.69140625" style="260" customWidth="1"/>
    <col min="8730" max="8730" width="7.53515625" style="260" customWidth="1"/>
    <col min="8731" max="8970" width="6.23046875" style="260"/>
    <col min="8971" max="8971" width="43.53515625" style="260" customWidth="1"/>
    <col min="8972" max="8972" width="7.53515625" style="260" customWidth="1"/>
    <col min="8973" max="8974" width="8.4609375" style="260" customWidth="1"/>
    <col min="8975" max="8975" width="6.69140625" style="260" customWidth="1"/>
    <col min="8976" max="8977" width="7.53515625" style="260" customWidth="1"/>
    <col min="8978" max="8979" width="8.4609375" style="260" customWidth="1"/>
    <col min="8980" max="8980" width="6.69140625" style="260" customWidth="1"/>
    <col min="8981" max="8982" width="7.53515625" style="260" customWidth="1"/>
    <col min="8983" max="8984" width="8.4609375" style="260" customWidth="1"/>
    <col min="8985" max="8985" width="6.69140625" style="260" customWidth="1"/>
    <col min="8986" max="8986" width="7.53515625" style="260" customWidth="1"/>
    <col min="8987" max="9226" width="6.23046875" style="260"/>
    <col min="9227" max="9227" width="43.53515625" style="260" customWidth="1"/>
    <col min="9228" max="9228" width="7.53515625" style="260" customWidth="1"/>
    <col min="9229" max="9230" width="8.4609375" style="260" customWidth="1"/>
    <col min="9231" max="9231" width="6.69140625" style="260" customWidth="1"/>
    <col min="9232" max="9233" width="7.53515625" style="260" customWidth="1"/>
    <col min="9234" max="9235" width="8.4609375" style="260" customWidth="1"/>
    <col min="9236" max="9236" width="6.69140625" style="260" customWidth="1"/>
    <col min="9237" max="9238" width="7.53515625" style="260" customWidth="1"/>
    <col min="9239" max="9240" width="8.4609375" style="260" customWidth="1"/>
    <col min="9241" max="9241" width="6.69140625" style="260" customWidth="1"/>
    <col min="9242" max="9242" width="7.53515625" style="260" customWidth="1"/>
    <col min="9243" max="9482" width="6.23046875" style="260"/>
    <col min="9483" max="9483" width="43.53515625" style="260" customWidth="1"/>
    <col min="9484" max="9484" width="7.53515625" style="260" customWidth="1"/>
    <col min="9485" max="9486" width="8.4609375" style="260" customWidth="1"/>
    <col min="9487" max="9487" width="6.69140625" style="260" customWidth="1"/>
    <col min="9488" max="9489" width="7.53515625" style="260" customWidth="1"/>
    <col min="9490" max="9491" width="8.4609375" style="260" customWidth="1"/>
    <col min="9492" max="9492" width="6.69140625" style="260" customWidth="1"/>
    <col min="9493" max="9494" width="7.53515625" style="260" customWidth="1"/>
    <col min="9495" max="9496" width="8.4609375" style="260" customWidth="1"/>
    <col min="9497" max="9497" width="6.69140625" style="260" customWidth="1"/>
    <col min="9498" max="9498" width="7.53515625" style="260" customWidth="1"/>
    <col min="9499" max="9738" width="6.23046875" style="260"/>
    <col min="9739" max="9739" width="43.53515625" style="260" customWidth="1"/>
    <col min="9740" max="9740" width="7.53515625" style="260" customWidth="1"/>
    <col min="9741" max="9742" width="8.4609375" style="260" customWidth="1"/>
    <col min="9743" max="9743" width="6.69140625" style="260" customWidth="1"/>
    <col min="9744" max="9745" width="7.53515625" style="260" customWidth="1"/>
    <col min="9746" max="9747" width="8.4609375" style="260" customWidth="1"/>
    <col min="9748" max="9748" width="6.69140625" style="260" customWidth="1"/>
    <col min="9749" max="9750" width="7.53515625" style="260" customWidth="1"/>
    <col min="9751" max="9752" width="8.4609375" style="260" customWidth="1"/>
    <col min="9753" max="9753" width="6.69140625" style="260" customWidth="1"/>
    <col min="9754" max="9754" width="7.53515625" style="260" customWidth="1"/>
    <col min="9755" max="9994" width="6.23046875" style="260"/>
    <col min="9995" max="9995" width="43.53515625" style="260" customWidth="1"/>
    <col min="9996" max="9996" width="7.53515625" style="260" customWidth="1"/>
    <col min="9997" max="9998" width="8.4609375" style="260" customWidth="1"/>
    <col min="9999" max="9999" width="6.69140625" style="260" customWidth="1"/>
    <col min="10000" max="10001" width="7.53515625" style="260" customWidth="1"/>
    <col min="10002" max="10003" width="8.4609375" style="260" customWidth="1"/>
    <col min="10004" max="10004" width="6.69140625" style="260" customWidth="1"/>
    <col min="10005" max="10006" width="7.53515625" style="260" customWidth="1"/>
    <col min="10007" max="10008" width="8.4609375" style="260" customWidth="1"/>
    <col min="10009" max="10009" width="6.69140625" style="260" customWidth="1"/>
    <col min="10010" max="10010" width="7.53515625" style="260" customWidth="1"/>
    <col min="10011" max="10250" width="6.23046875" style="260"/>
    <col min="10251" max="10251" width="43.53515625" style="260" customWidth="1"/>
    <col min="10252" max="10252" width="7.53515625" style="260" customWidth="1"/>
    <col min="10253" max="10254" width="8.4609375" style="260" customWidth="1"/>
    <col min="10255" max="10255" width="6.69140625" style="260" customWidth="1"/>
    <col min="10256" max="10257" width="7.53515625" style="260" customWidth="1"/>
    <col min="10258" max="10259" width="8.4609375" style="260" customWidth="1"/>
    <col min="10260" max="10260" width="6.69140625" style="260" customWidth="1"/>
    <col min="10261" max="10262" width="7.53515625" style="260" customWidth="1"/>
    <col min="10263" max="10264" width="8.4609375" style="260" customWidth="1"/>
    <col min="10265" max="10265" width="6.69140625" style="260" customWidth="1"/>
    <col min="10266" max="10266" width="7.53515625" style="260" customWidth="1"/>
    <col min="10267" max="10506" width="6.23046875" style="260"/>
    <col min="10507" max="10507" width="43.53515625" style="260" customWidth="1"/>
    <col min="10508" max="10508" width="7.53515625" style="260" customWidth="1"/>
    <col min="10509" max="10510" width="8.4609375" style="260" customWidth="1"/>
    <col min="10511" max="10511" width="6.69140625" style="260" customWidth="1"/>
    <col min="10512" max="10513" width="7.53515625" style="260" customWidth="1"/>
    <col min="10514" max="10515" width="8.4609375" style="260" customWidth="1"/>
    <col min="10516" max="10516" width="6.69140625" style="260" customWidth="1"/>
    <col min="10517" max="10518" width="7.53515625" style="260" customWidth="1"/>
    <col min="10519" max="10520" width="8.4609375" style="260" customWidth="1"/>
    <col min="10521" max="10521" width="6.69140625" style="260" customWidth="1"/>
    <col min="10522" max="10522" width="7.53515625" style="260" customWidth="1"/>
    <col min="10523" max="10762" width="6.23046875" style="260"/>
    <col min="10763" max="10763" width="43.53515625" style="260" customWidth="1"/>
    <col min="10764" max="10764" width="7.53515625" style="260" customWidth="1"/>
    <col min="10765" max="10766" width="8.4609375" style="260" customWidth="1"/>
    <col min="10767" max="10767" width="6.69140625" style="260" customWidth="1"/>
    <col min="10768" max="10769" width="7.53515625" style="260" customWidth="1"/>
    <col min="10770" max="10771" width="8.4609375" style="260" customWidth="1"/>
    <col min="10772" max="10772" width="6.69140625" style="260" customWidth="1"/>
    <col min="10773" max="10774" width="7.53515625" style="260" customWidth="1"/>
    <col min="10775" max="10776" width="8.4609375" style="260" customWidth="1"/>
    <col min="10777" max="10777" width="6.69140625" style="260" customWidth="1"/>
    <col min="10778" max="10778" width="7.53515625" style="260" customWidth="1"/>
    <col min="10779" max="11018" width="6.23046875" style="260"/>
    <col min="11019" max="11019" width="43.53515625" style="260" customWidth="1"/>
    <col min="11020" max="11020" width="7.53515625" style="260" customWidth="1"/>
    <col min="11021" max="11022" width="8.4609375" style="260" customWidth="1"/>
    <col min="11023" max="11023" width="6.69140625" style="260" customWidth="1"/>
    <col min="11024" max="11025" width="7.53515625" style="260" customWidth="1"/>
    <col min="11026" max="11027" width="8.4609375" style="260" customWidth="1"/>
    <col min="11028" max="11028" width="6.69140625" style="260" customWidth="1"/>
    <col min="11029" max="11030" width="7.53515625" style="260" customWidth="1"/>
    <col min="11031" max="11032" width="8.4609375" style="260" customWidth="1"/>
    <col min="11033" max="11033" width="6.69140625" style="260" customWidth="1"/>
    <col min="11034" max="11034" width="7.53515625" style="260" customWidth="1"/>
    <col min="11035" max="11274" width="6.23046875" style="260"/>
    <col min="11275" max="11275" width="43.53515625" style="260" customWidth="1"/>
    <col min="11276" max="11276" width="7.53515625" style="260" customWidth="1"/>
    <col min="11277" max="11278" width="8.4609375" style="260" customWidth="1"/>
    <col min="11279" max="11279" width="6.69140625" style="260" customWidth="1"/>
    <col min="11280" max="11281" width="7.53515625" style="260" customWidth="1"/>
    <col min="11282" max="11283" width="8.4609375" style="260" customWidth="1"/>
    <col min="11284" max="11284" width="6.69140625" style="260" customWidth="1"/>
    <col min="11285" max="11286" width="7.53515625" style="260" customWidth="1"/>
    <col min="11287" max="11288" width="8.4609375" style="260" customWidth="1"/>
    <col min="11289" max="11289" width="6.69140625" style="260" customWidth="1"/>
    <col min="11290" max="11290" width="7.53515625" style="260" customWidth="1"/>
    <col min="11291" max="11530" width="6.23046875" style="260"/>
    <col min="11531" max="11531" width="43.53515625" style="260" customWidth="1"/>
    <col min="11532" max="11532" width="7.53515625" style="260" customWidth="1"/>
    <col min="11533" max="11534" width="8.4609375" style="260" customWidth="1"/>
    <col min="11535" max="11535" width="6.69140625" style="260" customWidth="1"/>
    <col min="11536" max="11537" width="7.53515625" style="260" customWidth="1"/>
    <col min="11538" max="11539" width="8.4609375" style="260" customWidth="1"/>
    <col min="11540" max="11540" width="6.69140625" style="260" customWidth="1"/>
    <col min="11541" max="11542" width="7.53515625" style="260" customWidth="1"/>
    <col min="11543" max="11544" width="8.4609375" style="260" customWidth="1"/>
    <col min="11545" max="11545" width="6.69140625" style="260" customWidth="1"/>
    <col min="11546" max="11546" width="7.53515625" style="260" customWidth="1"/>
    <col min="11547" max="11786" width="6.23046875" style="260"/>
    <col min="11787" max="11787" width="43.53515625" style="260" customWidth="1"/>
    <col min="11788" max="11788" width="7.53515625" style="260" customWidth="1"/>
    <col min="11789" max="11790" width="8.4609375" style="260" customWidth="1"/>
    <col min="11791" max="11791" width="6.69140625" style="260" customWidth="1"/>
    <col min="11792" max="11793" width="7.53515625" style="260" customWidth="1"/>
    <col min="11794" max="11795" width="8.4609375" style="260" customWidth="1"/>
    <col min="11796" max="11796" width="6.69140625" style="260" customWidth="1"/>
    <col min="11797" max="11798" width="7.53515625" style="260" customWidth="1"/>
    <col min="11799" max="11800" width="8.4609375" style="260" customWidth="1"/>
    <col min="11801" max="11801" width="6.69140625" style="260" customWidth="1"/>
    <col min="11802" max="11802" width="7.53515625" style="260" customWidth="1"/>
    <col min="11803" max="12042" width="6.23046875" style="260"/>
    <col min="12043" max="12043" width="43.53515625" style="260" customWidth="1"/>
    <col min="12044" max="12044" width="7.53515625" style="260" customWidth="1"/>
    <col min="12045" max="12046" width="8.4609375" style="260" customWidth="1"/>
    <col min="12047" max="12047" width="6.69140625" style="260" customWidth="1"/>
    <col min="12048" max="12049" width="7.53515625" style="260" customWidth="1"/>
    <col min="12050" max="12051" width="8.4609375" style="260" customWidth="1"/>
    <col min="12052" max="12052" width="6.69140625" style="260" customWidth="1"/>
    <col min="12053" max="12054" width="7.53515625" style="260" customWidth="1"/>
    <col min="12055" max="12056" width="8.4609375" style="260" customWidth="1"/>
    <col min="12057" max="12057" width="6.69140625" style="260" customWidth="1"/>
    <col min="12058" max="12058" width="7.53515625" style="260" customWidth="1"/>
    <col min="12059" max="12298" width="6.23046875" style="260"/>
    <col min="12299" max="12299" width="43.53515625" style="260" customWidth="1"/>
    <col min="12300" max="12300" width="7.53515625" style="260" customWidth="1"/>
    <col min="12301" max="12302" width="8.4609375" style="260" customWidth="1"/>
    <col min="12303" max="12303" width="6.69140625" style="260" customWidth="1"/>
    <col min="12304" max="12305" width="7.53515625" style="260" customWidth="1"/>
    <col min="12306" max="12307" width="8.4609375" style="260" customWidth="1"/>
    <col min="12308" max="12308" width="6.69140625" style="260" customWidth="1"/>
    <col min="12309" max="12310" width="7.53515625" style="260" customWidth="1"/>
    <col min="12311" max="12312" width="8.4609375" style="260" customWidth="1"/>
    <col min="12313" max="12313" width="6.69140625" style="260" customWidth="1"/>
    <col min="12314" max="12314" width="7.53515625" style="260" customWidth="1"/>
    <col min="12315" max="12554" width="6.23046875" style="260"/>
    <col min="12555" max="12555" width="43.53515625" style="260" customWidth="1"/>
    <col min="12556" max="12556" width="7.53515625" style="260" customWidth="1"/>
    <col min="12557" max="12558" width="8.4609375" style="260" customWidth="1"/>
    <col min="12559" max="12559" width="6.69140625" style="260" customWidth="1"/>
    <col min="12560" max="12561" width="7.53515625" style="260" customWidth="1"/>
    <col min="12562" max="12563" width="8.4609375" style="260" customWidth="1"/>
    <col min="12564" max="12564" width="6.69140625" style="260" customWidth="1"/>
    <col min="12565" max="12566" width="7.53515625" style="260" customWidth="1"/>
    <col min="12567" max="12568" width="8.4609375" style="260" customWidth="1"/>
    <col min="12569" max="12569" width="6.69140625" style="260" customWidth="1"/>
    <col min="12570" max="12570" width="7.53515625" style="260" customWidth="1"/>
    <col min="12571" max="12810" width="6.23046875" style="260"/>
    <col min="12811" max="12811" width="43.53515625" style="260" customWidth="1"/>
    <col min="12812" max="12812" width="7.53515625" style="260" customWidth="1"/>
    <col min="12813" max="12814" width="8.4609375" style="260" customWidth="1"/>
    <col min="12815" max="12815" width="6.69140625" style="260" customWidth="1"/>
    <col min="12816" max="12817" width="7.53515625" style="260" customWidth="1"/>
    <col min="12818" max="12819" width="8.4609375" style="260" customWidth="1"/>
    <col min="12820" max="12820" width="6.69140625" style="260" customWidth="1"/>
    <col min="12821" max="12822" width="7.53515625" style="260" customWidth="1"/>
    <col min="12823" max="12824" width="8.4609375" style="260" customWidth="1"/>
    <col min="12825" max="12825" width="6.69140625" style="260" customWidth="1"/>
    <col min="12826" max="12826" width="7.53515625" style="260" customWidth="1"/>
    <col min="12827" max="13066" width="6.23046875" style="260"/>
    <col min="13067" max="13067" width="43.53515625" style="260" customWidth="1"/>
    <col min="13068" max="13068" width="7.53515625" style="260" customWidth="1"/>
    <col min="13069" max="13070" width="8.4609375" style="260" customWidth="1"/>
    <col min="13071" max="13071" width="6.69140625" style="260" customWidth="1"/>
    <col min="13072" max="13073" width="7.53515625" style="260" customWidth="1"/>
    <col min="13074" max="13075" width="8.4609375" style="260" customWidth="1"/>
    <col min="13076" max="13076" width="6.69140625" style="260" customWidth="1"/>
    <col min="13077" max="13078" width="7.53515625" style="260" customWidth="1"/>
    <col min="13079" max="13080" width="8.4609375" style="260" customWidth="1"/>
    <col min="13081" max="13081" width="6.69140625" style="260" customWidth="1"/>
    <col min="13082" max="13082" width="7.53515625" style="260" customWidth="1"/>
    <col min="13083" max="13322" width="6.23046875" style="260"/>
    <col min="13323" max="13323" width="43.53515625" style="260" customWidth="1"/>
    <col min="13324" max="13324" width="7.53515625" style="260" customWidth="1"/>
    <col min="13325" max="13326" width="8.4609375" style="260" customWidth="1"/>
    <col min="13327" max="13327" width="6.69140625" style="260" customWidth="1"/>
    <col min="13328" max="13329" width="7.53515625" style="260" customWidth="1"/>
    <col min="13330" max="13331" width="8.4609375" style="260" customWidth="1"/>
    <col min="13332" max="13332" width="6.69140625" style="260" customWidth="1"/>
    <col min="13333" max="13334" width="7.53515625" style="260" customWidth="1"/>
    <col min="13335" max="13336" width="8.4609375" style="260" customWidth="1"/>
    <col min="13337" max="13337" width="6.69140625" style="260" customWidth="1"/>
    <col min="13338" max="13338" width="7.53515625" style="260" customWidth="1"/>
    <col min="13339" max="13578" width="6.23046875" style="260"/>
    <col min="13579" max="13579" width="43.53515625" style="260" customWidth="1"/>
    <col min="13580" max="13580" width="7.53515625" style="260" customWidth="1"/>
    <col min="13581" max="13582" width="8.4609375" style="260" customWidth="1"/>
    <col min="13583" max="13583" width="6.69140625" style="260" customWidth="1"/>
    <col min="13584" max="13585" width="7.53515625" style="260" customWidth="1"/>
    <col min="13586" max="13587" width="8.4609375" style="260" customWidth="1"/>
    <col min="13588" max="13588" width="6.69140625" style="260" customWidth="1"/>
    <col min="13589" max="13590" width="7.53515625" style="260" customWidth="1"/>
    <col min="13591" max="13592" width="8.4609375" style="260" customWidth="1"/>
    <col min="13593" max="13593" width="6.69140625" style="260" customWidth="1"/>
    <col min="13594" max="13594" width="7.53515625" style="260" customWidth="1"/>
    <col min="13595" max="13834" width="6.23046875" style="260"/>
    <col min="13835" max="13835" width="43.53515625" style="260" customWidth="1"/>
    <col min="13836" max="13836" width="7.53515625" style="260" customWidth="1"/>
    <col min="13837" max="13838" width="8.4609375" style="260" customWidth="1"/>
    <col min="13839" max="13839" width="6.69140625" style="260" customWidth="1"/>
    <col min="13840" max="13841" width="7.53515625" style="260" customWidth="1"/>
    <col min="13842" max="13843" width="8.4609375" style="260" customWidth="1"/>
    <col min="13844" max="13844" width="6.69140625" style="260" customWidth="1"/>
    <col min="13845" max="13846" width="7.53515625" style="260" customWidth="1"/>
    <col min="13847" max="13848" width="8.4609375" style="260" customWidth="1"/>
    <col min="13849" max="13849" width="6.69140625" style="260" customWidth="1"/>
    <col min="13850" max="13850" width="7.53515625" style="260" customWidth="1"/>
    <col min="13851" max="14090" width="6.23046875" style="260"/>
    <col min="14091" max="14091" width="43.53515625" style="260" customWidth="1"/>
    <col min="14092" max="14092" width="7.53515625" style="260" customWidth="1"/>
    <col min="14093" max="14094" width="8.4609375" style="260" customWidth="1"/>
    <col min="14095" max="14095" width="6.69140625" style="260" customWidth="1"/>
    <col min="14096" max="14097" width="7.53515625" style="260" customWidth="1"/>
    <col min="14098" max="14099" width="8.4609375" style="260" customWidth="1"/>
    <col min="14100" max="14100" width="6.69140625" style="260" customWidth="1"/>
    <col min="14101" max="14102" width="7.53515625" style="260" customWidth="1"/>
    <col min="14103" max="14104" width="8.4609375" style="260" customWidth="1"/>
    <col min="14105" max="14105" width="6.69140625" style="260" customWidth="1"/>
    <col min="14106" max="14106" width="7.53515625" style="260" customWidth="1"/>
    <col min="14107" max="14346" width="6.23046875" style="260"/>
    <col min="14347" max="14347" width="43.53515625" style="260" customWidth="1"/>
    <col min="14348" max="14348" width="7.53515625" style="260" customWidth="1"/>
    <col min="14349" max="14350" width="8.4609375" style="260" customWidth="1"/>
    <col min="14351" max="14351" width="6.69140625" style="260" customWidth="1"/>
    <col min="14352" max="14353" width="7.53515625" style="260" customWidth="1"/>
    <col min="14354" max="14355" width="8.4609375" style="260" customWidth="1"/>
    <col min="14356" max="14356" width="6.69140625" style="260" customWidth="1"/>
    <col min="14357" max="14358" width="7.53515625" style="260" customWidth="1"/>
    <col min="14359" max="14360" width="8.4609375" style="260" customWidth="1"/>
    <col min="14361" max="14361" width="6.69140625" style="260" customWidth="1"/>
    <col min="14362" max="14362" width="7.53515625" style="260" customWidth="1"/>
    <col min="14363" max="14602" width="6.23046875" style="260"/>
    <col min="14603" max="14603" width="43.53515625" style="260" customWidth="1"/>
    <col min="14604" max="14604" width="7.53515625" style="260" customWidth="1"/>
    <col min="14605" max="14606" width="8.4609375" style="260" customWidth="1"/>
    <col min="14607" max="14607" width="6.69140625" style="260" customWidth="1"/>
    <col min="14608" max="14609" width="7.53515625" style="260" customWidth="1"/>
    <col min="14610" max="14611" width="8.4609375" style="260" customWidth="1"/>
    <col min="14612" max="14612" width="6.69140625" style="260" customWidth="1"/>
    <col min="14613" max="14614" width="7.53515625" style="260" customWidth="1"/>
    <col min="14615" max="14616" width="8.4609375" style="260" customWidth="1"/>
    <col min="14617" max="14617" width="6.69140625" style="260" customWidth="1"/>
    <col min="14618" max="14618" width="7.53515625" style="260" customWidth="1"/>
    <col min="14619" max="14858" width="6.23046875" style="260"/>
    <col min="14859" max="14859" width="43.53515625" style="260" customWidth="1"/>
    <col min="14860" max="14860" width="7.53515625" style="260" customWidth="1"/>
    <col min="14861" max="14862" width="8.4609375" style="260" customWidth="1"/>
    <col min="14863" max="14863" width="6.69140625" style="260" customWidth="1"/>
    <col min="14864" max="14865" width="7.53515625" style="260" customWidth="1"/>
    <col min="14866" max="14867" width="8.4609375" style="260" customWidth="1"/>
    <col min="14868" max="14868" width="6.69140625" style="260" customWidth="1"/>
    <col min="14869" max="14870" width="7.53515625" style="260" customWidth="1"/>
    <col min="14871" max="14872" width="8.4609375" style="260" customWidth="1"/>
    <col min="14873" max="14873" width="6.69140625" style="260" customWidth="1"/>
    <col min="14874" max="14874" width="7.53515625" style="260" customWidth="1"/>
    <col min="14875" max="15114" width="6.23046875" style="260"/>
    <col min="15115" max="15115" width="43.53515625" style="260" customWidth="1"/>
    <col min="15116" max="15116" width="7.53515625" style="260" customWidth="1"/>
    <col min="15117" max="15118" width="8.4609375" style="260" customWidth="1"/>
    <col min="15119" max="15119" width="6.69140625" style="260" customWidth="1"/>
    <col min="15120" max="15121" width="7.53515625" style="260" customWidth="1"/>
    <col min="15122" max="15123" width="8.4609375" style="260" customWidth="1"/>
    <col min="15124" max="15124" width="6.69140625" style="260" customWidth="1"/>
    <col min="15125" max="15126" width="7.53515625" style="260" customWidth="1"/>
    <col min="15127" max="15128" width="8.4609375" style="260" customWidth="1"/>
    <col min="15129" max="15129" width="6.69140625" style="260" customWidth="1"/>
    <col min="15130" max="15130" width="7.53515625" style="260" customWidth="1"/>
    <col min="15131" max="15370" width="6.23046875" style="260"/>
    <col min="15371" max="15371" width="43.53515625" style="260" customWidth="1"/>
    <col min="15372" max="15372" width="7.53515625" style="260" customWidth="1"/>
    <col min="15373" max="15374" width="8.4609375" style="260" customWidth="1"/>
    <col min="15375" max="15375" width="6.69140625" style="260" customWidth="1"/>
    <col min="15376" max="15377" width="7.53515625" style="260" customWidth="1"/>
    <col min="15378" max="15379" width="8.4609375" style="260" customWidth="1"/>
    <col min="15380" max="15380" width="6.69140625" style="260" customWidth="1"/>
    <col min="15381" max="15382" width="7.53515625" style="260" customWidth="1"/>
    <col min="15383" max="15384" width="8.4609375" style="260" customWidth="1"/>
    <col min="15385" max="15385" width="6.69140625" style="260" customWidth="1"/>
    <col min="15386" max="15386" width="7.53515625" style="260" customWidth="1"/>
    <col min="15387" max="15626" width="6.23046875" style="260"/>
    <col min="15627" max="15627" width="43.53515625" style="260" customWidth="1"/>
    <col min="15628" max="15628" width="7.53515625" style="260" customWidth="1"/>
    <col min="15629" max="15630" width="8.4609375" style="260" customWidth="1"/>
    <col min="15631" max="15631" width="6.69140625" style="260" customWidth="1"/>
    <col min="15632" max="15633" width="7.53515625" style="260" customWidth="1"/>
    <col min="15634" max="15635" width="8.4609375" style="260" customWidth="1"/>
    <col min="15636" max="15636" width="6.69140625" style="260" customWidth="1"/>
    <col min="15637" max="15638" width="7.53515625" style="260" customWidth="1"/>
    <col min="15639" max="15640" width="8.4609375" style="260" customWidth="1"/>
    <col min="15641" max="15641" width="6.69140625" style="260" customWidth="1"/>
    <col min="15642" max="15642" width="7.53515625" style="260" customWidth="1"/>
    <col min="15643" max="15882" width="6.23046875" style="260"/>
    <col min="15883" max="15883" width="43.53515625" style="260" customWidth="1"/>
    <col min="15884" max="15884" width="7.53515625" style="260" customWidth="1"/>
    <col min="15885" max="15886" width="8.4609375" style="260" customWidth="1"/>
    <col min="15887" max="15887" width="6.69140625" style="260" customWidth="1"/>
    <col min="15888" max="15889" width="7.53515625" style="260" customWidth="1"/>
    <col min="15890" max="15891" width="8.4609375" style="260" customWidth="1"/>
    <col min="15892" max="15892" width="6.69140625" style="260" customWidth="1"/>
    <col min="15893" max="15894" width="7.53515625" style="260" customWidth="1"/>
    <col min="15895" max="15896" width="8.4609375" style="260" customWidth="1"/>
    <col min="15897" max="15897" width="6.69140625" style="260" customWidth="1"/>
    <col min="15898" max="15898" width="7.53515625" style="260" customWidth="1"/>
    <col min="15899" max="16138" width="6.23046875" style="260"/>
    <col min="16139" max="16139" width="43.53515625" style="260" customWidth="1"/>
    <col min="16140" max="16140" width="7.53515625" style="260" customWidth="1"/>
    <col min="16141" max="16142" width="8.4609375" style="260" customWidth="1"/>
    <col min="16143" max="16143" width="6.69140625" style="260" customWidth="1"/>
    <col min="16144" max="16145" width="7.53515625" style="260" customWidth="1"/>
    <col min="16146" max="16147" width="8.4609375" style="260" customWidth="1"/>
    <col min="16148" max="16148" width="6.69140625" style="260" customWidth="1"/>
    <col min="16149" max="16150" width="7.53515625" style="260" customWidth="1"/>
    <col min="16151" max="16152" width="8.4609375" style="260" customWidth="1"/>
    <col min="16153" max="16153" width="6.69140625" style="260" customWidth="1"/>
    <col min="16154" max="16154" width="7.53515625" style="260" customWidth="1"/>
    <col min="16155" max="16384" width="6.23046875" style="260"/>
  </cols>
  <sheetData>
    <row r="1" spans="1:25" ht="15.45" x14ac:dyDescent="0.4">
      <c r="A1" s="18" t="str">
        <f>CONCATENATE("Industry Table 6  Employment status by Industry (SIC 2007) and Gender, ",B$5,"-",V$5,", ",Info!B5)</f>
        <v>Industry Table 6  Employment status by Industry (SIC 2007) and Gender, 2015-2035, East</v>
      </c>
    </row>
    <row r="2" spans="1:25" x14ac:dyDescent="0.35">
      <c r="A2" s="1" t="s">
        <v>535</v>
      </c>
    </row>
    <row r="4" spans="1:25" x14ac:dyDescent="0.35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35</v>
      </c>
    </row>
    <row r="5" spans="1:25" ht="14.15" x14ac:dyDescent="0.35">
      <c r="A5" s="265" t="str">
        <f>"Industry 1 : "&amp; name!B4</f>
        <v>Industry 1 : Agriculture</v>
      </c>
      <c r="B5" s="372">
        <v>2015</v>
      </c>
      <c r="C5" s="372"/>
      <c r="D5" s="372"/>
      <c r="E5" s="372"/>
      <c r="F5" s="317"/>
      <c r="G5" s="372">
        <v>2019</v>
      </c>
      <c r="H5" s="372"/>
      <c r="I5" s="372"/>
      <c r="J5" s="372"/>
      <c r="K5" s="318"/>
      <c r="L5" s="372">
        <v>2020</v>
      </c>
      <c r="M5" s="372"/>
      <c r="N5" s="372"/>
      <c r="O5" s="372"/>
      <c r="P5" s="318"/>
      <c r="Q5" s="372">
        <v>2025</v>
      </c>
      <c r="R5" s="372"/>
      <c r="S5" s="372"/>
      <c r="T5" s="372"/>
      <c r="U5" s="317"/>
      <c r="V5" s="372">
        <v>2035</v>
      </c>
      <c r="W5" s="372"/>
      <c r="X5" s="372"/>
      <c r="Y5" s="372"/>
    </row>
    <row r="6" spans="1:25" ht="12.45" x14ac:dyDescent="0.3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32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32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32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32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32</v>
      </c>
    </row>
    <row r="7" spans="1:25" ht="12.45" x14ac:dyDescent="0.3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ht="12.45" x14ac:dyDescent="0.3">
      <c r="A8" s="261" t="str">
        <f>name!A4</f>
        <v>Agriculture, etc</v>
      </c>
      <c r="C8" s="263"/>
    </row>
    <row r="9" spans="1:25" ht="12.45" x14ac:dyDescent="0.3">
      <c r="A9" s="260" t="s">
        <v>356</v>
      </c>
      <c r="B9" s="300">
        <v>2.5089999999987578</v>
      </c>
      <c r="C9" s="300">
        <v>4.5600000000580847</v>
      </c>
      <c r="D9" s="300">
        <v>1.6450000000593927</v>
      </c>
      <c r="E9" s="300">
        <f>SUM(B9:D9)</f>
        <v>8.7140000001162345</v>
      </c>
      <c r="F9" s="300"/>
      <c r="G9" s="300">
        <v>3.9989999999900383</v>
      </c>
      <c r="H9" s="300">
        <v>4.8890000000623157</v>
      </c>
      <c r="I9" s="300">
        <v>3.9460000001603235</v>
      </c>
      <c r="J9" s="300">
        <f>SUM(G9:I9)</f>
        <v>12.834000000212678</v>
      </c>
      <c r="K9" s="300"/>
      <c r="L9" s="300">
        <v>3.7179999999534772</v>
      </c>
      <c r="M9" s="300">
        <v>4.1619999999933528</v>
      </c>
      <c r="N9" s="300">
        <v>1.7079999999333819</v>
      </c>
      <c r="O9" s="300">
        <f>SUM(L9:N9)</f>
        <v>9.5879999998802123</v>
      </c>
      <c r="P9" s="300"/>
      <c r="Q9" s="300">
        <v>3.8270000000454765</v>
      </c>
      <c r="R9" s="300">
        <v>4.1540000000503357</v>
      </c>
      <c r="S9" s="300">
        <v>1.7829999999807136</v>
      </c>
      <c r="T9" s="300">
        <f>SUM(Q9:S9)</f>
        <v>9.7640000000765248</v>
      </c>
      <c r="U9" s="300"/>
      <c r="V9" s="300">
        <v>3.5989999999997284</v>
      </c>
      <c r="W9" s="300">
        <v>3.6329999999730189</v>
      </c>
      <c r="X9" s="300">
        <v>1.728999999978847</v>
      </c>
      <c r="Y9" s="300">
        <f>SUM(V9:X9)</f>
        <v>8.9609999999515946</v>
      </c>
    </row>
    <row r="10" spans="1:25" ht="12.45" x14ac:dyDescent="0.3">
      <c r="A10" s="260" t="s">
        <v>355</v>
      </c>
      <c r="B10" s="300">
        <v>19.18600000001048</v>
      </c>
      <c r="C10" s="300">
        <v>4.8190000000356612</v>
      </c>
      <c r="D10" s="300">
        <v>8.0920000000322911</v>
      </c>
      <c r="E10" s="300">
        <f t="shared" ref="E10:E11" si="0">SUM(B10:D10)</f>
        <v>32.097000000078431</v>
      </c>
      <c r="F10" s="300"/>
      <c r="G10" s="300">
        <v>16.468000000053305</v>
      </c>
      <c r="H10" s="300">
        <v>1.8280000000165511</v>
      </c>
      <c r="I10" s="300">
        <v>12.064000000156716</v>
      </c>
      <c r="J10" s="300">
        <f t="shared" ref="J10:J11" si="1">SUM(G10:I10)</f>
        <v>30.36000000022657</v>
      </c>
      <c r="K10" s="300"/>
      <c r="L10" s="300">
        <v>14.746000000057702</v>
      </c>
      <c r="M10" s="300">
        <v>1.1090000000054707</v>
      </c>
      <c r="N10" s="300">
        <v>0</v>
      </c>
      <c r="O10" s="300">
        <f t="shared" ref="O10:O11" si="2">SUM(L10:N10)</f>
        <v>15.855000000063173</v>
      </c>
      <c r="P10" s="300"/>
      <c r="Q10" s="300">
        <v>15.689000000119245</v>
      </c>
      <c r="R10" s="300">
        <v>1.1500000000080326</v>
      </c>
      <c r="S10" s="300">
        <v>0</v>
      </c>
      <c r="T10" s="300">
        <f t="shared" ref="T10:T11" si="3">SUM(Q10:S10)</f>
        <v>16.839000000127278</v>
      </c>
      <c r="U10" s="300"/>
      <c r="V10" s="300">
        <v>16.00900000012339</v>
      </c>
      <c r="W10" s="300">
        <v>1.088000000011828</v>
      </c>
      <c r="X10" s="300">
        <v>0</v>
      </c>
      <c r="Y10" s="300">
        <f t="shared" ref="Y10:Y11" si="4">SUM(V10:X10)</f>
        <v>17.097000000135218</v>
      </c>
    </row>
    <row r="11" spans="1:25" ht="12.45" x14ac:dyDescent="0.3">
      <c r="A11" s="264" t="s">
        <v>354</v>
      </c>
      <c r="B11" s="301">
        <f>SUM(B9:B10)</f>
        <v>21.695000000009237</v>
      </c>
      <c r="C11" s="301">
        <f t="shared" ref="C11:D11" si="5">SUM(C9:C10)</f>
        <v>9.3790000000937468</v>
      </c>
      <c r="D11" s="301">
        <f t="shared" si="5"/>
        <v>9.7370000000916832</v>
      </c>
      <c r="E11" s="301">
        <f t="shared" si="0"/>
        <v>40.811000000194667</v>
      </c>
      <c r="F11" s="301"/>
      <c r="G11" s="301">
        <f>SUM(G9:G10)</f>
        <v>20.467000000043342</v>
      </c>
      <c r="H11" s="301">
        <f t="shared" ref="H11" si="6">SUM(H9:H10)</f>
        <v>6.7170000000788672</v>
      </c>
      <c r="I11" s="301">
        <f t="shared" ref="I11" si="7">SUM(I9:I10)</f>
        <v>16.010000000317039</v>
      </c>
      <c r="J11" s="301">
        <f t="shared" si="1"/>
        <v>43.194000000439246</v>
      </c>
      <c r="K11" s="301"/>
      <c r="L11" s="301">
        <f>SUM(L9:L10)</f>
        <v>18.464000000011179</v>
      </c>
      <c r="M11" s="301">
        <f t="shared" ref="M11" si="8">SUM(M9:M10)</f>
        <v>5.2709999999988231</v>
      </c>
      <c r="N11" s="301">
        <f t="shared" ref="N11" si="9">SUM(N9:N10)</f>
        <v>1.7079999999333819</v>
      </c>
      <c r="O11" s="301">
        <f t="shared" si="2"/>
        <v>25.442999999943385</v>
      </c>
      <c r="P11" s="301"/>
      <c r="Q11" s="301">
        <f>SUM(Q9:Q10)</f>
        <v>19.516000000164723</v>
      </c>
      <c r="R11" s="301">
        <f t="shared" ref="R11" si="10">SUM(R9:R10)</f>
        <v>5.3040000000583678</v>
      </c>
      <c r="S11" s="301">
        <f t="shared" ref="S11" si="11">SUM(S9:S10)</f>
        <v>1.7829999999807136</v>
      </c>
      <c r="T11" s="301">
        <f t="shared" si="3"/>
        <v>26.603000000203803</v>
      </c>
      <c r="U11" s="301"/>
      <c r="V11" s="301">
        <f>SUM(V9:V10)</f>
        <v>19.60800000012312</v>
      </c>
      <c r="W11" s="301">
        <f t="shared" ref="W11" si="12">SUM(W9:W10)</f>
        <v>4.7209999999848469</v>
      </c>
      <c r="X11" s="301">
        <f t="shared" ref="X11" si="13">SUM(X9:X10)</f>
        <v>1.728999999978847</v>
      </c>
      <c r="Y11" s="301">
        <f t="shared" si="4"/>
        <v>26.058000000086814</v>
      </c>
    </row>
    <row r="13" spans="1:25" x14ac:dyDescent="0.35">
      <c r="A13" s="261"/>
    </row>
    <row r="14" spans="1:25" ht="12.45" x14ac:dyDescent="0.3">
      <c r="C14" s="263"/>
    </row>
    <row r="15" spans="1:25" ht="14.15" x14ac:dyDescent="0.35">
      <c r="A15" s="265" t="str">
        <f>"Industry 2 : "&amp; name!B5</f>
        <v>Industry 2 : Mining and quarrying</v>
      </c>
      <c r="B15" s="372">
        <f>$B$5</f>
        <v>2015</v>
      </c>
      <c r="C15" s="372"/>
      <c r="D15" s="372"/>
      <c r="E15" s="372"/>
      <c r="F15" s="320"/>
      <c r="G15" s="372">
        <f>$G$5</f>
        <v>2019</v>
      </c>
      <c r="H15" s="372"/>
      <c r="I15" s="372"/>
      <c r="J15" s="372"/>
      <c r="K15" s="320"/>
      <c r="L15" s="372">
        <f>$L$5</f>
        <v>2020</v>
      </c>
      <c r="M15" s="372"/>
      <c r="N15" s="372"/>
      <c r="O15" s="372"/>
      <c r="P15" s="318"/>
      <c r="Q15" s="372">
        <f>$Q$5</f>
        <v>2025</v>
      </c>
      <c r="R15" s="372"/>
      <c r="S15" s="372"/>
      <c r="T15" s="372"/>
      <c r="U15" s="320"/>
      <c r="V15" s="372">
        <f>$V$5</f>
        <v>2035</v>
      </c>
      <c r="W15" s="372"/>
      <c r="X15" s="372"/>
      <c r="Y15" s="372"/>
    </row>
    <row r="16" spans="1:25" ht="12.45" x14ac:dyDescent="0.3">
      <c r="A16" s="264"/>
      <c r="B16" s="268" t="str">
        <f>$B$6</f>
        <v>FT</v>
      </c>
      <c r="C16" s="268" t="str">
        <f>$C$6</f>
        <v>PT</v>
      </c>
      <c r="D16" s="268" t="str">
        <f>$D$6</f>
        <v>SE</v>
      </c>
      <c r="E16" s="268" t="str">
        <f>$E$6</f>
        <v>Total</v>
      </c>
      <c r="F16" s="268"/>
      <c r="G16" s="268" t="str">
        <f>$B$6</f>
        <v>FT</v>
      </c>
      <c r="H16" s="268" t="str">
        <f>$C$6</f>
        <v>PT</v>
      </c>
      <c r="I16" s="268" t="str">
        <f>$D$6</f>
        <v>SE</v>
      </c>
      <c r="J16" s="268" t="str">
        <f>$E$6</f>
        <v>Total</v>
      </c>
      <c r="K16" s="268"/>
      <c r="L16" s="268" t="str">
        <f>$L$6</f>
        <v>FT</v>
      </c>
      <c r="M16" s="268" t="str">
        <f>$M$6</f>
        <v>PT</v>
      </c>
      <c r="N16" s="268" t="str">
        <f>$N$6</f>
        <v>SE</v>
      </c>
      <c r="O16" s="268" t="str">
        <f>$O$6</f>
        <v>Total</v>
      </c>
      <c r="P16" s="268"/>
      <c r="Q16" s="268" t="str">
        <f>$L$6</f>
        <v>FT</v>
      </c>
      <c r="R16" s="268" t="str">
        <f>$M$6</f>
        <v>PT</v>
      </c>
      <c r="S16" s="268" t="str">
        <f>$N$6</f>
        <v>SE</v>
      </c>
      <c r="T16" s="268" t="str">
        <f>$O$6</f>
        <v>Total</v>
      </c>
      <c r="U16" s="268"/>
      <c r="V16" s="268" t="str">
        <f>$V$6</f>
        <v>FT</v>
      </c>
      <c r="W16" s="268" t="str">
        <f>$W$6</f>
        <v>PT</v>
      </c>
      <c r="X16" s="268" t="str">
        <f>$X$6</f>
        <v>SE</v>
      </c>
      <c r="Y16" s="268" t="str">
        <f>$Y$6</f>
        <v>Total</v>
      </c>
    </row>
    <row r="17" spans="1:25" ht="12.45" x14ac:dyDescent="0.3"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  <c r="V17" s="319"/>
      <c r="W17" s="319"/>
      <c r="X17" s="319"/>
      <c r="Y17" s="319"/>
    </row>
    <row r="18" spans="1:25" ht="12.45" x14ac:dyDescent="0.3">
      <c r="A18" s="261" t="str">
        <f>name!A5</f>
        <v>Coal, oil &amp; gas; Mining &amp; related</v>
      </c>
      <c r="C18" s="263"/>
    </row>
    <row r="19" spans="1:25" ht="12.45" x14ac:dyDescent="0.3">
      <c r="A19" s="260" t="s">
        <v>356</v>
      </c>
      <c r="B19" s="300">
        <v>0.20499999999920326</v>
      </c>
      <c r="C19" s="300">
        <v>5.2999999999875522E-2</v>
      </c>
      <c r="D19" s="300">
        <v>1.0000000000002362E-3</v>
      </c>
      <c r="E19" s="300">
        <f>SUM(B19:D19)</f>
        <v>0.25899999999907902</v>
      </c>
      <c r="F19" s="300"/>
      <c r="G19" s="300">
        <v>0.20799999999952845</v>
      </c>
      <c r="H19" s="300">
        <v>8.6000000000065649E-2</v>
      </c>
      <c r="I19" s="300">
        <v>1.0000000000031501E-3</v>
      </c>
      <c r="J19" s="300">
        <f>SUM(G19:I19)</f>
        <v>0.29499999999959725</v>
      </c>
      <c r="K19" s="300"/>
      <c r="L19" s="300">
        <v>0.2129999999992313</v>
      </c>
      <c r="M19" s="300">
        <v>4.7000000000267404E-2</v>
      </c>
      <c r="N19" s="300">
        <v>0</v>
      </c>
      <c r="O19" s="300">
        <f>SUM(L19:N19)</f>
        <v>0.25999999999949869</v>
      </c>
      <c r="P19" s="300"/>
      <c r="Q19" s="300">
        <v>0.16200000000079923</v>
      </c>
      <c r="R19" s="300">
        <v>3.6000000000269303E-2</v>
      </c>
      <c r="S19" s="300">
        <v>0</v>
      </c>
      <c r="T19" s="300">
        <f>SUM(Q19:S19)</f>
        <v>0.19800000000106854</v>
      </c>
      <c r="U19" s="300"/>
      <c r="V19" s="300">
        <v>0.10599999999999686</v>
      </c>
      <c r="W19" s="300">
        <v>2.6000000000071414E-2</v>
      </c>
      <c r="X19" s="300">
        <v>0</v>
      </c>
      <c r="Y19" s="300">
        <f>SUM(V19:X19)</f>
        <v>0.13200000000006828</v>
      </c>
    </row>
    <row r="20" spans="1:25" ht="12.45" x14ac:dyDescent="0.3">
      <c r="A20" s="260" t="s">
        <v>355</v>
      </c>
      <c r="B20" s="300">
        <v>1.4149999999947791</v>
      </c>
      <c r="C20" s="300">
        <v>1.7999999999980618E-2</v>
      </c>
      <c r="D20" s="300">
        <v>0.74599999999307698</v>
      </c>
      <c r="E20" s="300">
        <f t="shared" ref="E20:E21" si="14">SUM(B20:D20)</f>
        <v>2.1789999999878367</v>
      </c>
      <c r="F20" s="300"/>
      <c r="G20" s="300">
        <v>1.5469999999981117</v>
      </c>
      <c r="H20" s="300">
        <v>0.10199999999994397</v>
      </c>
      <c r="I20" s="300">
        <v>0</v>
      </c>
      <c r="J20" s="300">
        <f t="shared" ref="J20:J21" si="15">SUM(G20:I20)</f>
        <v>1.6489999999980556</v>
      </c>
      <c r="K20" s="300"/>
      <c r="L20" s="300">
        <v>1.6309999999980693</v>
      </c>
      <c r="M20" s="300">
        <v>4.9999999999647401E-3</v>
      </c>
      <c r="N20" s="300">
        <v>0.86299999999037269</v>
      </c>
      <c r="O20" s="300">
        <f t="shared" ref="O20:O21" si="16">SUM(L20:N20)</f>
        <v>2.4989999999884067</v>
      </c>
      <c r="P20" s="300"/>
      <c r="Q20" s="300">
        <v>1.2430000000032466</v>
      </c>
      <c r="R20" s="300">
        <v>3.9999999999832392E-3</v>
      </c>
      <c r="S20" s="300">
        <v>0.65799999997706116</v>
      </c>
      <c r="T20" s="300">
        <f t="shared" ref="T20:T21" si="17">SUM(Q20:S20)</f>
        <v>1.9049999999802909</v>
      </c>
      <c r="U20" s="300"/>
      <c r="V20" s="300">
        <v>0.84400000000255937</v>
      </c>
      <c r="W20" s="300">
        <v>2.9999999999844886E-3</v>
      </c>
      <c r="X20" s="300">
        <v>0.41999999998633303</v>
      </c>
      <c r="Y20" s="300">
        <f t="shared" ref="Y20:Y21" si="18">SUM(V20:X20)</f>
        <v>1.2669999999888768</v>
      </c>
    </row>
    <row r="21" spans="1:25" ht="12.45" x14ac:dyDescent="0.3">
      <c r="A21" s="264" t="s">
        <v>354</v>
      </c>
      <c r="B21" s="301">
        <f>SUM(B19:B20)</f>
        <v>1.6199999999939823</v>
      </c>
      <c r="C21" s="301">
        <f t="shared" ref="C21" si="19">SUM(C19:C20)</f>
        <v>7.0999999999856137E-2</v>
      </c>
      <c r="D21" s="301">
        <f t="shared" ref="D21" si="20">SUM(D19:D20)</f>
        <v>0.7469999999930772</v>
      </c>
      <c r="E21" s="301">
        <f t="shared" si="14"/>
        <v>2.4379999999869155</v>
      </c>
      <c r="F21" s="301"/>
      <c r="G21" s="301">
        <f>SUM(G19:G20)</f>
        <v>1.75499999999764</v>
      </c>
      <c r="H21" s="301">
        <f t="shared" ref="H21" si="21">SUM(H19:H20)</f>
        <v>0.1880000000000096</v>
      </c>
      <c r="I21" s="301">
        <f t="shared" ref="I21" si="22">SUM(I19:I20)</f>
        <v>1.0000000000031501E-3</v>
      </c>
      <c r="J21" s="301">
        <f t="shared" si="15"/>
        <v>1.9439999999976527</v>
      </c>
      <c r="K21" s="301"/>
      <c r="L21" s="301">
        <f>SUM(L19:L20)</f>
        <v>1.8439999999973007</v>
      </c>
      <c r="M21" s="301">
        <f t="shared" ref="M21" si="23">SUM(M19:M20)</f>
        <v>5.2000000000232145E-2</v>
      </c>
      <c r="N21" s="301">
        <f t="shared" ref="N21" si="24">SUM(N19:N20)</f>
        <v>0.86299999999037269</v>
      </c>
      <c r="O21" s="301">
        <f t="shared" si="16"/>
        <v>2.7589999999879056</v>
      </c>
      <c r="P21" s="301"/>
      <c r="Q21" s="301">
        <f>SUM(Q19:Q20)</f>
        <v>1.4050000000040459</v>
      </c>
      <c r="R21" s="301">
        <f t="shared" ref="R21" si="25">SUM(R19:R20)</f>
        <v>4.0000000000252542E-2</v>
      </c>
      <c r="S21" s="301">
        <f t="shared" ref="S21" si="26">SUM(S19:S20)</f>
        <v>0.65799999997706116</v>
      </c>
      <c r="T21" s="301">
        <f t="shared" si="17"/>
        <v>2.1029999999813596</v>
      </c>
      <c r="U21" s="301"/>
      <c r="V21" s="301">
        <f>SUM(V19:V20)</f>
        <v>0.95000000000255624</v>
      </c>
      <c r="W21" s="301">
        <f t="shared" ref="W21" si="27">SUM(W19:W20)</f>
        <v>2.9000000000055901E-2</v>
      </c>
      <c r="X21" s="301">
        <f t="shared" ref="X21" si="28">SUM(X19:X20)</f>
        <v>0.41999999998633303</v>
      </c>
      <c r="Y21" s="301">
        <f t="shared" si="18"/>
        <v>1.3989999999889451</v>
      </c>
    </row>
    <row r="22" spans="1:25" x14ac:dyDescent="0.35">
      <c r="A22" s="262"/>
    </row>
    <row r="23" spans="1:25" x14ac:dyDescent="0.35">
      <c r="A23" s="262"/>
    </row>
    <row r="24" spans="1:25" x14ac:dyDescent="0.35">
      <c r="A24" s="262"/>
    </row>
    <row r="25" spans="1:25" ht="14.15" x14ac:dyDescent="0.35">
      <c r="A25" s="265" t="str">
        <f>"Industry 3 : "&amp; name!B6</f>
        <v>Industry 3 : Food drink and tobacco</v>
      </c>
      <c r="B25" s="372">
        <f>$B$5</f>
        <v>2015</v>
      </c>
      <c r="C25" s="372"/>
      <c r="D25" s="372"/>
      <c r="E25" s="372"/>
      <c r="F25" s="320"/>
      <c r="G25" s="372">
        <f>$G$5</f>
        <v>2019</v>
      </c>
      <c r="H25" s="372"/>
      <c r="I25" s="372"/>
      <c r="J25" s="372"/>
      <c r="K25" s="320"/>
      <c r="L25" s="372">
        <f>$L$5</f>
        <v>2020</v>
      </c>
      <c r="M25" s="372"/>
      <c r="N25" s="372"/>
      <c r="O25" s="372"/>
      <c r="P25" s="318"/>
      <c r="Q25" s="372">
        <f>$Q$5</f>
        <v>2025</v>
      </c>
      <c r="R25" s="372"/>
      <c r="S25" s="372"/>
      <c r="T25" s="372"/>
      <c r="U25" s="320"/>
      <c r="V25" s="372">
        <f>$V$5</f>
        <v>2035</v>
      </c>
      <c r="W25" s="372"/>
      <c r="X25" s="372"/>
      <c r="Y25" s="372"/>
    </row>
    <row r="26" spans="1:25" ht="12.45" x14ac:dyDescent="0.3">
      <c r="A26" s="264"/>
      <c r="B26" s="268" t="str">
        <f>$B$6</f>
        <v>FT</v>
      </c>
      <c r="C26" s="268" t="str">
        <f>$C$6</f>
        <v>PT</v>
      </c>
      <c r="D26" s="268" t="str">
        <f>$D$6</f>
        <v>SE</v>
      </c>
      <c r="E26" s="268" t="str">
        <f>$E$6</f>
        <v>Total</v>
      </c>
      <c r="F26" s="268"/>
      <c r="G26" s="268" t="str">
        <f>$B$6</f>
        <v>FT</v>
      </c>
      <c r="H26" s="268" t="str">
        <f>$C$6</f>
        <v>PT</v>
      </c>
      <c r="I26" s="268" t="str">
        <f>$D$6</f>
        <v>SE</v>
      </c>
      <c r="J26" s="268" t="str">
        <f>$E$6</f>
        <v>Total</v>
      </c>
      <c r="K26" s="268"/>
      <c r="L26" s="268" t="str">
        <f>$L$6</f>
        <v>FT</v>
      </c>
      <c r="M26" s="268" t="str">
        <f>$M$6</f>
        <v>PT</v>
      </c>
      <c r="N26" s="268" t="str">
        <f>$N$6</f>
        <v>SE</v>
      </c>
      <c r="O26" s="268" t="str">
        <f>$O$6</f>
        <v>Total</v>
      </c>
      <c r="P26" s="268"/>
      <c r="Q26" s="268" t="str">
        <f>$L$6</f>
        <v>FT</v>
      </c>
      <c r="R26" s="268" t="str">
        <f>$M$6</f>
        <v>PT</v>
      </c>
      <c r="S26" s="268" t="str">
        <f>$N$6</f>
        <v>SE</v>
      </c>
      <c r="T26" s="268" t="str">
        <f>$O$6</f>
        <v>Total</v>
      </c>
      <c r="U26" s="268"/>
      <c r="V26" s="268" t="str">
        <f>$V$6</f>
        <v>FT</v>
      </c>
      <c r="W26" s="268" t="str">
        <f>$W$6</f>
        <v>PT</v>
      </c>
      <c r="X26" s="268" t="str">
        <f>$X$6</f>
        <v>SE</v>
      </c>
      <c r="Y26" s="268" t="str">
        <f>$Y$6</f>
        <v>Total</v>
      </c>
    </row>
    <row r="27" spans="1:25" ht="12.45" x14ac:dyDescent="0.3"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  <c r="V27" s="319"/>
      <c r="W27" s="319"/>
      <c r="X27" s="319"/>
      <c r="Y27" s="319"/>
    </row>
    <row r="28" spans="1:25" ht="12.45" x14ac:dyDescent="0.3">
      <c r="A28" s="261" t="str">
        <f>name!A6</f>
        <v>Food products</v>
      </c>
      <c r="C28" s="263"/>
    </row>
    <row r="29" spans="1:25" ht="12.45" x14ac:dyDescent="0.3">
      <c r="A29" s="260" t="s">
        <v>356</v>
      </c>
      <c r="B29" s="300">
        <v>7.1540000000007193</v>
      </c>
      <c r="C29" s="300">
        <v>1.773000000048176</v>
      </c>
      <c r="D29" s="300">
        <v>0.81800000001497941</v>
      </c>
      <c r="E29" s="300">
        <f>SUM(B29:D29)</f>
        <v>9.7450000000638752</v>
      </c>
      <c r="F29" s="300"/>
      <c r="G29" s="300">
        <v>8.1889999999497665</v>
      </c>
      <c r="H29" s="300">
        <v>1.7860000000456984</v>
      </c>
      <c r="I29" s="300">
        <v>0.55600000001126249</v>
      </c>
      <c r="J29" s="300">
        <f>SUM(G29:I29)</f>
        <v>10.531000000006728</v>
      </c>
      <c r="K29" s="300"/>
      <c r="L29" s="300">
        <v>7.5009999998155799</v>
      </c>
      <c r="M29" s="300">
        <v>1.7580000000014402</v>
      </c>
      <c r="N29" s="300">
        <v>0.22299999999477124</v>
      </c>
      <c r="O29" s="300">
        <f>SUM(L29:N29)</f>
        <v>9.4819999998117908</v>
      </c>
      <c r="P29" s="300"/>
      <c r="Q29" s="300">
        <v>8.3570000002164004</v>
      </c>
      <c r="R29" s="300">
        <v>1.8840000000472197</v>
      </c>
      <c r="S29" s="300">
        <v>0.24599999999826022</v>
      </c>
      <c r="T29" s="300">
        <f>SUM(Q29:S29)</f>
        <v>10.48700000026188</v>
      </c>
      <c r="U29" s="300"/>
      <c r="V29" s="300">
        <v>9.4589999999487429</v>
      </c>
      <c r="W29" s="300">
        <v>1.9819999999736162</v>
      </c>
      <c r="X29" s="300">
        <v>0.27200000000280072</v>
      </c>
      <c r="Y29" s="300">
        <f>SUM(V29:X29)</f>
        <v>11.712999999925161</v>
      </c>
    </row>
    <row r="30" spans="1:25" ht="12.45" x14ac:dyDescent="0.3">
      <c r="A30" s="260" t="s">
        <v>355</v>
      </c>
      <c r="B30" s="300">
        <v>17.507000000030299</v>
      </c>
      <c r="C30" s="300">
        <v>0.67500000000723837</v>
      </c>
      <c r="D30" s="300">
        <v>0.72699999999415332</v>
      </c>
      <c r="E30" s="300">
        <f t="shared" ref="E30:E31" si="29">SUM(B30:D30)</f>
        <v>18.909000000031689</v>
      </c>
      <c r="F30" s="300"/>
      <c r="G30" s="300">
        <v>19.79900000012054</v>
      </c>
      <c r="H30" s="300">
        <v>1.0290000000130883</v>
      </c>
      <c r="I30" s="300">
        <v>0.20900000000133889</v>
      </c>
      <c r="J30" s="300">
        <f t="shared" ref="J30:J31" si="30">SUM(G30:I30)</f>
        <v>21.037000000134967</v>
      </c>
      <c r="K30" s="300"/>
      <c r="L30" s="300">
        <v>18.898000000153722</v>
      </c>
      <c r="M30" s="300">
        <v>1.5670000000002557</v>
      </c>
      <c r="N30" s="300">
        <v>0.31299999999420997</v>
      </c>
      <c r="O30" s="300">
        <f t="shared" ref="O30:O31" si="31">SUM(L30:N30)</f>
        <v>20.778000000148189</v>
      </c>
      <c r="P30" s="300"/>
      <c r="Q30" s="300">
        <v>20.076000000268632</v>
      </c>
      <c r="R30" s="300">
        <v>1.6830000000065408</v>
      </c>
      <c r="S30" s="300">
        <v>0.33999999998617442</v>
      </c>
      <c r="T30" s="300">
        <f t="shared" ref="T30:T31" si="32">SUM(Q30:S30)</f>
        <v>22.099000000261345</v>
      </c>
      <c r="U30" s="300"/>
      <c r="V30" s="300">
        <v>20.812000000326396</v>
      </c>
      <c r="W30" s="300">
        <v>1.7840000000011353</v>
      </c>
      <c r="X30" s="300">
        <v>0.3609999999883402</v>
      </c>
      <c r="Y30" s="300">
        <f t="shared" ref="Y30:Y31" si="33">SUM(V30:X30)</f>
        <v>22.957000000315873</v>
      </c>
    </row>
    <row r="31" spans="1:25" ht="12.45" x14ac:dyDescent="0.3">
      <c r="A31" s="260" t="s">
        <v>354</v>
      </c>
      <c r="B31" s="300">
        <f>SUM(B29:B30)</f>
        <v>24.661000000031017</v>
      </c>
      <c r="C31" s="300">
        <f t="shared" ref="C31" si="34">SUM(C29:C30)</f>
        <v>2.4480000000554143</v>
      </c>
      <c r="D31" s="300">
        <f t="shared" ref="D31" si="35">SUM(D29:D30)</f>
        <v>1.5450000000091326</v>
      </c>
      <c r="E31" s="300">
        <f t="shared" si="29"/>
        <v>28.654000000095564</v>
      </c>
      <c r="F31" s="300"/>
      <c r="G31" s="300">
        <f>SUM(G29:G30)</f>
        <v>27.988000000070308</v>
      </c>
      <c r="H31" s="300">
        <f t="shared" ref="H31" si="36">SUM(H29:H30)</f>
        <v>2.8150000000587867</v>
      </c>
      <c r="I31" s="300">
        <f t="shared" ref="I31" si="37">SUM(I29:I30)</f>
        <v>0.76500000001260138</v>
      </c>
      <c r="J31" s="300">
        <f t="shared" si="30"/>
        <v>31.568000000141698</v>
      </c>
      <c r="K31" s="300"/>
      <c r="L31" s="300">
        <f>SUM(L29:L30)</f>
        <v>26.398999999969302</v>
      </c>
      <c r="M31" s="300">
        <f t="shared" ref="M31" si="38">SUM(M29:M30)</f>
        <v>3.3250000000016957</v>
      </c>
      <c r="N31" s="300">
        <f t="shared" ref="N31" si="39">SUM(N29:N30)</f>
        <v>0.53599999998898118</v>
      </c>
      <c r="O31" s="300">
        <f t="shared" si="31"/>
        <v>30.25999999995998</v>
      </c>
      <c r="P31" s="300"/>
      <c r="Q31" s="300">
        <f>SUM(Q29:Q30)</f>
        <v>28.433000000485031</v>
      </c>
      <c r="R31" s="300">
        <f t="shared" ref="R31" si="40">SUM(R29:R30)</f>
        <v>3.5670000000537607</v>
      </c>
      <c r="S31" s="300">
        <f t="shared" ref="S31" si="41">SUM(S29:S30)</f>
        <v>0.58599999998443464</v>
      </c>
      <c r="T31" s="300">
        <f t="shared" si="32"/>
        <v>32.586000000523228</v>
      </c>
      <c r="U31" s="300"/>
      <c r="V31" s="300">
        <f>SUM(V29:V30)</f>
        <v>30.271000000275137</v>
      </c>
      <c r="W31" s="300">
        <f t="shared" ref="W31" si="42">SUM(W29:W30)</f>
        <v>3.7659999999747518</v>
      </c>
      <c r="X31" s="300">
        <f t="shared" ref="X31" si="43">SUM(X29:X30)</f>
        <v>0.63299999999114087</v>
      </c>
      <c r="Y31" s="300">
        <f t="shared" si="33"/>
        <v>34.670000000241032</v>
      </c>
    </row>
    <row r="32" spans="1:25" ht="12.45" x14ac:dyDescent="0.3"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  <c r="V32" s="319"/>
      <c r="W32" s="319"/>
      <c r="X32" s="319"/>
      <c r="Y32" s="319"/>
    </row>
    <row r="33" spans="1:25" ht="12.45" x14ac:dyDescent="0.3">
      <c r="A33" s="261" t="str">
        <f>name!A7</f>
        <v>Beverages and tobacco</v>
      </c>
      <c r="C33" s="263"/>
    </row>
    <row r="34" spans="1:25" ht="12.45" x14ac:dyDescent="0.3">
      <c r="A34" s="260" t="s">
        <v>356</v>
      </c>
      <c r="B34" s="300">
        <v>0.62699999999449518</v>
      </c>
      <c r="C34" s="300">
        <v>0.57800000000736285</v>
      </c>
      <c r="D34" s="300">
        <v>0.12300000000131749</v>
      </c>
      <c r="E34" s="300">
        <f>SUM(B34:D34)</f>
        <v>1.3280000000031755</v>
      </c>
      <c r="F34" s="300"/>
      <c r="G34" s="300">
        <v>0.56399999999384831</v>
      </c>
      <c r="H34" s="300">
        <v>0.72800000001043508</v>
      </c>
      <c r="I34" s="300">
        <v>2.1000000000267402E-2</v>
      </c>
      <c r="J34" s="300">
        <f>SUM(G34:I34)</f>
        <v>1.313000000004551</v>
      </c>
      <c r="K34" s="300"/>
      <c r="L34" s="300">
        <v>0.51699999999669677</v>
      </c>
      <c r="M34" s="300">
        <v>0.71699999999426101</v>
      </c>
      <c r="N34" s="300">
        <v>2.7999999999673557E-2</v>
      </c>
      <c r="O34" s="300">
        <f>SUM(L34:N34)</f>
        <v>1.2619999999906315</v>
      </c>
      <c r="P34" s="300"/>
      <c r="Q34" s="300">
        <v>0.57600000001192364</v>
      </c>
      <c r="R34" s="300">
        <v>0.76800000000384816</v>
      </c>
      <c r="S34" s="300">
        <v>3.0999999999907071E-2</v>
      </c>
      <c r="T34" s="300">
        <f>SUM(Q34:S34)</f>
        <v>1.3750000000156788</v>
      </c>
      <c r="U34" s="300"/>
      <c r="V34" s="300">
        <v>0.65199999999990033</v>
      </c>
      <c r="W34" s="300">
        <v>0.80799999999034577</v>
      </c>
      <c r="X34" s="300">
        <v>3.3999999999715057E-2</v>
      </c>
      <c r="Y34" s="300">
        <f>SUM(V34:X34)</f>
        <v>1.4939999999899611</v>
      </c>
    </row>
    <row r="35" spans="1:25" ht="12.45" x14ac:dyDescent="0.3">
      <c r="A35" s="260" t="s">
        <v>355</v>
      </c>
      <c r="B35" s="300">
        <v>2.7280000000003093</v>
      </c>
      <c r="C35" s="300">
        <v>0.11700000000102129</v>
      </c>
      <c r="D35" s="300">
        <v>0.12000000000233318</v>
      </c>
      <c r="E35" s="300">
        <f t="shared" ref="E35:E36" si="44">SUM(B35:D35)</f>
        <v>2.965000000003664</v>
      </c>
      <c r="F35" s="300"/>
      <c r="G35" s="300">
        <v>2.4260000000064852</v>
      </c>
      <c r="H35" s="300">
        <v>0.2240000000021605</v>
      </c>
      <c r="I35" s="300">
        <v>2.900000000004898E-2</v>
      </c>
      <c r="J35" s="300">
        <f t="shared" ref="J35:J36" si="45">SUM(G35:I35)</f>
        <v>2.6790000000086946</v>
      </c>
      <c r="K35" s="300"/>
      <c r="L35" s="300">
        <v>2.3150000000080211</v>
      </c>
      <c r="M35" s="300">
        <v>0.34000000000140651</v>
      </c>
      <c r="N35" s="300">
        <v>0.12000000000135891</v>
      </c>
      <c r="O35" s="300">
        <f t="shared" ref="O35:O36" si="46">SUM(L35:N35)</f>
        <v>2.7750000000107864</v>
      </c>
      <c r="P35" s="300"/>
      <c r="Q35" s="300">
        <v>2.4600000000174664</v>
      </c>
      <c r="R35" s="300">
        <v>0.36500000000187316</v>
      </c>
      <c r="S35" s="300">
        <v>0.12900000000598838</v>
      </c>
      <c r="T35" s="300">
        <f t="shared" ref="T35:T36" si="47">SUM(Q35:S35)</f>
        <v>2.9540000000253279</v>
      </c>
      <c r="U35" s="300"/>
      <c r="V35" s="300">
        <v>2.5500000000176688</v>
      </c>
      <c r="W35" s="300">
        <v>0.38700000000075147</v>
      </c>
      <c r="X35" s="300">
        <v>0.1540000000039202</v>
      </c>
      <c r="Y35" s="300">
        <f t="shared" ref="Y35:Y36" si="48">SUM(V35:X35)</f>
        <v>3.0910000000223405</v>
      </c>
    </row>
    <row r="36" spans="1:25" ht="12.45" x14ac:dyDescent="0.3">
      <c r="A36" s="260" t="s">
        <v>354</v>
      </c>
      <c r="B36" s="300">
        <f>SUM(B34:B35)</f>
        <v>3.3549999999948046</v>
      </c>
      <c r="C36" s="300">
        <f t="shared" ref="C36" si="49">SUM(C34:C35)</f>
        <v>0.69500000000838413</v>
      </c>
      <c r="D36" s="300">
        <f t="shared" ref="D36" si="50">SUM(D34:D35)</f>
        <v>0.24300000000365068</v>
      </c>
      <c r="E36" s="300">
        <f t="shared" si="44"/>
        <v>4.2930000000068391</v>
      </c>
      <c r="F36" s="300"/>
      <c r="G36" s="300">
        <f>SUM(G34:G35)</f>
        <v>2.9900000000003333</v>
      </c>
      <c r="H36" s="300">
        <f t="shared" ref="H36" si="51">SUM(H34:H35)</f>
        <v>0.95200000001259555</v>
      </c>
      <c r="I36" s="300">
        <f t="shared" ref="I36" si="52">SUM(I34:I35)</f>
        <v>5.0000000000316382E-2</v>
      </c>
      <c r="J36" s="300">
        <f t="shared" si="45"/>
        <v>3.9920000000132454</v>
      </c>
      <c r="K36" s="300"/>
      <c r="L36" s="300">
        <f>SUM(L34:L35)</f>
        <v>2.8320000000047179</v>
      </c>
      <c r="M36" s="300">
        <f t="shared" ref="M36" si="53">SUM(M34:M35)</f>
        <v>1.0569999999956674</v>
      </c>
      <c r="N36" s="300">
        <f t="shared" ref="N36" si="54">SUM(N34:N35)</f>
        <v>0.14800000000103247</v>
      </c>
      <c r="O36" s="300">
        <f t="shared" si="46"/>
        <v>4.0370000000014175</v>
      </c>
      <c r="P36" s="300"/>
      <c r="Q36" s="300">
        <f>SUM(Q34:Q35)</f>
        <v>3.0360000000293903</v>
      </c>
      <c r="R36" s="300">
        <f t="shared" ref="R36" si="55">SUM(R34:R35)</f>
        <v>1.1330000000057212</v>
      </c>
      <c r="S36" s="300">
        <f t="shared" ref="S36" si="56">SUM(S34:S35)</f>
        <v>0.16000000000589545</v>
      </c>
      <c r="T36" s="300">
        <f t="shared" si="47"/>
        <v>4.3290000000410078</v>
      </c>
      <c r="U36" s="300"/>
      <c r="V36" s="300">
        <f>SUM(V34:V35)</f>
        <v>3.202000000017569</v>
      </c>
      <c r="W36" s="300">
        <f t="shared" ref="W36" si="57">SUM(W34:W35)</f>
        <v>1.1949999999910972</v>
      </c>
      <c r="X36" s="300">
        <f t="shared" ref="X36" si="58">SUM(X34:X35)</f>
        <v>0.18800000000363526</v>
      </c>
      <c r="Y36" s="300">
        <f t="shared" si="48"/>
        <v>4.5850000000123012</v>
      </c>
    </row>
    <row r="37" spans="1:25" ht="12.45" x14ac:dyDescent="0.3">
      <c r="C37" s="263"/>
    </row>
    <row r="38" spans="1:25" x14ac:dyDescent="0.35">
      <c r="A38" s="261" t="s">
        <v>372</v>
      </c>
    </row>
    <row r="39" spans="1:25" ht="12.45" x14ac:dyDescent="0.3">
      <c r="A39" s="260" t="s">
        <v>356</v>
      </c>
      <c r="B39" s="300">
        <f>SUM(B29,B34)</f>
        <v>7.7809999999952142</v>
      </c>
      <c r="C39" s="300">
        <f t="shared" ref="C39:D40" si="59">SUM(C29,C34)</f>
        <v>2.3510000000555387</v>
      </c>
      <c r="D39" s="300">
        <f t="shared" si="59"/>
        <v>0.94100000001629691</v>
      </c>
      <c r="E39" s="300">
        <f>SUM(B39:D39)</f>
        <v>11.073000000067049</v>
      </c>
      <c r="F39" s="300"/>
      <c r="G39" s="300">
        <f>SUM(G29,G34)</f>
        <v>8.752999999943615</v>
      </c>
      <c r="H39" s="300">
        <f t="shared" ref="H39:I39" si="60">SUM(H29,H34)</f>
        <v>2.5140000000561336</v>
      </c>
      <c r="I39" s="300">
        <f t="shared" si="60"/>
        <v>0.57700000001152985</v>
      </c>
      <c r="J39" s="300">
        <f>SUM(G39:I39)</f>
        <v>11.844000000011279</v>
      </c>
      <c r="K39" s="300"/>
      <c r="L39" s="300">
        <f>SUM(L29,L34)</f>
        <v>8.0179999998122771</v>
      </c>
      <c r="M39" s="300">
        <f t="shared" ref="M39:N39" si="61">SUM(M29,M34)</f>
        <v>2.4749999999957013</v>
      </c>
      <c r="N39" s="300">
        <f t="shared" si="61"/>
        <v>0.25099999999444478</v>
      </c>
      <c r="O39" s="300">
        <f>SUM(L39:N39)</f>
        <v>10.743999999802423</v>
      </c>
      <c r="P39" s="300"/>
      <c r="Q39" s="300">
        <f>SUM(Q29,Q34)</f>
        <v>8.9330000002283239</v>
      </c>
      <c r="R39" s="300">
        <f t="shared" ref="R39:S39" si="62">SUM(R29,R34)</f>
        <v>2.6520000000510677</v>
      </c>
      <c r="S39" s="300">
        <f t="shared" si="62"/>
        <v>0.27699999999816727</v>
      </c>
      <c r="T39" s="300">
        <f>SUM(Q39:S39)</f>
        <v>11.862000000277559</v>
      </c>
      <c r="U39" s="300"/>
      <c r="V39" s="300">
        <f>SUM(V29,V34)</f>
        <v>10.110999999948643</v>
      </c>
      <c r="W39" s="300">
        <f t="shared" ref="W39:X39" si="63">SUM(W29,W34)</f>
        <v>2.7899999999639622</v>
      </c>
      <c r="X39" s="300">
        <f t="shared" si="63"/>
        <v>0.30600000000251576</v>
      </c>
      <c r="Y39" s="300">
        <f>SUM(V39:X39)</f>
        <v>13.206999999915121</v>
      </c>
    </row>
    <row r="40" spans="1:25" ht="12.45" x14ac:dyDescent="0.3">
      <c r="A40" s="260" t="s">
        <v>355</v>
      </c>
      <c r="B40" s="300">
        <f>SUM(B30,B35)</f>
        <v>20.23500000003061</v>
      </c>
      <c r="C40" s="300">
        <f t="shared" si="59"/>
        <v>0.79200000000825965</v>
      </c>
      <c r="D40" s="300">
        <f t="shared" si="59"/>
        <v>0.84699999999648656</v>
      </c>
      <c r="E40" s="300">
        <f t="shared" ref="E40:E41" si="64">SUM(B40:D40)</f>
        <v>21.874000000035355</v>
      </c>
      <c r="F40" s="300"/>
      <c r="G40" s="300">
        <f>SUM(G30,G35)</f>
        <v>22.225000000127025</v>
      </c>
      <c r="H40" s="300">
        <f t="shared" ref="H40:I40" si="65">SUM(H30,H35)</f>
        <v>1.2530000000152488</v>
      </c>
      <c r="I40" s="300">
        <f t="shared" si="65"/>
        <v>0.23800000000138788</v>
      </c>
      <c r="J40" s="300">
        <f t="shared" ref="J40:J41" si="66">SUM(G40:I40)</f>
        <v>23.716000000143662</v>
      </c>
      <c r="K40" s="300"/>
      <c r="L40" s="300">
        <f>SUM(L30,L35)</f>
        <v>21.213000000161742</v>
      </c>
      <c r="M40" s="300">
        <f t="shared" ref="M40:N40" si="67">SUM(M30,M35)</f>
        <v>1.9070000000016623</v>
      </c>
      <c r="N40" s="300">
        <f t="shared" si="67"/>
        <v>0.43299999999556887</v>
      </c>
      <c r="O40" s="300">
        <f t="shared" ref="O40:O41" si="68">SUM(L40:N40)</f>
        <v>23.553000000158974</v>
      </c>
      <c r="P40" s="300"/>
      <c r="Q40" s="300">
        <f>SUM(Q30,Q35)</f>
        <v>22.536000000286098</v>
      </c>
      <c r="R40" s="300">
        <f t="shared" ref="R40:S40" si="69">SUM(R30,R35)</f>
        <v>2.0480000000084138</v>
      </c>
      <c r="S40" s="300">
        <f t="shared" si="69"/>
        <v>0.4689999999921628</v>
      </c>
      <c r="T40" s="300">
        <f t="shared" ref="T40:T41" si="70">SUM(Q40:S40)</f>
        <v>25.053000000286676</v>
      </c>
      <c r="U40" s="300"/>
      <c r="V40" s="300">
        <f>SUM(V30,V35)</f>
        <v>23.362000000344064</v>
      </c>
      <c r="W40" s="300">
        <f t="shared" ref="W40:X40" si="71">SUM(W30,W35)</f>
        <v>2.1710000000018868</v>
      </c>
      <c r="X40" s="300">
        <f t="shared" si="71"/>
        <v>0.51499999999226043</v>
      </c>
      <c r="Y40" s="300">
        <f t="shared" ref="Y40:Y41" si="72">SUM(V40:X40)</f>
        <v>26.04800000033821</v>
      </c>
    </row>
    <row r="41" spans="1:25" ht="12.45" x14ac:dyDescent="0.3">
      <c r="A41" s="264" t="s">
        <v>354</v>
      </c>
      <c r="B41" s="301">
        <f>SUM(B39:B40)</f>
        <v>28.016000000025823</v>
      </c>
      <c r="C41" s="301">
        <f t="shared" ref="C41" si="73">SUM(C39:C40)</f>
        <v>3.1430000000637985</v>
      </c>
      <c r="D41" s="301">
        <f t="shared" ref="D41" si="74">SUM(D39:D40)</f>
        <v>1.7880000000127834</v>
      </c>
      <c r="E41" s="301">
        <f t="shared" si="64"/>
        <v>32.947000000102406</v>
      </c>
      <c r="F41" s="301"/>
      <c r="G41" s="301">
        <f>SUM(G39:G40)</f>
        <v>30.97800000007064</v>
      </c>
      <c r="H41" s="301">
        <f t="shared" ref="H41" si="75">SUM(H39:H40)</f>
        <v>3.7670000000713824</v>
      </c>
      <c r="I41" s="301">
        <f t="shared" ref="I41" si="76">SUM(I39:I40)</f>
        <v>0.81500000001291772</v>
      </c>
      <c r="J41" s="301">
        <f t="shared" si="66"/>
        <v>35.560000000154936</v>
      </c>
      <c r="K41" s="301"/>
      <c r="L41" s="301">
        <f>SUM(L39:L40)</f>
        <v>29.230999999974017</v>
      </c>
      <c r="M41" s="301">
        <f t="shared" ref="M41" si="77">SUM(M39:M40)</f>
        <v>4.3819999999973636</v>
      </c>
      <c r="N41" s="301">
        <f t="shared" ref="N41" si="78">SUM(N39:N40)</f>
        <v>0.68399999999001371</v>
      </c>
      <c r="O41" s="301">
        <f t="shared" si="68"/>
        <v>34.296999999961393</v>
      </c>
      <c r="P41" s="301"/>
      <c r="Q41" s="301">
        <f>SUM(Q39:Q40)</f>
        <v>31.46900000051442</v>
      </c>
      <c r="R41" s="301">
        <f t="shared" ref="R41" si="79">SUM(R39:R40)</f>
        <v>4.7000000000594815</v>
      </c>
      <c r="S41" s="301">
        <f t="shared" ref="S41" si="80">SUM(S39:S40)</f>
        <v>0.74599999999033006</v>
      </c>
      <c r="T41" s="301">
        <f t="shared" si="70"/>
        <v>36.915000000564234</v>
      </c>
      <c r="U41" s="301"/>
      <c r="V41" s="301">
        <f>SUM(V39:V40)</f>
        <v>33.473000000292707</v>
      </c>
      <c r="W41" s="301">
        <f t="shared" ref="W41" si="81">SUM(W39:W40)</f>
        <v>4.960999999965849</v>
      </c>
      <c r="X41" s="301">
        <f t="shared" ref="X41" si="82">SUM(X39:X40)</f>
        <v>0.82099999999477613</v>
      </c>
      <c r="Y41" s="301">
        <f t="shared" si="72"/>
        <v>39.255000000253332</v>
      </c>
    </row>
    <row r="45" spans="1:25" ht="14.15" x14ac:dyDescent="0.35">
      <c r="A45" s="265" t="str">
        <f>"Industry 4 : "&amp; name!B7</f>
        <v>Industry 4 : Engineering</v>
      </c>
      <c r="B45" s="372">
        <f>$B$5</f>
        <v>2015</v>
      </c>
      <c r="C45" s="372"/>
      <c r="D45" s="372"/>
      <c r="E45" s="372"/>
      <c r="F45" s="320"/>
      <c r="G45" s="372">
        <f>$G$5</f>
        <v>2019</v>
      </c>
      <c r="H45" s="372"/>
      <c r="I45" s="372"/>
      <c r="J45" s="372"/>
      <c r="K45" s="320"/>
      <c r="L45" s="372">
        <f>$L$5</f>
        <v>2020</v>
      </c>
      <c r="M45" s="372"/>
      <c r="N45" s="372"/>
      <c r="O45" s="372"/>
      <c r="P45" s="318"/>
      <c r="Q45" s="372">
        <f>$Q$5</f>
        <v>2025</v>
      </c>
      <c r="R45" s="372"/>
      <c r="S45" s="372"/>
      <c r="T45" s="372"/>
      <c r="U45" s="320"/>
      <c r="V45" s="372">
        <f>$V$5</f>
        <v>2035</v>
      </c>
      <c r="W45" s="372"/>
      <c r="X45" s="372"/>
      <c r="Y45" s="372"/>
    </row>
    <row r="46" spans="1:25" ht="12.45" x14ac:dyDescent="0.3">
      <c r="A46" s="264"/>
      <c r="B46" s="268" t="str">
        <f>$B$6</f>
        <v>FT</v>
      </c>
      <c r="C46" s="268" t="str">
        <f>$C$6</f>
        <v>PT</v>
      </c>
      <c r="D46" s="268" t="str">
        <f>$D$6</f>
        <v>SE</v>
      </c>
      <c r="E46" s="268" t="str">
        <f>$E$6</f>
        <v>Total</v>
      </c>
      <c r="F46" s="268"/>
      <c r="G46" s="268" t="str">
        <f>$B$6</f>
        <v>FT</v>
      </c>
      <c r="H46" s="268" t="str">
        <f>$C$6</f>
        <v>PT</v>
      </c>
      <c r="I46" s="268" t="str">
        <f>$D$6</f>
        <v>SE</v>
      </c>
      <c r="J46" s="268" t="str">
        <f>$E$6</f>
        <v>Total</v>
      </c>
      <c r="K46" s="268"/>
      <c r="L46" s="268" t="str">
        <f>$L$6</f>
        <v>FT</v>
      </c>
      <c r="M46" s="268" t="str">
        <f>$M$6</f>
        <v>PT</v>
      </c>
      <c r="N46" s="268" t="str">
        <f>$N$6</f>
        <v>SE</v>
      </c>
      <c r="O46" s="268" t="str">
        <f>$O$6</f>
        <v>Total</v>
      </c>
      <c r="P46" s="268"/>
      <c r="Q46" s="268" t="str">
        <f>$L$6</f>
        <v>FT</v>
      </c>
      <c r="R46" s="268" t="str">
        <f>$M$6</f>
        <v>PT</v>
      </c>
      <c r="S46" s="268" t="str">
        <f>$N$6</f>
        <v>SE</v>
      </c>
      <c r="T46" s="268" t="str">
        <f>$O$6</f>
        <v>Total</v>
      </c>
      <c r="U46" s="268"/>
      <c r="V46" s="268" t="str">
        <f>$V$6</f>
        <v>FT</v>
      </c>
      <c r="W46" s="268" t="str">
        <f>$W$6</f>
        <v>PT</v>
      </c>
      <c r="X46" s="268" t="str">
        <f>$X$6</f>
        <v>SE</v>
      </c>
      <c r="Y46" s="268" t="str">
        <f>$Y$6</f>
        <v>Total</v>
      </c>
    </row>
    <row r="47" spans="1:25" ht="12.45" x14ac:dyDescent="0.3">
      <c r="C47" s="319"/>
      <c r="D47" s="319"/>
      <c r="E47" s="319"/>
      <c r="F47" s="319"/>
      <c r="G47" s="319"/>
      <c r="H47" s="319"/>
      <c r="I47" s="319"/>
      <c r="J47" s="319"/>
      <c r="K47" s="319"/>
      <c r="L47" s="319"/>
      <c r="M47" s="319"/>
      <c r="N47" s="319"/>
      <c r="O47" s="319"/>
      <c r="P47" s="319"/>
      <c r="Q47" s="319"/>
      <c r="R47" s="319"/>
      <c r="S47" s="319"/>
      <c r="T47" s="319"/>
      <c r="U47" s="319"/>
      <c r="V47" s="319"/>
      <c r="W47" s="319"/>
      <c r="X47" s="319"/>
      <c r="Y47" s="319"/>
    </row>
    <row r="48" spans="1:25" ht="12.45" x14ac:dyDescent="0.3">
      <c r="A48" s="261" t="str">
        <f>name!A19</f>
        <v>Computer, etc</v>
      </c>
      <c r="C48" s="263"/>
    </row>
    <row r="49" spans="1:25" ht="12.45" x14ac:dyDescent="0.3">
      <c r="A49" s="260" t="s">
        <v>356</v>
      </c>
      <c r="B49" s="300">
        <v>3.3399999999648804</v>
      </c>
      <c r="C49" s="300">
        <v>1.1440000000185675</v>
      </c>
      <c r="D49" s="300">
        <v>0.14799999999793803</v>
      </c>
      <c r="E49" s="300">
        <f>SUM(B49:D49)</f>
        <v>4.6319999999813861</v>
      </c>
      <c r="F49" s="300"/>
      <c r="G49" s="300">
        <v>2.5349999999616881</v>
      </c>
      <c r="H49" s="300">
        <v>0.68200000001145111</v>
      </c>
      <c r="I49" s="300">
        <v>6.3999999999445653E-2</v>
      </c>
      <c r="J49" s="300">
        <f>SUM(G49:I49)</f>
        <v>3.2809999999725852</v>
      </c>
      <c r="K49" s="300"/>
      <c r="L49" s="300">
        <v>2.8929999999901126</v>
      </c>
      <c r="M49" s="300">
        <v>0.62799999999447909</v>
      </c>
      <c r="N49" s="300">
        <v>6.400000000115999E-2</v>
      </c>
      <c r="O49" s="300">
        <f>SUM(L49:N49)</f>
        <v>3.5849999999857518</v>
      </c>
      <c r="P49" s="300"/>
      <c r="Q49" s="300">
        <v>2.6770000000687966</v>
      </c>
      <c r="R49" s="300">
        <v>0.61400000000691712</v>
      </c>
      <c r="S49" s="300">
        <v>6.3000000000454554E-2</v>
      </c>
      <c r="T49" s="300">
        <f>SUM(Q49:S49)</f>
        <v>3.3540000000761681</v>
      </c>
      <c r="U49" s="300"/>
      <c r="V49" s="300">
        <v>1.9150000000063818</v>
      </c>
      <c r="W49" s="300">
        <v>0.47199999999676429</v>
      </c>
      <c r="X49" s="300">
        <v>5.2000000000030251E-2</v>
      </c>
      <c r="Y49" s="300">
        <f>SUM(V49:X49)</f>
        <v>2.4390000000031762</v>
      </c>
    </row>
    <row r="50" spans="1:25" ht="12.45" x14ac:dyDescent="0.3">
      <c r="A50" s="260" t="s">
        <v>355</v>
      </c>
      <c r="B50" s="300">
        <v>11.388999999956365</v>
      </c>
      <c r="C50" s="300">
        <v>0.97099999999713948</v>
      </c>
      <c r="D50" s="300">
        <v>0.70400000000858864</v>
      </c>
      <c r="E50" s="300">
        <f t="shared" ref="E50:E51" si="83">SUM(B50:D50)</f>
        <v>13.063999999962094</v>
      </c>
      <c r="F50" s="300"/>
      <c r="G50" s="300">
        <v>10.442999999974674</v>
      </c>
      <c r="H50" s="300">
        <v>0.63399999999811496</v>
      </c>
      <c r="I50" s="300">
        <v>0.75100000000204703</v>
      </c>
      <c r="J50" s="300">
        <f t="shared" ref="J50:J51" si="84">SUM(G50:I50)</f>
        <v>11.827999999974837</v>
      </c>
      <c r="K50" s="300"/>
      <c r="L50" s="300">
        <v>10.312999999965941</v>
      </c>
      <c r="M50" s="300">
        <v>1.1559999999916279</v>
      </c>
      <c r="N50" s="300">
        <v>0.43200000000348493</v>
      </c>
      <c r="O50" s="300">
        <f t="shared" ref="O50:O51" si="85">SUM(L50:N50)</f>
        <v>11.900999999961055</v>
      </c>
      <c r="P50" s="300"/>
      <c r="Q50" s="300">
        <v>10.289000000004558</v>
      </c>
      <c r="R50" s="300">
        <v>1.1789999999911187</v>
      </c>
      <c r="S50" s="300">
        <v>0.43600000000810707</v>
      </c>
      <c r="T50" s="300">
        <f t="shared" ref="T50:T51" si="86">SUM(Q50:S50)</f>
        <v>11.904000000003784</v>
      </c>
      <c r="U50" s="300"/>
      <c r="V50" s="300">
        <v>8.4810000000136085</v>
      </c>
      <c r="W50" s="300">
        <v>0.99599999998796129</v>
      </c>
      <c r="X50" s="300">
        <v>0.36800000000494321</v>
      </c>
      <c r="Y50" s="300">
        <f t="shared" ref="Y50:Y51" si="87">SUM(V50:X50)</f>
        <v>9.8450000000065145</v>
      </c>
    </row>
    <row r="51" spans="1:25" ht="12.45" x14ac:dyDescent="0.3">
      <c r="A51" s="260" t="s">
        <v>354</v>
      </c>
      <c r="B51" s="300">
        <f>SUM(B49:B50)</f>
        <v>14.728999999921246</v>
      </c>
      <c r="C51" s="300">
        <f t="shared" ref="C51" si="88">SUM(C49:C50)</f>
        <v>2.1150000000157068</v>
      </c>
      <c r="D51" s="300">
        <f t="shared" ref="D51" si="89">SUM(D49:D50)</f>
        <v>0.85200000000652665</v>
      </c>
      <c r="E51" s="300">
        <f t="shared" si="83"/>
        <v>17.695999999943481</v>
      </c>
      <c r="F51" s="300"/>
      <c r="G51" s="300">
        <f>SUM(G49:G50)</f>
        <v>12.977999999936362</v>
      </c>
      <c r="H51" s="300">
        <f t="shared" ref="H51" si="90">SUM(H49:H50)</f>
        <v>1.316000000009566</v>
      </c>
      <c r="I51" s="300">
        <f t="shared" ref="I51" si="91">SUM(I49:I50)</f>
        <v>0.81500000000149264</v>
      </c>
      <c r="J51" s="300">
        <f t="shared" si="84"/>
        <v>15.108999999947422</v>
      </c>
      <c r="K51" s="300"/>
      <c r="L51" s="300">
        <f>SUM(L49:L50)</f>
        <v>13.205999999956052</v>
      </c>
      <c r="M51" s="300">
        <f t="shared" ref="M51" si="92">SUM(M49:M50)</f>
        <v>1.7839999999861069</v>
      </c>
      <c r="N51" s="300">
        <f t="shared" ref="N51" si="93">SUM(N49:N50)</f>
        <v>0.49600000000464495</v>
      </c>
      <c r="O51" s="300">
        <f t="shared" si="85"/>
        <v>15.485999999946806</v>
      </c>
      <c r="P51" s="300"/>
      <c r="Q51" s="300">
        <f>SUM(Q49:Q50)</f>
        <v>12.966000000073354</v>
      </c>
      <c r="R51" s="300">
        <f t="shared" ref="R51" si="94">SUM(R49:R50)</f>
        <v>1.7929999999980359</v>
      </c>
      <c r="S51" s="300">
        <f t="shared" ref="S51" si="95">SUM(S49:S50)</f>
        <v>0.49900000000856159</v>
      </c>
      <c r="T51" s="300">
        <f t="shared" si="86"/>
        <v>15.258000000079951</v>
      </c>
      <c r="U51" s="300"/>
      <c r="V51" s="300">
        <f>SUM(V49:V50)</f>
        <v>10.39600000001999</v>
      </c>
      <c r="W51" s="300">
        <f t="shared" ref="W51" si="96">SUM(W49:W50)</f>
        <v>1.4679999999847255</v>
      </c>
      <c r="X51" s="300">
        <f t="shared" ref="X51" si="97">SUM(X49:X50)</f>
        <v>0.42000000000497345</v>
      </c>
      <c r="Y51" s="300">
        <f t="shared" si="87"/>
        <v>12.284000000009689</v>
      </c>
    </row>
    <row r="52" spans="1:25" ht="12.45" x14ac:dyDescent="0.3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ht="12.45" x14ac:dyDescent="0.3">
      <c r="A53" s="261" t="str">
        <f>name!A20</f>
        <v>Electrical equipment</v>
      </c>
      <c r="C53" s="263"/>
    </row>
    <row r="54" spans="1:25" ht="12.45" x14ac:dyDescent="0.3">
      <c r="A54" s="260" t="s">
        <v>356</v>
      </c>
      <c r="B54" s="300">
        <v>1.4679999999895699</v>
      </c>
      <c r="C54" s="300">
        <v>0.27400000000311442</v>
      </c>
      <c r="D54" s="300">
        <v>9.9000000000539462E-2</v>
      </c>
      <c r="E54" s="300">
        <f>SUM(B54:D54)</f>
        <v>1.8409999999932238</v>
      </c>
      <c r="F54" s="300"/>
      <c r="G54" s="300">
        <v>1.1699999999863566</v>
      </c>
      <c r="H54" s="300">
        <v>0.70400000000925511</v>
      </c>
      <c r="I54" s="300">
        <v>0.12100000000081182</v>
      </c>
      <c r="J54" s="300">
        <f>SUM(G54:I54)</f>
        <v>1.9949999999964234</v>
      </c>
      <c r="K54" s="300"/>
      <c r="L54" s="300">
        <v>1.0349999999932677</v>
      </c>
      <c r="M54" s="300">
        <v>0.5509999999941162</v>
      </c>
      <c r="N54" s="300">
        <v>9.3999999999576686E-2</v>
      </c>
      <c r="O54" s="300">
        <f>SUM(L54:N54)</f>
        <v>1.6799999999869606</v>
      </c>
      <c r="P54" s="300"/>
      <c r="Q54" s="300">
        <v>1.0440000000234977</v>
      </c>
      <c r="R54" s="300">
        <v>0.57700000000110929</v>
      </c>
      <c r="S54" s="300">
        <v>9.5000000000011783E-2</v>
      </c>
      <c r="T54" s="300">
        <f>SUM(Q54:S54)</f>
        <v>1.7160000000246187</v>
      </c>
      <c r="U54" s="300"/>
      <c r="V54" s="300">
        <v>0.9900000000029695</v>
      </c>
      <c r="W54" s="300">
        <v>0.57399999999565576</v>
      </c>
      <c r="X54" s="300">
        <v>8.9999999999613278E-2</v>
      </c>
      <c r="Y54" s="300">
        <f>SUM(V54:X54)</f>
        <v>1.6539999999982384</v>
      </c>
    </row>
    <row r="55" spans="1:25" ht="12.45" x14ac:dyDescent="0.3">
      <c r="A55" s="260" t="s">
        <v>355</v>
      </c>
      <c r="B55" s="300">
        <v>4.2799999999862104</v>
      </c>
      <c r="C55" s="300">
        <v>0.11899999999935441</v>
      </c>
      <c r="D55" s="300">
        <v>0.14399999999953686</v>
      </c>
      <c r="E55" s="300">
        <f t="shared" ref="E55:E56" si="98">SUM(B55:D55)</f>
        <v>4.542999999985101</v>
      </c>
      <c r="F55" s="300"/>
      <c r="G55" s="300">
        <v>3.5459999999967127</v>
      </c>
      <c r="H55" s="300">
        <v>0.35599999999750154</v>
      </c>
      <c r="I55" s="300">
        <v>0.34200000000371267</v>
      </c>
      <c r="J55" s="300">
        <f t="shared" ref="J55:J56" si="99">SUM(G55:I55)</f>
        <v>4.2439999999979268</v>
      </c>
      <c r="K55" s="300"/>
      <c r="L55" s="300">
        <v>3.1009999999969948</v>
      </c>
      <c r="M55" s="300">
        <v>0.6929999999939922</v>
      </c>
      <c r="N55" s="300">
        <v>6.0999999999889518E-2</v>
      </c>
      <c r="O55" s="300">
        <f t="shared" ref="O55:O56" si="100">SUM(L55:N55)</f>
        <v>3.8549999999908766</v>
      </c>
      <c r="P55" s="300"/>
      <c r="Q55" s="300">
        <v>2.9740000000119737</v>
      </c>
      <c r="R55" s="300">
        <v>0.71299999999267716</v>
      </c>
      <c r="S55" s="300">
        <v>7.199999999898711E-2</v>
      </c>
      <c r="T55" s="300">
        <f t="shared" ref="T55:T56" si="101">SUM(Q55:S55)</f>
        <v>3.7590000000036379</v>
      </c>
      <c r="U55" s="300"/>
      <c r="V55" s="300">
        <v>2.5590000000145432</v>
      </c>
      <c r="W55" s="300">
        <v>0.69199999998854667</v>
      </c>
      <c r="X55" s="300">
        <v>8.8999999999494886E-2</v>
      </c>
      <c r="Y55" s="300">
        <f t="shared" ref="Y55:Y56" si="102">SUM(V55:X55)</f>
        <v>3.3400000000025849</v>
      </c>
    </row>
    <row r="56" spans="1:25" ht="12.45" x14ac:dyDescent="0.3">
      <c r="A56" s="260" t="s">
        <v>354</v>
      </c>
      <c r="B56" s="300">
        <f>SUM(B54:B55)</f>
        <v>5.7479999999757805</v>
      </c>
      <c r="C56" s="300">
        <f t="shared" ref="C56" si="103">SUM(C54:C55)</f>
        <v>0.39300000000246882</v>
      </c>
      <c r="D56" s="300">
        <f t="shared" ref="D56" si="104">SUM(D54:D55)</f>
        <v>0.24300000000007632</v>
      </c>
      <c r="E56" s="300">
        <f t="shared" si="98"/>
        <v>6.3839999999783261</v>
      </c>
      <c r="F56" s="300"/>
      <c r="G56" s="300">
        <f>SUM(G54:G55)</f>
        <v>4.7159999999830688</v>
      </c>
      <c r="H56" s="300">
        <f t="shared" ref="H56" si="105">SUM(H54:H55)</f>
        <v>1.0600000000067566</v>
      </c>
      <c r="I56" s="300">
        <f t="shared" ref="I56" si="106">SUM(I54:I55)</f>
        <v>0.46300000000452446</v>
      </c>
      <c r="J56" s="300">
        <f t="shared" si="99"/>
        <v>6.2389999999943502</v>
      </c>
      <c r="K56" s="300"/>
      <c r="L56" s="300">
        <f>SUM(L54:L55)</f>
        <v>4.135999999990263</v>
      </c>
      <c r="M56" s="300">
        <f t="shared" ref="M56" si="107">SUM(M54:M55)</f>
        <v>1.2439999999881084</v>
      </c>
      <c r="N56" s="300">
        <f t="shared" ref="N56" si="108">SUM(N54:N55)</f>
        <v>0.1549999999994662</v>
      </c>
      <c r="O56" s="300">
        <f t="shared" si="100"/>
        <v>5.5349999999778383</v>
      </c>
      <c r="P56" s="300"/>
      <c r="Q56" s="300">
        <f>SUM(Q54:Q55)</f>
        <v>4.018000000035471</v>
      </c>
      <c r="R56" s="300">
        <f t="shared" ref="R56" si="109">SUM(R54:R55)</f>
        <v>1.2899999999937863</v>
      </c>
      <c r="S56" s="300">
        <f t="shared" ref="S56" si="110">SUM(S54:S55)</f>
        <v>0.16699999999899889</v>
      </c>
      <c r="T56" s="300">
        <f t="shared" si="101"/>
        <v>5.4750000000282562</v>
      </c>
      <c r="U56" s="300"/>
      <c r="V56" s="300">
        <f>SUM(V54:V55)</f>
        <v>3.5490000000175126</v>
      </c>
      <c r="W56" s="300">
        <f t="shared" ref="W56" si="111">SUM(W54:W55)</f>
        <v>1.2659999999842024</v>
      </c>
      <c r="X56" s="300">
        <f t="shared" ref="X56" si="112">SUM(X54:X55)</f>
        <v>0.17899999999910815</v>
      </c>
      <c r="Y56" s="300">
        <f t="shared" si="102"/>
        <v>4.994000000000824</v>
      </c>
    </row>
    <row r="57" spans="1:25" ht="12.45" x14ac:dyDescent="0.3">
      <c r="C57" s="319"/>
      <c r="D57" s="319"/>
      <c r="E57" s="319"/>
      <c r="F57" s="319"/>
      <c r="G57" s="319"/>
      <c r="H57" s="319"/>
      <c r="I57" s="319"/>
      <c r="J57" s="319"/>
      <c r="K57" s="319"/>
      <c r="L57" s="319"/>
      <c r="M57" s="319"/>
      <c r="N57" s="319"/>
      <c r="O57" s="319"/>
      <c r="P57" s="319"/>
      <c r="Q57" s="319"/>
      <c r="R57" s="319"/>
      <c r="S57" s="319"/>
      <c r="T57" s="319"/>
      <c r="U57" s="319"/>
      <c r="V57" s="319"/>
      <c r="W57" s="319"/>
      <c r="X57" s="319"/>
      <c r="Y57" s="319"/>
    </row>
    <row r="58" spans="1:25" ht="12.45" x14ac:dyDescent="0.3">
      <c r="A58" s="261" t="str">
        <f>name!A21</f>
        <v>Machinery n.e.c.</v>
      </c>
      <c r="C58" s="263"/>
    </row>
    <row r="59" spans="1:25" ht="12.45" x14ac:dyDescent="0.3">
      <c r="A59" s="260" t="s">
        <v>356</v>
      </c>
      <c r="B59" s="300">
        <v>2.4529999999828882</v>
      </c>
      <c r="C59" s="300">
        <v>0.73000000000989129</v>
      </c>
      <c r="D59" s="300">
        <v>0.26699999999919255</v>
      </c>
      <c r="E59" s="300">
        <f>SUM(B59:D59)</f>
        <v>3.4499999999919719</v>
      </c>
      <c r="F59" s="300"/>
      <c r="G59" s="300">
        <v>2.6769999999701013</v>
      </c>
      <c r="H59" s="300">
        <v>0.65900000000990067</v>
      </c>
      <c r="I59" s="300">
        <v>0.40499999999985503</v>
      </c>
      <c r="J59" s="300">
        <f>SUM(G59:I59)</f>
        <v>3.7409999999798571</v>
      </c>
      <c r="K59" s="300"/>
      <c r="L59" s="300">
        <v>2.6159999999840915</v>
      </c>
      <c r="M59" s="300">
        <v>0.71699999999255482</v>
      </c>
      <c r="N59" s="300">
        <v>0.11700000000062126</v>
      </c>
      <c r="O59" s="300">
        <f>SUM(L59:N59)</f>
        <v>3.4499999999772677</v>
      </c>
      <c r="P59" s="300"/>
      <c r="Q59" s="300">
        <v>2.5940000000561141</v>
      </c>
      <c r="R59" s="300">
        <v>0.70700000000268803</v>
      </c>
      <c r="S59" s="300">
        <v>0.11900000000063592</v>
      </c>
      <c r="T59" s="300">
        <f>SUM(Q59:S59)</f>
        <v>3.4200000000594377</v>
      </c>
      <c r="U59" s="300"/>
      <c r="V59" s="300">
        <v>2.1840000000054003</v>
      </c>
      <c r="W59" s="300">
        <v>0.5979999999947555</v>
      </c>
      <c r="X59" s="300">
        <v>0.10600000000010099</v>
      </c>
      <c r="Y59" s="300">
        <f>SUM(V59:X59)</f>
        <v>2.888000000000257</v>
      </c>
    </row>
    <row r="60" spans="1:25" ht="12.45" x14ac:dyDescent="0.3">
      <c r="A60" s="260" t="s">
        <v>355</v>
      </c>
      <c r="B60" s="300">
        <v>16.026999999944017</v>
      </c>
      <c r="C60" s="300">
        <v>0.35199999999903192</v>
      </c>
      <c r="D60" s="300">
        <v>1.1279999999996229</v>
      </c>
      <c r="E60" s="300">
        <f t="shared" ref="E60:E61" si="113">SUM(B60:D60)</f>
        <v>17.506999999942671</v>
      </c>
      <c r="F60" s="300"/>
      <c r="G60" s="300">
        <v>17.317999999979133</v>
      </c>
      <c r="H60" s="300">
        <v>0.38999999999852308</v>
      </c>
      <c r="I60" s="300">
        <v>1.3970000000150837</v>
      </c>
      <c r="J60" s="300">
        <f t="shared" ref="J60:J61" si="114">SUM(G60:I60)</f>
        <v>19.104999999992739</v>
      </c>
      <c r="K60" s="300"/>
      <c r="L60" s="300">
        <v>15.893999999978737</v>
      </c>
      <c r="M60" s="300">
        <v>0.66299999999854597</v>
      </c>
      <c r="N60" s="300">
        <v>0.92899999999955896</v>
      </c>
      <c r="O60" s="300">
        <f t="shared" ref="O60:O61" si="115">SUM(L60:N60)</f>
        <v>17.485999999976841</v>
      </c>
      <c r="P60" s="300"/>
      <c r="Q60" s="300">
        <v>15.950000000061285</v>
      </c>
      <c r="R60" s="300">
        <v>0.68899999999724404</v>
      </c>
      <c r="S60" s="300">
        <v>0.94299999999186812</v>
      </c>
      <c r="T60" s="300">
        <f t="shared" ref="T60:T61" si="116">SUM(Q60:S60)</f>
        <v>17.5820000000504</v>
      </c>
      <c r="U60" s="300"/>
      <c r="V60" s="300">
        <v>13.753000000073028</v>
      </c>
      <c r="W60" s="300">
        <v>0.63699999999512524</v>
      </c>
      <c r="X60" s="300">
        <v>0.83799999999866936</v>
      </c>
      <c r="Y60" s="300">
        <f t="shared" ref="Y60:Y61" si="117">SUM(V60:X60)</f>
        <v>15.228000000066821</v>
      </c>
    </row>
    <row r="61" spans="1:25" ht="12.45" x14ac:dyDescent="0.3">
      <c r="A61" s="260" t="s">
        <v>354</v>
      </c>
      <c r="B61" s="300">
        <f>SUM(B59:B60)</f>
        <v>18.479999999926907</v>
      </c>
      <c r="C61" s="300">
        <f t="shared" ref="C61" si="118">SUM(C59:C60)</f>
        <v>1.0820000000089232</v>
      </c>
      <c r="D61" s="300">
        <f t="shared" ref="D61" si="119">SUM(D59:D60)</f>
        <v>1.3949999999988154</v>
      </c>
      <c r="E61" s="300">
        <f t="shared" si="113"/>
        <v>20.956999999934645</v>
      </c>
      <c r="F61" s="300"/>
      <c r="G61" s="300">
        <f>SUM(G59:G60)</f>
        <v>19.994999999949233</v>
      </c>
      <c r="H61" s="300">
        <f t="shared" ref="H61" si="120">SUM(H59:H60)</f>
        <v>1.0490000000084239</v>
      </c>
      <c r="I61" s="300">
        <f t="shared" ref="I61" si="121">SUM(I59:I60)</f>
        <v>1.8020000000149388</v>
      </c>
      <c r="J61" s="300">
        <f t="shared" si="114"/>
        <v>22.845999999972594</v>
      </c>
      <c r="K61" s="300"/>
      <c r="L61" s="300">
        <f>SUM(L59:L60)</f>
        <v>18.50999999996283</v>
      </c>
      <c r="M61" s="300">
        <f t="shared" ref="M61" si="122">SUM(M59:M60)</f>
        <v>1.3799999999911008</v>
      </c>
      <c r="N61" s="300">
        <f t="shared" ref="N61" si="123">SUM(N59:N60)</f>
        <v>1.0460000000001801</v>
      </c>
      <c r="O61" s="300">
        <f t="shared" si="115"/>
        <v>20.93599999995411</v>
      </c>
      <c r="P61" s="300"/>
      <c r="Q61" s="300">
        <f>SUM(Q59:Q60)</f>
        <v>18.5440000001174</v>
      </c>
      <c r="R61" s="300">
        <f t="shared" ref="R61" si="124">SUM(R59:R60)</f>
        <v>1.395999999999932</v>
      </c>
      <c r="S61" s="300">
        <f t="shared" ref="S61" si="125">SUM(S59:S60)</f>
        <v>1.0619999999925041</v>
      </c>
      <c r="T61" s="300">
        <f t="shared" si="116"/>
        <v>21.002000000109838</v>
      </c>
      <c r="U61" s="300"/>
      <c r="V61" s="300">
        <f>SUM(V59:V60)</f>
        <v>15.937000000078427</v>
      </c>
      <c r="W61" s="300">
        <f t="shared" ref="W61" si="126">SUM(W59:W60)</f>
        <v>1.2349999999898809</v>
      </c>
      <c r="X61" s="300">
        <f t="shared" ref="X61" si="127">SUM(X59:X60)</f>
        <v>0.94399999999877038</v>
      </c>
      <c r="Y61" s="300">
        <f t="shared" si="117"/>
        <v>18.116000000067078</v>
      </c>
    </row>
    <row r="62" spans="1:25" ht="12.45" x14ac:dyDescent="0.3">
      <c r="C62" s="263"/>
    </row>
    <row r="63" spans="1:25" x14ac:dyDescent="0.35">
      <c r="A63" s="261" t="s">
        <v>371</v>
      </c>
    </row>
    <row r="64" spans="1:25" ht="12.45" x14ac:dyDescent="0.3">
      <c r="A64" s="260" t="s">
        <v>356</v>
      </c>
      <c r="B64" s="300">
        <f>SUM(B49,B54,B59)</f>
        <v>7.2609999999373382</v>
      </c>
      <c r="C64" s="300">
        <f t="shared" ref="C64:D65" si="128">SUM(C49,C54,C59)</f>
        <v>2.1480000000315731</v>
      </c>
      <c r="D64" s="300">
        <f t="shared" si="128"/>
        <v>0.5139999999976701</v>
      </c>
      <c r="E64" s="300">
        <f>SUM(B64:D64)</f>
        <v>9.9229999999665814</v>
      </c>
      <c r="F64" s="300"/>
      <c r="G64" s="300">
        <f>SUM(G49,G54,G59)</f>
        <v>6.381999999918146</v>
      </c>
      <c r="H64" s="300">
        <f t="shared" ref="H64:I64" si="129">SUM(H49,H54,H59)</f>
        <v>2.045000000030607</v>
      </c>
      <c r="I64" s="300">
        <f t="shared" si="129"/>
        <v>0.59000000000011243</v>
      </c>
      <c r="J64" s="300">
        <f>SUM(G64:I64)</f>
        <v>9.0169999999488653</v>
      </c>
      <c r="K64" s="300"/>
      <c r="L64" s="300">
        <f>SUM(L49,L54,L59)</f>
        <v>6.5439999999674718</v>
      </c>
      <c r="M64" s="300">
        <f t="shared" ref="M64:N64" si="130">SUM(M49,M54,M59)</f>
        <v>1.8959999999811501</v>
      </c>
      <c r="N64" s="300">
        <f t="shared" si="130"/>
        <v>0.27500000000135794</v>
      </c>
      <c r="O64" s="300">
        <f>SUM(L64:N64)</f>
        <v>8.7149999999499794</v>
      </c>
      <c r="P64" s="300"/>
      <c r="Q64" s="300">
        <f>SUM(Q49,Q54,Q59)</f>
        <v>6.3150000001484088</v>
      </c>
      <c r="R64" s="300">
        <f t="shared" ref="R64:S64" si="131">SUM(R49,R54,R59)</f>
        <v>1.8980000000107142</v>
      </c>
      <c r="S64" s="300">
        <f t="shared" si="131"/>
        <v>0.27700000000110225</v>
      </c>
      <c r="T64" s="300">
        <f>SUM(Q64:S64)</f>
        <v>8.4900000001602258</v>
      </c>
      <c r="U64" s="300"/>
      <c r="V64" s="300">
        <f>SUM(V49,V54,V59)</f>
        <v>5.0890000000147513</v>
      </c>
      <c r="W64" s="300">
        <f t="shared" ref="W64:X64" si="132">SUM(W49,W54,W59)</f>
        <v>1.6439999999871757</v>
      </c>
      <c r="X64" s="300">
        <f t="shared" si="132"/>
        <v>0.24799999999974451</v>
      </c>
      <c r="Y64" s="300">
        <f>SUM(V64:X64)</f>
        <v>6.9810000000016714</v>
      </c>
    </row>
    <row r="65" spans="1:25" ht="12.45" x14ac:dyDescent="0.3">
      <c r="A65" s="260" t="s">
        <v>355</v>
      </c>
      <c r="B65" s="300">
        <f>SUM(B50,B55,B60)</f>
        <v>31.695999999886592</v>
      </c>
      <c r="C65" s="300">
        <f t="shared" si="128"/>
        <v>1.441999999995526</v>
      </c>
      <c r="D65" s="300">
        <f t="shared" si="128"/>
        <v>1.9760000000077484</v>
      </c>
      <c r="E65" s="300">
        <f t="shared" ref="E65:E66" si="133">SUM(B65:D65)</f>
        <v>35.11399999988987</v>
      </c>
      <c r="F65" s="300"/>
      <c r="G65" s="300">
        <f>SUM(G50,G55,G60)</f>
        <v>31.30699999995052</v>
      </c>
      <c r="H65" s="300">
        <f t="shared" ref="H65:I65" si="134">SUM(H50,H55,H60)</f>
        <v>1.3799999999941397</v>
      </c>
      <c r="I65" s="300">
        <f t="shared" si="134"/>
        <v>2.4900000000208435</v>
      </c>
      <c r="J65" s="300">
        <f t="shared" ref="J65:J66" si="135">SUM(G65:I65)</f>
        <v>35.176999999965503</v>
      </c>
      <c r="K65" s="300"/>
      <c r="L65" s="300">
        <f>SUM(L50,L55,L60)</f>
        <v>29.307999999941671</v>
      </c>
      <c r="M65" s="300">
        <f t="shared" ref="M65:N65" si="136">SUM(M50,M55,M60)</f>
        <v>2.511999999984166</v>
      </c>
      <c r="N65" s="300">
        <f t="shared" si="136"/>
        <v>1.4220000000029334</v>
      </c>
      <c r="O65" s="300">
        <f t="shared" ref="O65:O66" si="137">SUM(L65:N65)</f>
        <v>33.241999999928773</v>
      </c>
      <c r="P65" s="300"/>
      <c r="Q65" s="300">
        <f>SUM(Q50,Q55,Q60)</f>
        <v>29.21300000007782</v>
      </c>
      <c r="R65" s="300">
        <f t="shared" ref="R65:S65" si="138">SUM(R50,R55,R60)</f>
        <v>2.58099999998104</v>
      </c>
      <c r="S65" s="300">
        <f t="shared" si="138"/>
        <v>1.4509999999989622</v>
      </c>
      <c r="T65" s="300">
        <f t="shared" ref="T65:T66" si="139">SUM(Q65:S65)</f>
        <v>33.245000000057821</v>
      </c>
      <c r="U65" s="300"/>
      <c r="V65" s="300">
        <f>SUM(V50,V55,V60)</f>
        <v>24.793000000101181</v>
      </c>
      <c r="W65" s="300">
        <f t="shared" ref="W65:X65" si="140">SUM(W50,W55,W60)</f>
        <v>2.3249999999716331</v>
      </c>
      <c r="X65" s="300">
        <f t="shared" si="140"/>
        <v>1.2950000000031074</v>
      </c>
      <c r="Y65" s="300">
        <f t="shared" ref="Y65:Y66" si="141">SUM(V65:X65)</f>
        <v>28.413000000075922</v>
      </c>
    </row>
    <row r="66" spans="1:25" ht="12.45" x14ac:dyDescent="0.3">
      <c r="A66" s="264" t="s">
        <v>354</v>
      </c>
      <c r="B66" s="301">
        <f>SUM(B64:B65)</f>
        <v>38.956999999823928</v>
      </c>
      <c r="C66" s="301">
        <f t="shared" ref="C66" si="142">SUM(C64:C65)</f>
        <v>3.5900000000270991</v>
      </c>
      <c r="D66" s="301">
        <f t="shared" ref="D66" si="143">SUM(D64:D65)</f>
        <v>2.4900000000054185</v>
      </c>
      <c r="E66" s="301">
        <f t="shared" si="133"/>
        <v>45.036999999856441</v>
      </c>
      <c r="F66" s="301"/>
      <c r="G66" s="301">
        <f>SUM(G64:G65)</f>
        <v>37.688999999868663</v>
      </c>
      <c r="H66" s="301">
        <f t="shared" ref="H66" si="144">SUM(H64:H65)</f>
        <v>3.4250000000247467</v>
      </c>
      <c r="I66" s="301">
        <f t="shared" ref="I66" si="145">SUM(I64:I65)</f>
        <v>3.0800000000209558</v>
      </c>
      <c r="J66" s="301">
        <f t="shared" si="135"/>
        <v>44.193999999914368</v>
      </c>
      <c r="K66" s="301"/>
      <c r="L66" s="301">
        <f>SUM(L64:L65)</f>
        <v>35.85199999990914</v>
      </c>
      <c r="M66" s="301">
        <f t="shared" ref="M66" si="146">SUM(M64:M65)</f>
        <v>4.4079999999653161</v>
      </c>
      <c r="N66" s="301">
        <f t="shared" ref="N66" si="147">SUM(N64:N65)</f>
        <v>1.6970000000042913</v>
      </c>
      <c r="O66" s="301">
        <f t="shared" si="137"/>
        <v>41.956999999878747</v>
      </c>
      <c r="P66" s="301"/>
      <c r="Q66" s="301">
        <f>SUM(Q64:Q65)</f>
        <v>35.528000000226228</v>
      </c>
      <c r="R66" s="301">
        <f t="shared" ref="R66" si="148">SUM(R64:R65)</f>
        <v>4.4789999999917542</v>
      </c>
      <c r="S66" s="301">
        <f t="shared" ref="S66" si="149">SUM(S64:S65)</f>
        <v>1.7280000000000646</v>
      </c>
      <c r="T66" s="301">
        <f t="shared" si="139"/>
        <v>41.735000000218051</v>
      </c>
      <c r="U66" s="301"/>
      <c r="V66" s="301">
        <f>SUM(V64:V65)</f>
        <v>29.88200000011593</v>
      </c>
      <c r="W66" s="301">
        <f t="shared" ref="W66" si="150">SUM(W64:W65)</f>
        <v>3.9689999999588088</v>
      </c>
      <c r="X66" s="301">
        <f t="shared" ref="X66" si="151">SUM(X64:X65)</f>
        <v>1.5430000000028519</v>
      </c>
      <c r="Y66" s="301">
        <f t="shared" si="141"/>
        <v>35.39400000007759</v>
      </c>
    </row>
    <row r="67" spans="1:25" ht="12.45" x14ac:dyDescent="0.3">
      <c r="C67" s="263"/>
    </row>
    <row r="68" spans="1:25" ht="12.45" x14ac:dyDescent="0.3">
      <c r="C68" s="263"/>
    </row>
    <row r="69" spans="1:25" x14ac:dyDescent="0.35">
      <c r="A69" s="261"/>
    </row>
    <row r="70" spans="1:25" ht="14.15" x14ac:dyDescent="0.35">
      <c r="A70" s="265" t="str">
        <f>"Industry 5 : "&amp; name!B8</f>
        <v>Industry 5 : Rest of manufacturing</v>
      </c>
      <c r="B70" s="372">
        <f>$B$5</f>
        <v>2015</v>
      </c>
      <c r="C70" s="372"/>
      <c r="D70" s="372"/>
      <c r="E70" s="372"/>
      <c r="F70" s="320"/>
      <c r="G70" s="372">
        <f>$G$5</f>
        <v>2019</v>
      </c>
      <c r="H70" s="372"/>
      <c r="I70" s="372"/>
      <c r="J70" s="372"/>
      <c r="K70" s="320"/>
      <c r="L70" s="372">
        <f>$L$5</f>
        <v>2020</v>
      </c>
      <c r="M70" s="372"/>
      <c r="N70" s="372"/>
      <c r="O70" s="372"/>
      <c r="P70" s="318"/>
      <c r="Q70" s="372">
        <f>$Q$5</f>
        <v>2025</v>
      </c>
      <c r="R70" s="372"/>
      <c r="S70" s="372"/>
      <c r="T70" s="372"/>
      <c r="U70" s="320"/>
      <c r="V70" s="372">
        <f>$V$5</f>
        <v>2035</v>
      </c>
      <c r="W70" s="372"/>
      <c r="X70" s="372"/>
      <c r="Y70" s="372"/>
    </row>
    <row r="71" spans="1:25" ht="12.45" x14ac:dyDescent="0.3">
      <c r="A71" s="264"/>
      <c r="B71" s="268" t="str">
        <f>$B$6</f>
        <v>FT</v>
      </c>
      <c r="C71" s="268" t="str">
        <f>$C$6</f>
        <v>PT</v>
      </c>
      <c r="D71" s="268" t="str">
        <f>$D$6</f>
        <v>SE</v>
      </c>
      <c r="E71" s="268" t="str">
        <f>$E$6</f>
        <v>Total</v>
      </c>
      <c r="F71" s="268"/>
      <c r="G71" s="268" t="str">
        <f>$B$6</f>
        <v>FT</v>
      </c>
      <c r="H71" s="268" t="str">
        <f>$C$6</f>
        <v>PT</v>
      </c>
      <c r="I71" s="268" t="str">
        <f>$D$6</f>
        <v>SE</v>
      </c>
      <c r="J71" s="268" t="str">
        <f>$E$6</f>
        <v>Total</v>
      </c>
      <c r="K71" s="268"/>
      <c r="L71" s="268" t="str">
        <f>$L$6</f>
        <v>FT</v>
      </c>
      <c r="M71" s="268" t="str">
        <f>$M$6</f>
        <v>PT</v>
      </c>
      <c r="N71" s="268" t="str">
        <f>$N$6</f>
        <v>SE</v>
      </c>
      <c r="O71" s="268" t="str">
        <f>$O$6</f>
        <v>Total</v>
      </c>
      <c r="P71" s="268"/>
      <c r="Q71" s="268" t="str">
        <f>$L$6</f>
        <v>FT</v>
      </c>
      <c r="R71" s="268" t="str">
        <f>$M$6</f>
        <v>PT</v>
      </c>
      <c r="S71" s="268" t="str">
        <f>$N$6</f>
        <v>SE</v>
      </c>
      <c r="T71" s="268" t="str">
        <f>$O$6</f>
        <v>Total</v>
      </c>
      <c r="U71" s="268"/>
      <c r="V71" s="268" t="str">
        <f>$V$6</f>
        <v>FT</v>
      </c>
      <c r="W71" s="268" t="str">
        <f>$W$6</f>
        <v>PT</v>
      </c>
      <c r="X71" s="268" t="str">
        <f>$X$6</f>
        <v>SE</v>
      </c>
      <c r="Y71" s="268" t="str">
        <f>$Y$6</f>
        <v>Total</v>
      </c>
    </row>
    <row r="72" spans="1:25" ht="12.45" x14ac:dyDescent="0.3">
      <c r="C72" s="319"/>
      <c r="D72" s="319"/>
      <c r="E72" s="319"/>
      <c r="F72" s="319"/>
      <c r="G72" s="319"/>
      <c r="H72" s="319"/>
      <c r="I72" s="319"/>
      <c r="J72" s="319"/>
      <c r="K72" s="319"/>
      <c r="L72" s="319"/>
      <c r="M72" s="319"/>
      <c r="N72" s="319"/>
      <c r="O72" s="319"/>
      <c r="P72" s="319"/>
      <c r="Q72" s="319"/>
      <c r="R72" s="319"/>
      <c r="S72" s="319"/>
      <c r="T72" s="319"/>
      <c r="U72" s="319"/>
      <c r="V72" s="319"/>
      <c r="W72" s="319"/>
      <c r="X72" s="319"/>
      <c r="Y72" s="319"/>
    </row>
    <row r="73" spans="1:25" ht="12.45" x14ac:dyDescent="0.3">
      <c r="A73" s="261" t="str">
        <f>name!A8</f>
        <v>Textiles</v>
      </c>
      <c r="C73" s="263"/>
    </row>
    <row r="74" spans="1:25" ht="12.45" x14ac:dyDescent="0.3">
      <c r="A74" s="260" t="s">
        <v>356</v>
      </c>
      <c r="B74" s="300">
        <v>1.0459999999928467</v>
      </c>
      <c r="C74" s="300">
        <v>0.21200000000455038</v>
      </c>
      <c r="D74" s="300">
        <v>0.59000000000842256</v>
      </c>
      <c r="E74" s="300">
        <f>SUM(B74:D74)</f>
        <v>1.8480000000058197</v>
      </c>
      <c r="F74" s="300"/>
      <c r="G74" s="300">
        <v>1.9109999999759333</v>
      </c>
      <c r="H74" s="300">
        <v>0.29000000000560594</v>
      </c>
      <c r="I74" s="300">
        <v>0.56500000000768325</v>
      </c>
      <c r="J74" s="300">
        <f>SUM(G74:I74)</f>
        <v>2.7659999999892224</v>
      </c>
      <c r="K74" s="300"/>
      <c r="L74" s="300">
        <v>1.7789999999869031</v>
      </c>
      <c r="M74" s="300">
        <v>0.29700000000063759</v>
      </c>
      <c r="N74" s="300">
        <v>0.40299999999477421</v>
      </c>
      <c r="O74" s="300">
        <f>SUM(L74:N74)</f>
        <v>2.4789999999823147</v>
      </c>
      <c r="P74" s="300"/>
      <c r="Q74" s="300">
        <v>1.5740000000403636</v>
      </c>
      <c r="R74" s="300">
        <v>0.25400000000600925</v>
      </c>
      <c r="S74" s="300">
        <v>0.34900000000064585</v>
      </c>
      <c r="T74" s="300">
        <f>SUM(Q74:S74)</f>
        <v>2.1770000000470184</v>
      </c>
      <c r="U74" s="300"/>
      <c r="V74" s="300">
        <v>1.3800000000061079</v>
      </c>
      <c r="W74" s="300">
        <v>0.22099999999992381</v>
      </c>
      <c r="X74" s="300">
        <v>0.29900000000165733</v>
      </c>
      <c r="Y74" s="300">
        <f>SUM(V74:X74)</f>
        <v>1.9000000000076889</v>
      </c>
    </row>
    <row r="75" spans="1:25" ht="12.45" x14ac:dyDescent="0.3">
      <c r="A75" s="260" t="s">
        <v>355</v>
      </c>
      <c r="B75" s="300">
        <v>1.2339999999984406</v>
      </c>
      <c r="C75" s="300">
        <v>3.8000000000313387E-2</v>
      </c>
      <c r="D75" s="300">
        <v>0.23000000000312049</v>
      </c>
      <c r="E75" s="300">
        <f t="shared" ref="E75:E76" si="152">SUM(B75:D75)</f>
        <v>1.5020000000018743</v>
      </c>
      <c r="F75" s="300"/>
      <c r="G75" s="300">
        <v>2.5530000000037298</v>
      </c>
      <c r="H75" s="300">
        <v>5.7000000000518448E-2</v>
      </c>
      <c r="I75" s="300">
        <v>0.21200000000133354</v>
      </c>
      <c r="J75" s="300">
        <f t="shared" ref="J75:J76" si="153">SUM(G75:I75)</f>
        <v>2.8220000000055818</v>
      </c>
      <c r="K75" s="300"/>
      <c r="L75" s="300">
        <v>2.4240000000060191</v>
      </c>
      <c r="M75" s="300">
        <v>0.14099999999973128</v>
      </c>
      <c r="N75" s="300">
        <v>0.25300000000203143</v>
      </c>
      <c r="O75" s="300">
        <f t="shared" ref="O75:O76" si="154">SUM(L75:N75)</f>
        <v>2.8180000000077818</v>
      </c>
      <c r="P75" s="300"/>
      <c r="Q75" s="300">
        <v>2.1550000000159621</v>
      </c>
      <c r="R75" s="300">
        <v>0.12100000000013926</v>
      </c>
      <c r="S75" s="300">
        <v>0.22400000000465797</v>
      </c>
      <c r="T75" s="300">
        <f t="shared" ref="T75:T76" si="155">SUM(Q75:S75)</f>
        <v>2.5000000000207594</v>
      </c>
      <c r="U75" s="300"/>
      <c r="V75" s="300">
        <v>1.8530000000171096</v>
      </c>
      <c r="W75" s="300">
        <v>0.1070000000001454</v>
      </c>
      <c r="X75" s="300">
        <v>0.18600000000204681</v>
      </c>
      <c r="Y75" s="300">
        <f t="shared" ref="Y75:Y76" si="156">SUM(V75:X75)</f>
        <v>2.1460000000193018</v>
      </c>
    </row>
    <row r="76" spans="1:25" ht="12.45" x14ac:dyDescent="0.3">
      <c r="A76" s="260" t="s">
        <v>354</v>
      </c>
      <c r="B76" s="300">
        <f>SUM(B74:B75)</f>
        <v>2.2799999999912872</v>
      </c>
      <c r="C76" s="300">
        <f t="shared" ref="C76" si="157">SUM(C74:C75)</f>
        <v>0.25000000000486378</v>
      </c>
      <c r="D76" s="300">
        <f t="shared" ref="D76" si="158">SUM(D74:D75)</f>
        <v>0.82000000001154305</v>
      </c>
      <c r="E76" s="300">
        <f t="shared" si="152"/>
        <v>3.3500000000076939</v>
      </c>
      <c r="F76" s="300"/>
      <c r="G76" s="300">
        <f>SUM(G74:G75)</f>
        <v>4.4639999999796629</v>
      </c>
      <c r="H76" s="300">
        <f t="shared" ref="H76" si="159">SUM(H74:H75)</f>
        <v>0.34700000000612441</v>
      </c>
      <c r="I76" s="300">
        <f t="shared" ref="I76" si="160">SUM(I74:I75)</f>
        <v>0.77700000000901681</v>
      </c>
      <c r="J76" s="300">
        <f t="shared" si="153"/>
        <v>5.5879999999948042</v>
      </c>
      <c r="K76" s="300"/>
      <c r="L76" s="300">
        <f>SUM(L74:L75)</f>
        <v>4.2029999999929224</v>
      </c>
      <c r="M76" s="300">
        <f t="shared" ref="M76" si="161">SUM(M74:M75)</f>
        <v>0.43800000000036887</v>
      </c>
      <c r="N76" s="300">
        <f t="shared" ref="N76" si="162">SUM(N74:N75)</f>
        <v>0.65599999999680558</v>
      </c>
      <c r="O76" s="300">
        <f t="shared" si="154"/>
        <v>5.2969999999900974</v>
      </c>
      <c r="P76" s="300"/>
      <c r="Q76" s="300">
        <f>SUM(Q74:Q75)</f>
        <v>3.7290000000563257</v>
      </c>
      <c r="R76" s="300">
        <f t="shared" ref="R76" si="163">SUM(R74:R75)</f>
        <v>0.37500000000614853</v>
      </c>
      <c r="S76" s="300">
        <f t="shared" ref="S76" si="164">SUM(S74:S75)</f>
        <v>0.57300000000530382</v>
      </c>
      <c r="T76" s="300">
        <f t="shared" si="155"/>
        <v>4.6770000000677783</v>
      </c>
      <c r="U76" s="300"/>
      <c r="V76" s="300">
        <f>SUM(V74:V75)</f>
        <v>3.2330000000232175</v>
      </c>
      <c r="W76" s="300">
        <f t="shared" ref="W76" si="165">SUM(W74:W75)</f>
        <v>0.32800000000006924</v>
      </c>
      <c r="X76" s="300">
        <f t="shared" ref="X76" si="166">SUM(X74:X75)</f>
        <v>0.48500000000370413</v>
      </c>
      <c r="Y76" s="300">
        <f t="shared" si="156"/>
        <v>4.0460000000269911</v>
      </c>
    </row>
    <row r="77" spans="1:25" ht="12.45" x14ac:dyDescent="0.3">
      <c r="C77" s="319"/>
      <c r="D77" s="319"/>
      <c r="E77" s="319"/>
      <c r="F77" s="319"/>
      <c r="G77" s="319"/>
      <c r="H77" s="319"/>
      <c r="I77" s="319"/>
      <c r="J77" s="319"/>
      <c r="K77" s="319"/>
      <c r="L77" s="319"/>
      <c r="M77" s="319"/>
      <c r="N77" s="319"/>
      <c r="O77" s="319"/>
      <c r="P77" s="319"/>
      <c r="Q77" s="319"/>
      <c r="R77" s="319"/>
      <c r="S77" s="319"/>
      <c r="T77" s="319"/>
      <c r="U77" s="319"/>
      <c r="V77" s="319"/>
      <c r="W77" s="319"/>
      <c r="X77" s="319"/>
      <c r="Y77" s="319"/>
    </row>
    <row r="78" spans="1:25" ht="12.45" x14ac:dyDescent="0.3">
      <c r="A78" s="261" t="str">
        <f>name!A9</f>
        <v>Wearing apparel; Leather, etc</v>
      </c>
      <c r="C78" s="263"/>
    </row>
    <row r="79" spans="1:25" ht="12.45" x14ac:dyDescent="0.3">
      <c r="A79" s="260" t="s">
        <v>356</v>
      </c>
      <c r="B79" s="300">
        <v>0.51999999999838131</v>
      </c>
      <c r="C79" s="300">
        <v>0.19600000000428699</v>
      </c>
      <c r="D79" s="300">
        <v>0.33000000000510815</v>
      </c>
      <c r="E79" s="300">
        <f>SUM(B79:D79)</f>
        <v>1.0460000000077765</v>
      </c>
      <c r="F79" s="300"/>
      <c r="G79" s="300">
        <v>1.069999999993283</v>
      </c>
      <c r="H79" s="300">
        <v>0.12000000000252271</v>
      </c>
      <c r="I79" s="300">
        <v>0.34100000000514696</v>
      </c>
      <c r="J79" s="300">
        <f>SUM(G79:I79)</f>
        <v>1.5310000000009527</v>
      </c>
      <c r="K79" s="300"/>
      <c r="L79" s="300">
        <v>0.99599999999824307</v>
      </c>
      <c r="M79" s="300">
        <v>0.12299999999960821</v>
      </c>
      <c r="N79" s="300">
        <v>0.21499999999673569</v>
      </c>
      <c r="O79" s="300">
        <f>SUM(L79:N79)</f>
        <v>1.3339999999945871</v>
      </c>
      <c r="P79" s="300"/>
      <c r="Q79" s="300">
        <v>0.88100000001013956</v>
      </c>
      <c r="R79" s="300">
        <v>0.10500000000169124</v>
      </c>
      <c r="S79" s="300">
        <v>0.18700000000005754</v>
      </c>
      <c r="T79" s="300">
        <f>SUM(Q79:S79)</f>
        <v>1.1730000000118883</v>
      </c>
      <c r="U79" s="300"/>
      <c r="V79" s="300">
        <v>0.77300000000466174</v>
      </c>
      <c r="W79" s="300">
        <v>9.0999999999307246E-2</v>
      </c>
      <c r="X79" s="300">
        <v>0.16000000000051356</v>
      </c>
      <c r="Y79" s="300">
        <f>SUM(V79:X79)</f>
        <v>1.0240000000044824</v>
      </c>
    </row>
    <row r="80" spans="1:25" ht="12.45" x14ac:dyDescent="0.3">
      <c r="A80" s="260" t="s">
        <v>355</v>
      </c>
      <c r="B80" s="300">
        <v>0.63400000000068979</v>
      </c>
      <c r="C80" s="300">
        <v>7.7000000000641028E-2</v>
      </c>
      <c r="D80" s="300">
        <v>0.13300000000124515</v>
      </c>
      <c r="E80" s="300">
        <f t="shared" ref="E80:E81" si="167">SUM(B80:D80)</f>
        <v>0.84400000000257591</v>
      </c>
      <c r="F80" s="300"/>
      <c r="G80" s="300">
        <v>1.2440000000057621</v>
      </c>
      <c r="H80" s="300">
        <v>9.3000000000965366E-2</v>
      </c>
      <c r="I80" s="300">
        <v>0.12100000000120249</v>
      </c>
      <c r="J80" s="300">
        <f t="shared" ref="J80:J81" si="168">SUM(G80:I80)</f>
        <v>1.4580000000079301</v>
      </c>
      <c r="K80" s="300"/>
      <c r="L80" s="300">
        <v>1.1810000000076755</v>
      </c>
      <c r="M80" s="300">
        <v>0.22900000000048248</v>
      </c>
      <c r="N80" s="300">
        <v>0.30900000000167588</v>
      </c>
      <c r="O80" s="300">
        <f t="shared" ref="O80:O81" si="169">SUM(L80:N80)</f>
        <v>1.719000000009834</v>
      </c>
      <c r="P80" s="300"/>
      <c r="Q80" s="300">
        <v>1.0500000000113749</v>
      </c>
      <c r="R80" s="300">
        <v>0.19600000000084852</v>
      </c>
      <c r="S80" s="300">
        <v>0.28100000000242087</v>
      </c>
      <c r="T80" s="300">
        <f t="shared" ref="T80:T81" si="170">SUM(Q80:S80)</f>
        <v>1.5270000000146444</v>
      </c>
      <c r="U80" s="300"/>
      <c r="V80" s="300">
        <v>0.90300000001332337</v>
      </c>
      <c r="W80" s="300">
        <v>0.17400000000128404</v>
      </c>
      <c r="X80" s="300">
        <v>0.25000000000131983</v>
      </c>
      <c r="Y80" s="300">
        <f t="shared" ref="Y80:Y81" si="171">SUM(V80:X80)</f>
        <v>1.3270000000159272</v>
      </c>
    </row>
    <row r="81" spans="1:25" ht="12.45" x14ac:dyDescent="0.3">
      <c r="A81" s="260" t="s">
        <v>354</v>
      </c>
      <c r="B81" s="300">
        <f>SUM(B79:B80)</f>
        <v>1.1539999999990711</v>
      </c>
      <c r="C81" s="300">
        <f t="shared" ref="C81" si="172">SUM(C79:C80)</f>
        <v>0.27300000000492802</v>
      </c>
      <c r="D81" s="300">
        <f t="shared" ref="D81" si="173">SUM(D79:D80)</f>
        <v>0.46300000000635333</v>
      </c>
      <c r="E81" s="300">
        <f t="shared" si="167"/>
        <v>1.8900000000103523</v>
      </c>
      <c r="F81" s="300"/>
      <c r="G81" s="300">
        <f>SUM(G79:G80)</f>
        <v>2.3139999999990453</v>
      </c>
      <c r="H81" s="300">
        <f t="shared" ref="H81" si="174">SUM(H79:H80)</f>
        <v>0.21300000000348807</v>
      </c>
      <c r="I81" s="300">
        <f t="shared" ref="I81" si="175">SUM(I79:I80)</f>
        <v>0.46200000000634944</v>
      </c>
      <c r="J81" s="300">
        <f t="shared" si="168"/>
        <v>2.9890000000088826</v>
      </c>
      <c r="K81" s="300"/>
      <c r="L81" s="300">
        <f>SUM(L79:L80)</f>
        <v>2.1770000000059184</v>
      </c>
      <c r="M81" s="300">
        <f t="shared" ref="M81" si="176">SUM(M79:M80)</f>
        <v>0.35200000000009068</v>
      </c>
      <c r="N81" s="300">
        <f t="shared" ref="N81" si="177">SUM(N79:N80)</f>
        <v>0.52399999999841151</v>
      </c>
      <c r="O81" s="300">
        <f t="shared" si="169"/>
        <v>3.0530000000044208</v>
      </c>
      <c r="P81" s="300"/>
      <c r="Q81" s="300">
        <f>SUM(Q79:Q80)</f>
        <v>1.9310000000215144</v>
      </c>
      <c r="R81" s="300">
        <f t="shared" ref="R81" si="178">SUM(R79:R80)</f>
        <v>0.30100000000253979</v>
      </c>
      <c r="S81" s="300">
        <f t="shared" ref="S81" si="179">SUM(S79:S80)</f>
        <v>0.46800000000247843</v>
      </c>
      <c r="T81" s="300">
        <f t="shared" si="170"/>
        <v>2.7000000000265327</v>
      </c>
      <c r="U81" s="300"/>
      <c r="V81" s="300">
        <f>SUM(V79:V80)</f>
        <v>1.6760000000179851</v>
      </c>
      <c r="W81" s="300">
        <f t="shared" ref="W81" si="180">SUM(W79:W80)</f>
        <v>0.26500000000059132</v>
      </c>
      <c r="X81" s="300">
        <f t="shared" ref="X81" si="181">SUM(X79:X80)</f>
        <v>0.4100000000018334</v>
      </c>
      <c r="Y81" s="300">
        <f t="shared" si="171"/>
        <v>2.3510000000204099</v>
      </c>
    </row>
    <row r="82" spans="1:25" ht="12.45" x14ac:dyDescent="0.3">
      <c r="C82" s="319"/>
      <c r="D82" s="319"/>
      <c r="E82" s="319"/>
      <c r="F82" s="319"/>
      <c r="G82" s="319"/>
      <c r="H82" s="319"/>
      <c r="I82" s="319"/>
      <c r="J82" s="319"/>
      <c r="K82" s="319"/>
      <c r="L82" s="319"/>
      <c r="M82" s="319"/>
      <c r="N82" s="319"/>
      <c r="O82" s="319"/>
      <c r="P82" s="319"/>
      <c r="Q82" s="319"/>
      <c r="R82" s="319"/>
      <c r="S82" s="319"/>
      <c r="T82" s="319"/>
      <c r="U82" s="319"/>
      <c r="V82" s="319"/>
      <c r="W82" s="319"/>
      <c r="X82" s="319"/>
      <c r="Y82" s="319"/>
    </row>
    <row r="83" spans="1:25" ht="12.45" x14ac:dyDescent="0.3">
      <c r="A83" s="261" t="str">
        <f>name!A10</f>
        <v xml:space="preserve">Wood and cork </v>
      </c>
      <c r="C83" s="263"/>
    </row>
    <row r="84" spans="1:25" ht="12.45" x14ac:dyDescent="0.3">
      <c r="A84" s="260" t="s">
        <v>356</v>
      </c>
      <c r="B84" s="300">
        <v>0.93499999999004668</v>
      </c>
      <c r="C84" s="300">
        <v>0.73400000001458754</v>
      </c>
      <c r="D84" s="300">
        <v>9.300000000289807E-2</v>
      </c>
      <c r="E84" s="300">
        <f>SUM(B84:D84)</f>
        <v>1.7620000000075322</v>
      </c>
      <c r="F84" s="300"/>
      <c r="G84" s="300">
        <v>1.7109999999764496</v>
      </c>
      <c r="H84" s="300">
        <v>0.73600000001581101</v>
      </c>
      <c r="I84" s="300">
        <v>0.24800000000821815</v>
      </c>
      <c r="J84" s="300">
        <f>SUM(G84:I84)</f>
        <v>2.6950000000004786</v>
      </c>
      <c r="K84" s="300"/>
      <c r="L84" s="300">
        <v>1.6010000000030644</v>
      </c>
      <c r="M84" s="300">
        <v>0.49999999999382472</v>
      </c>
      <c r="N84" s="300">
        <v>4.6999999998408357E-2</v>
      </c>
      <c r="O84" s="300">
        <f>SUM(L84:N84)</f>
        <v>2.1479999999952977</v>
      </c>
      <c r="P84" s="300"/>
      <c r="Q84" s="300">
        <v>1.5320000000328986</v>
      </c>
      <c r="R84" s="300">
        <v>0.48000000000316717</v>
      </c>
      <c r="S84" s="300">
        <v>4.4999999999664718E-2</v>
      </c>
      <c r="T84" s="300">
        <f>SUM(Q84:S84)</f>
        <v>2.0570000000357305</v>
      </c>
      <c r="U84" s="300"/>
      <c r="V84" s="300">
        <v>1.422000000010367</v>
      </c>
      <c r="W84" s="300">
        <v>0.45099999999464668</v>
      </c>
      <c r="X84" s="300">
        <v>4.5000000001292929E-2</v>
      </c>
      <c r="Y84" s="300">
        <f>SUM(V84:X84)</f>
        <v>1.9180000000063064</v>
      </c>
    </row>
    <row r="85" spans="1:25" ht="12.45" x14ac:dyDescent="0.3">
      <c r="A85" s="260" t="s">
        <v>355</v>
      </c>
      <c r="B85" s="300">
        <v>4.5220000000009852</v>
      </c>
      <c r="C85" s="300">
        <v>0.20900000000216795</v>
      </c>
      <c r="D85" s="300">
        <v>0.9829999999768011</v>
      </c>
      <c r="E85" s="300">
        <f t="shared" ref="E85:E86" si="182">SUM(B85:D85)</f>
        <v>5.7139999999799542</v>
      </c>
      <c r="F85" s="300"/>
      <c r="G85" s="300">
        <v>7.6340000000305324</v>
      </c>
      <c r="H85" s="300">
        <v>0.53100000000651804</v>
      </c>
      <c r="I85" s="300">
        <v>0.92200000001374294</v>
      </c>
      <c r="J85" s="300">
        <f t="shared" ref="J85:J86" si="183">SUM(G85:I85)</f>
        <v>9.0870000000507929</v>
      </c>
      <c r="K85" s="300"/>
      <c r="L85" s="300">
        <v>7.17400000004322</v>
      </c>
      <c r="M85" s="300">
        <v>0.77800000000428948</v>
      </c>
      <c r="N85" s="300">
        <v>2.0249999999738639</v>
      </c>
      <c r="O85" s="300">
        <f t="shared" ref="O85:O86" si="184">SUM(L85:N85)</f>
        <v>9.9770000000213734</v>
      </c>
      <c r="P85" s="300"/>
      <c r="Q85" s="300">
        <v>6.7280000000762268</v>
      </c>
      <c r="R85" s="300">
        <v>0.7560000000052034</v>
      </c>
      <c r="S85" s="300">
        <v>1.8129999999140625</v>
      </c>
      <c r="T85" s="300">
        <f t="shared" ref="T85:T86" si="185">SUM(Q85:S85)</f>
        <v>9.2969999999954922</v>
      </c>
      <c r="U85" s="300"/>
      <c r="V85" s="300">
        <v>6.0910000000925839</v>
      </c>
      <c r="W85" s="300">
        <v>0.71700000000702035</v>
      </c>
      <c r="X85" s="300">
        <v>1.5919999999541561</v>
      </c>
      <c r="Y85" s="300">
        <f t="shared" ref="Y85:Y86" si="186">SUM(V85:X85)</f>
        <v>8.40000000005376</v>
      </c>
    </row>
    <row r="86" spans="1:25" ht="12.45" x14ac:dyDescent="0.3">
      <c r="A86" s="260" t="s">
        <v>354</v>
      </c>
      <c r="B86" s="300">
        <f>SUM(B84:B85)</f>
        <v>5.4569999999910319</v>
      </c>
      <c r="C86" s="300">
        <f t="shared" ref="C86" si="187">SUM(C84:C85)</f>
        <v>0.94300000001675555</v>
      </c>
      <c r="D86" s="300">
        <f t="shared" ref="D86" si="188">SUM(D84:D85)</f>
        <v>1.0759999999796992</v>
      </c>
      <c r="E86" s="300">
        <f t="shared" si="182"/>
        <v>7.4759999999874873</v>
      </c>
      <c r="F86" s="300"/>
      <c r="G86" s="300">
        <f>SUM(G84:G85)</f>
        <v>9.3450000000069817</v>
      </c>
      <c r="H86" s="300">
        <f t="shared" ref="H86" si="189">SUM(H84:H85)</f>
        <v>1.2670000000223292</v>
      </c>
      <c r="I86" s="300">
        <f t="shared" ref="I86" si="190">SUM(I84:I85)</f>
        <v>1.170000000021961</v>
      </c>
      <c r="J86" s="300">
        <f t="shared" si="183"/>
        <v>11.782000000051273</v>
      </c>
      <c r="K86" s="300"/>
      <c r="L86" s="300">
        <f>SUM(L84:L85)</f>
        <v>8.7750000000462851</v>
      </c>
      <c r="M86" s="300">
        <f t="shared" ref="M86" si="191">SUM(M84:M85)</f>
        <v>1.2779999999981142</v>
      </c>
      <c r="N86" s="300">
        <f t="shared" ref="N86" si="192">SUM(N84:N85)</f>
        <v>2.0719999999722725</v>
      </c>
      <c r="O86" s="300">
        <f t="shared" si="184"/>
        <v>12.125000000016671</v>
      </c>
      <c r="P86" s="300"/>
      <c r="Q86" s="300">
        <f>SUM(Q84:Q85)</f>
        <v>8.2600000001091249</v>
      </c>
      <c r="R86" s="300">
        <f t="shared" ref="R86" si="193">SUM(R84:R85)</f>
        <v>1.2360000000083706</v>
      </c>
      <c r="S86" s="300">
        <f t="shared" ref="S86" si="194">SUM(S84:S85)</f>
        <v>1.8579999999137271</v>
      </c>
      <c r="T86" s="300">
        <f t="shared" si="185"/>
        <v>11.354000000031222</v>
      </c>
      <c r="U86" s="300"/>
      <c r="V86" s="300">
        <f>SUM(V84:V85)</f>
        <v>7.5130000001029504</v>
      </c>
      <c r="W86" s="300">
        <f t="shared" ref="W86" si="195">SUM(W84:W85)</f>
        <v>1.168000000001667</v>
      </c>
      <c r="X86" s="300">
        <f t="shared" ref="X86" si="196">SUM(X84:X85)</f>
        <v>1.636999999955449</v>
      </c>
      <c r="Y86" s="300">
        <f t="shared" si="186"/>
        <v>10.318000000060067</v>
      </c>
    </row>
    <row r="87" spans="1:25" ht="12.45" x14ac:dyDescent="0.3">
      <c r="C87" s="319"/>
      <c r="D87" s="319"/>
      <c r="E87" s="319"/>
      <c r="F87" s="319"/>
      <c r="G87" s="319"/>
      <c r="H87" s="319"/>
      <c r="I87" s="319"/>
      <c r="J87" s="319"/>
      <c r="K87" s="319"/>
      <c r="L87" s="319"/>
      <c r="M87" s="319"/>
      <c r="N87" s="319"/>
      <c r="O87" s="319"/>
      <c r="P87" s="319"/>
      <c r="Q87" s="319"/>
      <c r="R87" s="319"/>
      <c r="S87" s="319"/>
      <c r="T87" s="319"/>
      <c r="U87" s="319"/>
      <c r="V87" s="319"/>
      <c r="W87" s="319"/>
      <c r="X87" s="319"/>
      <c r="Y87" s="319"/>
    </row>
    <row r="88" spans="1:25" ht="12.45" x14ac:dyDescent="0.3">
      <c r="A88" s="261" t="str">
        <f>name!A11</f>
        <v>Paper, etc</v>
      </c>
      <c r="C88" s="263"/>
    </row>
    <row r="89" spans="1:25" ht="12.45" x14ac:dyDescent="0.3">
      <c r="A89" s="260" t="s">
        <v>356</v>
      </c>
      <c r="B89" s="300">
        <v>0.7099999999923382</v>
      </c>
      <c r="C89" s="300">
        <v>0.22600000000375775</v>
      </c>
      <c r="D89" s="300">
        <v>0.10600000000119386</v>
      </c>
      <c r="E89" s="300">
        <f>SUM(B89:D89)</f>
        <v>1.0419999999972898</v>
      </c>
      <c r="F89" s="300"/>
      <c r="G89" s="300">
        <v>0.75199999998896261</v>
      </c>
      <c r="H89" s="300">
        <v>0.17700000000290758</v>
      </c>
      <c r="I89" s="300">
        <v>8.2000000000991585E-2</v>
      </c>
      <c r="J89" s="300">
        <f>SUM(G89:I89)</f>
        <v>1.0109999999928618</v>
      </c>
      <c r="K89" s="300"/>
      <c r="L89" s="300">
        <v>0.70299999999651108</v>
      </c>
      <c r="M89" s="300">
        <v>0.11999999999933511</v>
      </c>
      <c r="N89" s="300">
        <v>3.1999999999663742E-2</v>
      </c>
      <c r="O89" s="300">
        <f>SUM(L89:N89)</f>
        <v>0.85499999999550991</v>
      </c>
      <c r="P89" s="300"/>
      <c r="Q89" s="300">
        <v>0.6730000000181845</v>
      </c>
      <c r="R89" s="300">
        <v>0.11600000000096203</v>
      </c>
      <c r="S89" s="300">
        <v>3.1000000000004184E-2</v>
      </c>
      <c r="T89" s="300">
        <f>SUM(Q89:S89)</f>
        <v>0.82000000001915063</v>
      </c>
      <c r="U89" s="300"/>
      <c r="V89" s="300">
        <v>0.62500000000257416</v>
      </c>
      <c r="W89" s="300">
        <v>0.10899999999970866</v>
      </c>
      <c r="X89" s="300">
        <v>3.0999999999938944E-2</v>
      </c>
      <c r="Y89" s="300">
        <f>SUM(V89:X89)</f>
        <v>0.76500000000222179</v>
      </c>
    </row>
    <row r="90" spans="1:25" ht="12.45" x14ac:dyDescent="0.3">
      <c r="A90" s="260" t="s">
        <v>355</v>
      </c>
      <c r="B90" s="300">
        <v>3.2819999999925549</v>
      </c>
      <c r="C90" s="300">
        <v>0.17400000000111746</v>
      </c>
      <c r="D90" s="300">
        <v>0.64700000001010805</v>
      </c>
      <c r="E90" s="300">
        <f t="shared" ref="E90:E91" si="197">SUM(B90:D90)</f>
        <v>4.1030000000037798</v>
      </c>
      <c r="F90" s="300"/>
      <c r="G90" s="300">
        <v>3.2079999999980151</v>
      </c>
      <c r="H90" s="300">
        <v>0.34500000000263475</v>
      </c>
      <c r="I90" s="300">
        <v>0.36600000000240251</v>
      </c>
      <c r="J90" s="300">
        <f t="shared" ref="J90:J91" si="198">SUM(G90:I90)</f>
        <v>3.9190000000030527</v>
      </c>
      <c r="K90" s="300"/>
      <c r="L90" s="300">
        <v>3.0149999999982913</v>
      </c>
      <c r="M90" s="300">
        <v>0.50500000000200873</v>
      </c>
      <c r="N90" s="300">
        <v>6.1000000000730435E-2</v>
      </c>
      <c r="O90" s="300">
        <f t="shared" ref="O90:O91" si="199">SUM(L90:N90)</f>
        <v>3.5810000000010302</v>
      </c>
      <c r="P90" s="300"/>
      <c r="Q90" s="300">
        <v>2.8270000000069411</v>
      </c>
      <c r="R90" s="300">
        <v>0.49100000000202432</v>
      </c>
      <c r="S90" s="300">
        <v>6.5000000002019873E-2</v>
      </c>
      <c r="T90" s="300">
        <f t="shared" ref="T90:T91" si="200">SUM(Q90:S90)</f>
        <v>3.383000000010985</v>
      </c>
      <c r="U90" s="300"/>
      <c r="V90" s="300">
        <v>2.5600000000030994</v>
      </c>
      <c r="W90" s="300">
        <v>0.46600000000297448</v>
      </c>
      <c r="X90" s="300">
        <v>6.9000000001688627E-2</v>
      </c>
      <c r="Y90" s="300">
        <f t="shared" ref="Y90:Y91" si="201">SUM(V90:X90)</f>
        <v>3.0950000000077629</v>
      </c>
    </row>
    <row r="91" spans="1:25" ht="12.45" x14ac:dyDescent="0.3">
      <c r="A91" s="260" t="s">
        <v>354</v>
      </c>
      <c r="B91" s="300">
        <f>SUM(B89:B90)</f>
        <v>3.991999999984893</v>
      </c>
      <c r="C91" s="300">
        <f t="shared" ref="C91" si="202">SUM(C89:C90)</f>
        <v>0.40000000000487523</v>
      </c>
      <c r="D91" s="300">
        <f t="shared" ref="D91" si="203">SUM(D89:D90)</f>
        <v>0.75300000001130196</v>
      </c>
      <c r="E91" s="300">
        <f t="shared" si="197"/>
        <v>5.1450000000010707</v>
      </c>
      <c r="F91" s="300"/>
      <c r="G91" s="300">
        <f>SUM(G89:G90)</f>
        <v>3.9599999999869775</v>
      </c>
      <c r="H91" s="300">
        <f t="shared" ref="H91" si="204">SUM(H89:H90)</f>
        <v>0.52200000000554236</v>
      </c>
      <c r="I91" s="300">
        <f t="shared" ref="I91" si="205">SUM(I89:I90)</f>
        <v>0.44800000000339413</v>
      </c>
      <c r="J91" s="300">
        <f t="shared" si="198"/>
        <v>4.9299999999959141</v>
      </c>
      <c r="K91" s="300"/>
      <c r="L91" s="300">
        <f>SUM(L89:L90)</f>
        <v>3.7179999999948024</v>
      </c>
      <c r="M91" s="300">
        <f t="shared" ref="M91" si="206">SUM(M89:M90)</f>
        <v>0.62500000000134381</v>
      </c>
      <c r="N91" s="300">
        <f t="shared" ref="N91" si="207">SUM(N89:N90)</f>
        <v>9.3000000000394184E-2</v>
      </c>
      <c r="O91" s="300">
        <f t="shared" si="199"/>
        <v>4.4359999999965405</v>
      </c>
      <c r="P91" s="300"/>
      <c r="Q91" s="300">
        <f>SUM(Q89:Q90)</f>
        <v>3.5000000000251257</v>
      </c>
      <c r="R91" s="300">
        <f t="shared" ref="R91" si="208">SUM(R89:R90)</f>
        <v>0.60700000000298637</v>
      </c>
      <c r="S91" s="300">
        <f t="shared" ref="S91" si="209">SUM(S89:S90)</f>
        <v>9.600000000202405E-2</v>
      </c>
      <c r="T91" s="300">
        <f t="shared" si="200"/>
        <v>4.2030000000301362</v>
      </c>
      <c r="U91" s="300"/>
      <c r="V91" s="300">
        <f>SUM(V89:V90)</f>
        <v>3.1850000000056733</v>
      </c>
      <c r="W91" s="300">
        <f t="shared" ref="W91" si="210">SUM(W89:W90)</f>
        <v>0.57500000000268314</v>
      </c>
      <c r="X91" s="300">
        <f t="shared" ref="X91" si="211">SUM(X89:X90)</f>
        <v>0.10000000000162756</v>
      </c>
      <c r="Y91" s="300">
        <f t="shared" si="201"/>
        <v>3.8600000000099843</v>
      </c>
    </row>
    <row r="92" spans="1:25" ht="12.45" x14ac:dyDescent="0.3">
      <c r="C92" s="319"/>
      <c r="D92" s="319"/>
      <c r="E92" s="319"/>
      <c r="F92" s="319"/>
      <c r="G92" s="319"/>
      <c r="H92" s="319"/>
      <c r="I92" s="319"/>
      <c r="J92" s="319"/>
      <c r="K92" s="319"/>
      <c r="L92" s="319"/>
      <c r="M92" s="319"/>
      <c r="N92" s="319"/>
      <c r="O92" s="319"/>
      <c r="P92" s="319"/>
      <c r="Q92" s="319"/>
      <c r="R92" s="319"/>
      <c r="S92" s="319"/>
      <c r="T92" s="319"/>
      <c r="U92" s="319"/>
      <c r="V92" s="319"/>
      <c r="W92" s="319"/>
      <c r="X92" s="319"/>
      <c r="Y92" s="319"/>
    </row>
    <row r="93" spans="1:25" ht="12.45" x14ac:dyDescent="0.3">
      <c r="A93" s="261" t="str">
        <f>name!A12</f>
        <v>Printing and recording</v>
      </c>
      <c r="C93" s="263"/>
    </row>
    <row r="94" spans="1:25" ht="12.45" x14ac:dyDescent="0.3">
      <c r="A94" s="260" t="s">
        <v>356</v>
      </c>
      <c r="B94" s="300">
        <v>2.0789999999687265</v>
      </c>
      <c r="C94" s="300">
        <v>0.65400000001033065</v>
      </c>
      <c r="D94" s="300">
        <v>0.55100000000363603</v>
      </c>
      <c r="E94" s="300">
        <f>SUM(B94:D94)</f>
        <v>3.2839999999826932</v>
      </c>
      <c r="F94" s="300"/>
      <c r="G94" s="300">
        <v>1.9279999999649611</v>
      </c>
      <c r="H94" s="300">
        <v>1.2930000000208697</v>
      </c>
      <c r="I94" s="300">
        <v>2.7000000000225861E-2</v>
      </c>
      <c r="J94" s="300">
        <f>SUM(G94:I94)</f>
        <v>3.2479999999860567</v>
      </c>
      <c r="K94" s="300"/>
      <c r="L94" s="300">
        <v>1.6660000000029085</v>
      </c>
      <c r="M94" s="300">
        <v>1.0519999999941088</v>
      </c>
      <c r="N94" s="300">
        <v>0.11999999999929205</v>
      </c>
      <c r="O94" s="300">
        <f>SUM(L94:N94)</f>
        <v>2.8379999999963097</v>
      </c>
      <c r="P94" s="300"/>
      <c r="Q94" s="300">
        <v>1.645000000046186</v>
      </c>
      <c r="R94" s="300">
        <v>1.0440000000097513</v>
      </c>
      <c r="S94" s="300">
        <v>0.1180000000007161</v>
      </c>
      <c r="T94" s="300">
        <f>SUM(Q94:S94)</f>
        <v>2.8070000000566537</v>
      </c>
      <c r="U94" s="300"/>
      <c r="V94" s="300">
        <v>1.5700000000118597</v>
      </c>
      <c r="W94" s="300">
        <v>1.0069999999977017</v>
      </c>
      <c r="X94" s="300">
        <v>0.11200000000126287</v>
      </c>
      <c r="Y94" s="300">
        <f>SUM(V94:X94)</f>
        <v>2.6890000000108243</v>
      </c>
    </row>
    <row r="95" spans="1:25" ht="12.45" x14ac:dyDescent="0.3">
      <c r="A95" s="260" t="s">
        <v>355</v>
      </c>
      <c r="B95" s="300">
        <v>6.5339999999743572</v>
      </c>
      <c r="C95" s="300">
        <v>9.8000000000660628E-2</v>
      </c>
      <c r="D95" s="300">
        <v>1.0540000000262175</v>
      </c>
      <c r="E95" s="300">
        <f t="shared" ref="E95:E96" si="212">SUM(B95:D95)</f>
        <v>7.6860000000012354</v>
      </c>
      <c r="F95" s="300"/>
      <c r="G95" s="300">
        <v>6.1379999999809947</v>
      </c>
      <c r="H95" s="300">
        <v>0.89700000000716518</v>
      </c>
      <c r="I95" s="300">
        <v>0.30800000000127947</v>
      </c>
      <c r="J95" s="300">
        <f t="shared" ref="J95:J96" si="213">SUM(G95:I95)</f>
        <v>7.3429999999894395</v>
      </c>
      <c r="K95" s="300"/>
      <c r="L95" s="300">
        <v>5.4429999999789827</v>
      </c>
      <c r="M95" s="300">
        <v>1.2080000000051392</v>
      </c>
      <c r="N95" s="300">
        <v>0.39700000000763208</v>
      </c>
      <c r="O95" s="300">
        <f t="shared" ref="O95:O96" si="214">SUM(L95:N95)</f>
        <v>7.0479999999917542</v>
      </c>
      <c r="P95" s="300"/>
      <c r="Q95" s="300">
        <v>5.1829999999962011</v>
      </c>
      <c r="R95" s="300">
        <v>1.1900000000050255</v>
      </c>
      <c r="S95" s="300">
        <v>0.39700000002030428</v>
      </c>
      <c r="T95" s="300">
        <f t="shared" ref="T95:T96" si="215">SUM(Q95:S95)</f>
        <v>6.7700000000215308</v>
      </c>
      <c r="U95" s="300"/>
      <c r="V95" s="300">
        <v>4.6049999999896922</v>
      </c>
      <c r="W95" s="300">
        <v>1.1310000000066764</v>
      </c>
      <c r="X95" s="300">
        <v>0.39100000001468244</v>
      </c>
      <c r="Y95" s="300">
        <f t="shared" ref="Y95:Y96" si="216">SUM(V95:X95)</f>
        <v>6.1270000000110514</v>
      </c>
    </row>
    <row r="96" spans="1:25" ht="12.45" x14ac:dyDescent="0.3">
      <c r="A96" s="260" t="s">
        <v>354</v>
      </c>
      <c r="B96" s="300">
        <f>SUM(B94:B95)</f>
        <v>8.6129999999430833</v>
      </c>
      <c r="C96" s="300">
        <f t="shared" ref="C96" si="217">SUM(C94:C95)</f>
        <v>0.75200000001099132</v>
      </c>
      <c r="D96" s="300">
        <f t="shared" ref="D96" si="218">SUM(D94:D95)</f>
        <v>1.6050000000298534</v>
      </c>
      <c r="E96" s="300">
        <f t="shared" si="212"/>
        <v>10.969999999983928</v>
      </c>
      <c r="F96" s="300"/>
      <c r="G96" s="300">
        <f>SUM(G94:G95)</f>
        <v>8.0659999999459551</v>
      </c>
      <c r="H96" s="300">
        <f t="shared" ref="H96" si="219">SUM(H94:H95)</f>
        <v>2.1900000000280349</v>
      </c>
      <c r="I96" s="300">
        <f t="shared" ref="I96" si="220">SUM(I94:I95)</f>
        <v>0.33500000000150532</v>
      </c>
      <c r="J96" s="300">
        <f t="shared" si="213"/>
        <v>10.590999999975496</v>
      </c>
      <c r="K96" s="300"/>
      <c r="L96" s="300">
        <f>SUM(L94:L95)</f>
        <v>7.1089999999818909</v>
      </c>
      <c r="M96" s="300">
        <f t="shared" ref="M96" si="221">SUM(M94:M95)</f>
        <v>2.2599999999992479</v>
      </c>
      <c r="N96" s="300">
        <f t="shared" ref="N96" si="222">SUM(N94:N95)</f>
        <v>0.51700000000692414</v>
      </c>
      <c r="O96" s="300">
        <f t="shared" si="214"/>
        <v>9.8859999999880621</v>
      </c>
      <c r="P96" s="300"/>
      <c r="Q96" s="300">
        <f>SUM(Q94:Q95)</f>
        <v>6.8280000000423868</v>
      </c>
      <c r="R96" s="300">
        <f t="shared" ref="R96" si="223">SUM(R94:R95)</f>
        <v>2.2340000000147766</v>
      </c>
      <c r="S96" s="300">
        <f t="shared" ref="S96" si="224">SUM(S94:S95)</f>
        <v>0.51500000002102042</v>
      </c>
      <c r="T96" s="300">
        <f t="shared" si="215"/>
        <v>9.5770000000781845</v>
      </c>
      <c r="U96" s="300"/>
      <c r="V96" s="300">
        <f>SUM(V94:V95)</f>
        <v>6.1750000000015515</v>
      </c>
      <c r="W96" s="300">
        <f t="shared" ref="W96" si="225">SUM(W94:W95)</f>
        <v>2.1380000000043782</v>
      </c>
      <c r="X96" s="300">
        <f t="shared" ref="X96" si="226">SUM(X94:X95)</f>
        <v>0.50300000001594536</v>
      </c>
      <c r="Y96" s="300">
        <f t="shared" si="216"/>
        <v>8.8160000000218748</v>
      </c>
    </row>
    <row r="97" spans="1:25" x14ac:dyDescent="0.35">
      <c r="A97" s="262"/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ht="12.45" x14ac:dyDescent="0.3">
      <c r="A98" s="261" t="str">
        <f>name!A13</f>
        <v>Coke and petroleum; Chemicals, etc</v>
      </c>
      <c r="C98" s="263"/>
    </row>
    <row r="99" spans="1:25" ht="12.45" x14ac:dyDescent="0.3">
      <c r="A99" s="260" t="s">
        <v>356</v>
      </c>
      <c r="B99" s="300">
        <v>1.8699999999850097</v>
      </c>
      <c r="C99" s="300">
        <v>0.4900000000138155</v>
      </c>
      <c r="D99" s="300">
        <v>0.11000000000120579</v>
      </c>
      <c r="E99" s="300">
        <f>SUM(B99:D99)</f>
        <v>2.4700000000000308</v>
      </c>
      <c r="F99" s="300"/>
      <c r="G99" s="300">
        <v>2.0869999999743847</v>
      </c>
      <c r="H99" s="300">
        <v>0.28800000000751519</v>
      </c>
      <c r="I99" s="300">
        <v>0.21000000000254859</v>
      </c>
      <c r="J99" s="300">
        <f>SUM(G99:I99)</f>
        <v>2.5849999999844484</v>
      </c>
      <c r="K99" s="300"/>
      <c r="L99" s="300">
        <v>1.9509999999837262</v>
      </c>
      <c r="M99" s="300">
        <v>0.33399999999864016</v>
      </c>
      <c r="N99" s="300">
        <v>0.11199999999911625</v>
      </c>
      <c r="O99" s="300">
        <f>SUM(L99:N99)</f>
        <v>2.3969999999814826</v>
      </c>
      <c r="P99" s="300"/>
      <c r="Q99" s="300">
        <v>1.8990000000475535</v>
      </c>
      <c r="R99" s="300">
        <v>0.32600000000588253</v>
      </c>
      <c r="S99" s="300">
        <v>0.10500000000000266</v>
      </c>
      <c r="T99" s="300">
        <f>SUM(Q99:S99)</f>
        <v>2.3300000000534387</v>
      </c>
      <c r="U99" s="300"/>
      <c r="V99" s="300">
        <v>1.728000000000951</v>
      </c>
      <c r="W99" s="300">
        <v>0.29699999999821092</v>
      </c>
      <c r="X99" s="300">
        <v>8.9999999999923225E-2</v>
      </c>
      <c r="Y99" s="300">
        <f>SUM(V99:X99)</f>
        <v>2.1149999999990849</v>
      </c>
    </row>
    <row r="100" spans="1:25" ht="12.45" x14ac:dyDescent="0.3">
      <c r="A100" s="260" t="s">
        <v>355</v>
      </c>
      <c r="B100" s="300">
        <v>5.7349999999760559</v>
      </c>
      <c r="C100" s="300">
        <v>7.9000000000355369E-2</v>
      </c>
      <c r="D100" s="300">
        <v>0.42800000000134142</v>
      </c>
      <c r="E100" s="300">
        <f t="shared" ref="E100:E101" si="227">SUM(B100:D100)</f>
        <v>6.241999999977752</v>
      </c>
      <c r="F100" s="300"/>
      <c r="G100" s="300">
        <v>6.6759999999769155</v>
      </c>
      <c r="H100" s="300">
        <v>6.5000000000295446E-2</v>
      </c>
      <c r="I100" s="300">
        <v>0.6350000000047904</v>
      </c>
      <c r="J100" s="300">
        <f t="shared" ref="J100:J101" si="228">SUM(G100:I100)</f>
        <v>7.3759999999820014</v>
      </c>
      <c r="K100" s="300"/>
      <c r="L100" s="300">
        <v>6.2109999999728007</v>
      </c>
      <c r="M100" s="300">
        <v>0.15700000000101982</v>
      </c>
      <c r="N100" s="300">
        <v>0.63500000000237367</v>
      </c>
      <c r="O100" s="300">
        <f t="shared" ref="O100:O101" si="229">SUM(L100:N100)</f>
        <v>7.0029999999761943</v>
      </c>
      <c r="P100" s="300"/>
      <c r="Q100" s="300">
        <v>5.8609999999921065</v>
      </c>
      <c r="R100" s="300">
        <v>0.15300000000078473</v>
      </c>
      <c r="S100" s="300">
        <v>0.60600000000320753</v>
      </c>
      <c r="T100" s="300">
        <f t="shared" ref="T100:T101" si="230">SUM(Q100:S100)</f>
        <v>6.6199999999960983</v>
      </c>
      <c r="U100" s="300"/>
      <c r="V100" s="300">
        <v>5.0249999999788679</v>
      </c>
      <c r="W100" s="300">
        <v>0.14000000000143989</v>
      </c>
      <c r="X100" s="300">
        <v>0.5310000000007099</v>
      </c>
      <c r="Y100" s="300">
        <f t="shared" ref="Y100:Y101" si="231">SUM(V100:X100)</f>
        <v>5.6959999999810185</v>
      </c>
    </row>
    <row r="101" spans="1:25" ht="12.45" x14ac:dyDescent="0.3">
      <c r="A101" s="260" t="s">
        <v>354</v>
      </c>
      <c r="B101" s="300">
        <f>SUM(B99:B100)</f>
        <v>7.6049999999610653</v>
      </c>
      <c r="C101" s="300">
        <f t="shared" ref="C101" si="232">SUM(C99:C100)</f>
        <v>0.56900000001417084</v>
      </c>
      <c r="D101" s="300">
        <f t="shared" ref="D101" si="233">SUM(D99:D100)</f>
        <v>0.53800000000254722</v>
      </c>
      <c r="E101" s="300">
        <f t="shared" si="227"/>
        <v>8.7119999999777846</v>
      </c>
      <c r="F101" s="300"/>
      <c r="G101" s="300">
        <f>SUM(G99:G100)</f>
        <v>8.7629999999513011</v>
      </c>
      <c r="H101" s="300">
        <f t="shared" ref="H101" si="234">SUM(H99:H100)</f>
        <v>0.35300000000781062</v>
      </c>
      <c r="I101" s="300">
        <f t="shared" ref="I101" si="235">SUM(I99:I100)</f>
        <v>0.84500000000733899</v>
      </c>
      <c r="J101" s="300">
        <f t="shared" si="228"/>
        <v>9.9609999999664502</v>
      </c>
      <c r="K101" s="300"/>
      <c r="L101" s="300">
        <f>SUM(L99:L100)</f>
        <v>8.1619999999565263</v>
      </c>
      <c r="M101" s="300">
        <f t="shared" ref="M101" si="236">SUM(M99:M100)</f>
        <v>0.49099999999965999</v>
      </c>
      <c r="N101" s="300">
        <f t="shared" ref="N101" si="237">SUM(N99:N100)</f>
        <v>0.74700000000148992</v>
      </c>
      <c r="O101" s="300">
        <f t="shared" si="229"/>
        <v>9.3999999999576769</v>
      </c>
      <c r="P101" s="300"/>
      <c r="Q101" s="300">
        <f>SUM(Q99:Q100)</f>
        <v>7.7600000000396605</v>
      </c>
      <c r="R101" s="300">
        <f t="shared" ref="R101" si="238">SUM(R99:R100)</f>
        <v>0.47900000000666726</v>
      </c>
      <c r="S101" s="300">
        <f t="shared" ref="S101" si="239">SUM(S99:S100)</f>
        <v>0.71100000000321018</v>
      </c>
      <c r="T101" s="300">
        <f t="shared" si="230"/>
        <v>8.9500000000495383</v>
      </c>
      <c r="U101" s="300"/>
      <c r="V101" s="300">
        <f>SUM(V99:V100)</f>
        <v>6.7529999999798189</v>
      </c>
      <c r="W101" s="300">
        <f t="shared" ref="W101" si="240">SUM(W99:W100)</f>
        <v>0.43699999999965078</v>
      </c>
      <c r="X101" s="300">
        <f t="shared" ref="X101" si="241">SUM(X99:X100)</f>
        <v>0.62100000000063316</v>
      </c>
      <c r="Y101" s="300">
        <f t="shared" si="231"/>
        <v>7.810999999980103</v>
      </c>
    </row>
    <row r="102" spans="1:25" ht="12.45" x14ac:dyDescent="0.3">
      <c r="C102" s="319"/>
      <c r="D102" s="319"/>
      <c r="E102" s="319"/>
      <c r="F102" s="319"/>
      <c r="G102" s="319"/>
      <c r="H102" s="319"/>
      <c r="I102" s="319"/>
      <c r="J102" s="319"/>
      <c r="K102" s="319"/>
      <c r="L102" s="319"/>
      <c r="M102" s="319"/>
      <c r="N102" s="319"/>
      <c r="O102" s="319"/>
      <c r="P102" s="319"/>
      <c r="Q102" s="319"/>
      <c r="R102" s="319"/>
      <c r="S102" s="319"/>
      <c r="T102" s="319"/>
      <c r="U102" s="319"/>
      <c r="V102" s="319"/>
      <c r="W102" s="319"/>
      <c r="X102" s="319"/>
      <c r="Y102" s="319"/>
    </row>
    <row r="103" spans="1:25" ht="12.45" x14ac:dyDescent="0.3">
      <c r="A103" s="261" t="str">
        <f>name!A14</f>
        <v>Pharmaceuticals</v>
      </c>
      <c r="C103" s="263"/>
    </row>
    <row r="104" spans="1:25" ht="12.45" x14ac:dyDescent="0.3">
      <c r="A104" s="260" t="s">
        <v>356</v>
      </c>
      <c r="B104" s="300">
        <v>1.7329999999770884</v>
      </c>
      <c r="C104" s="300">
        <v>0.31700000000313749</v>
      </c>
      <c r="D104" s="300">
        <v>0.34100000001109831</v>
      </c>
      <c r="E104" s="300">
        <f>SUM(B104:D104)</f>
        <v>2.3909999999913243</v>
      </c>
      <c r="F104" s="300"/>
      <c r="G104" s="300">
        <v>1.7259999999746578</v>
      </c>
      <c r="H104" s="300">
        <v>0.13200000000149875</v>
      </c>
      <c r="I104" s="300">
        <v>8.4000000002730862E-2</v>
      </c>
      <c r="J104" s="300">
        <f>SUM(G104:I104)</f>
        <v>1.9419999999788873</v>
      </c>
      <c r="K104" s="300"/>
      <c r="L104" s="300">
        <v>1.7190000000136196</v>
      </c>
      <c r="M104" s="300">
        <v>0.13499999999926149</v>
      </c>
      <c r="N104" s="300">
        <v>4.1999999998525807E-2</v>
      </c>
      <c r="O104" s="300">
        <f>SUM(L104:N104)</f>
        <v>1.896000000011407</v>
      </c>
      <c r="P104" s="300"/>
      <c r="Q104" s="300">
        <v>1.9400000000367876</v>
      </c>
      <c r="R104" s="300">
        <v>0.16500000000091034</v>
      </c>
      <c r="S104" s="300">
        <v>5.0999999999410232E-2</v>
      </c>
      <c r="T104" s="300">
        <f>SUM(Q104:S104)</f>
        <v>2.1560000000371082</v>
      </c>
      <c r="U104" s="300"/>
      <c r="V104" s="300">
        <v>1.8970000000198211</v>
      </c>
      <c r="W104" s="300">
        <v>0.18799999999891565</v>
      </c>
      <c r="X104" s="300">
        <v>5.7999999999195688E-2</v>
      </c>
      <c r="Y104" s="300">
        <f>SUM(V104:X104)</f>
        <v>2.1430000000179321</v>
      </c>
    </row>
    <row r="105" spans="1:25" ht="12.45" x14ac:dyDescent="0.3">
      <c r="A105" s="260" t="s">
        <v>355</v>
      </c>
      <c r="B105" s="300">
        <v>2.9709999999875589</v>
      </c>
      <c r="C105" s="300">
        <v>9.3000000000520611E-2</v>
      </c>
      <c r="D105" s="300">
        <v>0.30400000001387711</v>
      </c>
      <c r="E105" s="300">
        <f t="shared" ref="E105:E106" si="242">SUM(B105:D105)</f>
        <v>3.3680000000019565</v>
      </c>
      <c r="F105" s="300"/>
      <c r="G105" s="300">
        <v>2.8209999999882984</v>
      </c>
      <c r="H105" s="300">
        <v>4.6000000000295603E-2</v>
      </c>
      <c r="I105" s="300">
        <v>0.37100000000148942</v>
      </c>
      <c r="J105" s="300">
        <f t="shared" ref="J105:J106" si="243">SUM(G105:I105)</f>
        <v>3.2379999999900835</v>
      </c>
      <c r="K105" s="300"/>
      <c r="L105" s="300">
        <v>2.8759999999843111</v>
      </c>
      <c r="M105" s="300">
        <v>3.2000000000287618E-2</v>
      </c>
      <c r="N105" s="300">
        <v>0.51399999999988011</v>
      </c>
      <c r="O105" s="300">
        <f t="shared" ref="O105:O106" si="244">SUM(L105:N105)</f>
        <v>3.4219999999844788</v>
      </c>
      <c r="P105" s="300"/>
      <c r="Q105" s="300">
        <v>3.2979999999879008</v>
      </c>
      <c r="R105" s="300">
        <v>4.2000000000298299E-2</v>
      </c>
      <c r="S105" s="300">
        <v>0.61699999999079724</v>
      </c>
      <c r="T105" s="300">
        <f t="shared" ref="T105:T106" si="245">SUM(Q105:S105)</f>
        <v>3.9569999999789962</v>
      </c>
      <c r="U105" s="300"/>
      <c r="V105" s="300">
        <v>3.3649999999796441</v>
      </c>
      <c r="W105" s="300">
        <v>5.3000000000599137E-2</v>
      </c>
      <c r="X105" s="300">
        <v>0.68599999999251848</v>
      </c>
      <c r="Y105" s="300">
        <f t="shared" ref="Y105:Y106" si="246">SUM(V105:X105)</f>
        <v>4.1039999999727614</v>
      </c>
    </row>
    <row r="106" spans="1:25" ht="12.45" x14ac:dyDescent="0.3">
      <c r="A106" s="260" t="s">
        <v>354</v>
      </c>
      <c r="B106" s="300">
        <f>SUM(B104:B105)</f>
        <v>4.7039999999646476</v>
      </c>
      <c r="C106" s="300">
        <f t="shared" ref="C106" si="247">SUM(C104:C105)</f>
        <v>0.4100000000036581</v>
      </c>
      <c r="D106" s="300">
        <f t="shared" ref="D106" si="248">SUM(D104:D105)</f>
        <v>0.64500000002497537</v>
      </c>
      <c r="E106" s="300">
        <f t="shared" si="242"/>
        <v>5.7589999999932804</v>
      </c>
      <c r="F106" s="300"/>
      <c r="G106" s="300">
        <f>SUM(G104:G105)</f>
        <v>4.5469999999629565</v>
      </c>
      <c r="H106" s="300">
        <f t="shared" ref="H106" si="249">SUM(H104:H105)</f>
        <v>0.17800000000179436</v>
      </c>
      <c r="I106" s="300">
        <f t="shared" ref="I106" si="250">SUM(I104:I105)</f>
        <v>0.45500000000422025</v>
      </c>
      <c r="J106" s="300">
        <f t="shared" si="243"/>
        <v>5.1799999999689703</v>
      </c>
      <c r="K106" s="300"/>
      <c r="L106" s="300">
        <f>SUM(L104:L105)</f>
        <v>4.5949999999979312</v>
      </c>
      <c r="M106" s="300">
        <f t="shared" ref="M106" si="251">SUM(M104:M105)</f>
        <v>0.16699999999954912</v>
      </c>
      <c r="N106" s="300">
        <f t="shared" ref="N106" si="252">SUM(N104:N105)</f>
        <v>0.55599999999840588</v>
      </c>
      <c r="O106" s="300">
        <f t="shared" si="244"/>
        <v>5.3179999999958865</v>
      </c>
      <c r="P106" s="300"/>
      <c r="Q106" s="300">
        <f>SUM(Q104:Q105)</f>
        <v>5.2380000000246882</v>
      </c>
      <c r="R106" s="300">
        <f t="shared" ref="R106" si="253">SUM(R104:R105)</f>
        <v>0.20700000000120863</v>
      </c>
      <c r="S106" s="300">
        <f t="shared" ref="S106" si="254">SUM(S104:S105)</f>
        <v>0.66799999999020743</v>
      </c>
      <c r="T106" s="300">
        <f t="shared" si="245"/>
        <v>6.113000000016104</v>
      </c>
      <c r="U106" s="300"/>
      <c r="V106" s="300">
        <f>SUM(V104:V105)</f>
        <v>5.2619999999994649</v>
      </c>
      <c r="W106" s="300">
        <f t="shared" ref="W106" si="255">SUM(W104:W105)</f>
        <v>0.24099999999951477</v>
      </c>
      <c r="X106" s="300">
        <f t="shared" ref="X106" si="256">SUM(X104:X105)</f>
        <v>0.74399999999171418</v>
      </c>
      <c r="Y106" s="300">
        <f t="shared" si="246"/>
        <v>6.2469999999906936</v>
      </c>
    </row>
    <row r="107" spans="1:25" ht="12.45" x14ac:dyDescent="0.3">
      <c r="C107" s="319"/>
      <c r="D107" s="319"/>
      <c r="E107" s="319"/>
      <c r="F107" s="319"/>
      <c r="G107" s="319"/>
      <c r="H107" s="319"/>
      <c r="I107" s="319"/>
      <c r="J107" s="319"/>
      <c r="K107" s="319"/>
      <c r="L107" s="319"/>
      <c r="M107" s="319"/>
      <c r="N107" s="319"/>
      <c r="O107" s="319"/>
      <c r="P107" s="319"/>
      <c r="Q107" s="319"/>
      <c r="R107" s="319"/>
      <c r="S107" s="319"/>
      <c r="T107" s="319"/>
      <c r="U107" s="319"/>
      <c r="V107" s="319"/>
      <c r="W107" s="319"/>
      <c r="X107" s="319"/>
      <c r="Y107" s="319"/>
    </row>
    <row r="108" spans="1:25" ht="12.45" x14ac:dyDescent="0.3">
      <c r="A108" s="261" t="str">
        <f>name!A15</f>
        <v>Rubber and plastic</v>
      </c>
      <c r="C108" s="263"/>
    </row>
    <row r="109" spans="1:25" ht="12.45" x14ac:dyDescent="0.3">
      <c r="A109" s="260" t="s">
        <v>356</v>
      </c>
      <c r="B109" s="300">
        <v>3.2109999999764369</v>
      </c>
      <c r="C109" s="300">
        <v>1.2460000000285651</v>
      </c>
      <c r="D109" s="300">
        <v>0.6080000000105148</v>
      </c>
      <c r="E109" s="300">
        <f>SUM(B109:D109)</f>
        <v>5.0650000000155169</v>
      </c>
      <c r="F109" s="300"/>
      <c r="G109" s="300">
        <v>2.901999999962964</v>
      </c>
      <c r="H109" s="300">
        <v>1.1050000000257481</v>
      </c>
      <c r="I109" s="300">
        <v>3.4000000000572093E-2</v>
      </c>
      <c r="J109" s="300">
        <f>SUM(G109:I109)</f>
        <v>4.0409999999892836</v>
      </c>
      <c r="K109" s="300"/>
      <c r="L109" s="300">
        <v>2.9529999999689789</v>
      </c>
      <c r="M109" s="300">
        <v>1.3049999999859747</v>
      </c>
      <c r="N109" s="300">
        <v>0.10199999999815346</v>
      </c>
      <c r="O109" s="300">
        <f>SUM(L109:N109)</f>
        <v>4.3599999999531072</v>
      </c>
      <c r="P109" s="300"/>
      <c r="Q109" s="300">
        <v>2.8820000000803927</v>
      </c>
      <c r="R109" s="300">
        <v>1.3260000000134209</v>
      </c>
      <c r="S109" s="300">
        <v>9.899999999977141E-2</v>
      </c>
      <c r="T109" s="300">
        <f>SUM(Q109:S109)</f>
        <v>4.3070000000935842</v>
      </c>
      <c r="U109" s="300"/>
      <c r="V109" s="300">
        <v>2.6089999999995381</v>
      </c>
      <c r="W109" s="300">
        <v>1.3049999999841391</v>
      </c>
      <c r="X109" s="300">
        <v>9.0000000002775721E-2</v>
      </c>
      <c r="Y109" s="300">
        <f>SUM(V109:X109)</f>
        <v>4.0039999999864531</v>
      </c>
    </row>
    <row r="110" spans="1:25" ht="12.45" x14ac:dyDescent="0.3">
      <c r="A110" s="260" t="s">
        <v>355</v>
      </c>
      <c r="B110" s="300">
        <v>12.243999999984966</v>
      </c>
      <c r="C110" s="300">
        <v>0.35700000000309356</v>
      </c>
      <c r="D110" s="300">
        <v>1.2459999999746549</v>
      </c>
      <c r="E110" s="300">
        <f t="shared" ref="E110:E111" si="257">SUM(B110:D110)</f>
        <v>13.846999999962716</v>
      </c>
      <c r="F110" s="300"/>
      <c r="G110" s="300">
        <v>10.865000000015971</v>
      </c>
      <c r="H110" s="300">
        <v>0.39800000000399305</v>
      </c>
      <c r="I110" s="300">
        <v>0.69500000000780604</v>
      </c>
      <c r="J110" s="300">
        <f t="shared" ref="J110:J111" si="258">SUM(G110:I110)</f>
        <v>11.95800000002777</v>
      </c>
      <c r="K110" s="300"/>
      <c r="L110" s="300">
        <v>10.662000000026158</v>
      </c>
      <c r="M110" s="300">
        <v>1.0540000000069076</v>
      </c>
      <c r="N110" s="300">
        <v>0.67599999999416582</v>
      </c>
      <c r="O110" s="300">
        <f t="shared" ref="O110:O111" si="259">SUM(L110:N110)</f>
        <v>12.392000000027233</v>
      </c>
      <c r="P110" s="300"/>
      <c r="Q110" s="300">
        <v>10.645000000070853</v>
      </c>
      <c r="R110" s="300">
        <v>1.0780000000076142</v>
      </c>
      <c r="S110" s="300">
        <v>0.67699999997427485</v>
      </c>
      <c r="T110" s="300">
        <f t="shared" ref="T110:T111" si="260">SUM(Q110:S110)</f>
        <v>12.400000000052742</v>
      </c>
      <c r="U110" s="300"/>
      <c r="V110" s="300">
        <v>10.015000000078276</v>
      </c>
      <c r="W110" s="300">
        <v>1.0510000000118176</v>
      </c>
      <c r="X110" s="300">
        <v>0.66599999998609527</v>
      </c>
      <c r="Y110" s="300">
        <f t="shared" ref="Y110:Y111" si="261">SUM(V110:X110)</f>
        <v>11.732000000076189</v>
      </c>
    </row>
    <row r="111" spans="1:25" ht="12.45" x14ac:dyDescent="0.3">
      <c r="A111" s="260" t="s">
        <v>354</v>
      </c>
      <c r="B111" s="300">
        <f>SUM(B109:B110)</f>
        <v>15.454999999961403</v>
      </c>
      <c r="C111" s="300">
        <f t="shared" ref="C111" si="262">SUM(C109:C110)</f>
        <v>1.6030000000316587</v>
      </c>
      <c r="D111" s="300">
        <f t="shared" ref="D111" si="263">SUM(D109:D110)</f>
        <v>1.8539999999851697</v>
      </c>
      <c r="E111" s="300">
        <f t="shared" si="257"/>
        <v>18.911999999978232</v>
      </c>
      <c r="F111" s="300"/>
      <c r="G111" s="300">
        <f>SUM(G109:G110)</f>
        <v>13.766999999978935</v>
      </c>
      <c r="H111" s="300">
        <f t="shared" ref="H111" si="264">SUM(H109:H110)</f>
        <v>1.5030000000297412</v>
      </c>
      <c r="I111" s="300">
        <f t="shared" ref="I111" si="265">SUM(I109:I110)</f>
        <v>0.72900000000837817</v>
      </c>
      <c r="J111" s="300">
        <f t="shared" si="258"/>
        <v>15.999000000017055</v>
      </c>
      <c r="K111" s="300"/>
      <c r="L111" s="300">
        <f>SUM(L109:L110)</f>
        <v>13.614999999995137</v>
      </c>
      <c r="M111" s="300">
        <f t="shared" ref="M111" si="266">SUM(M109:M110)</f>
        <v>2.3589999999928821</v>
      </c>
      <c r="N111" s="300">
        <f t="shared" ref="N111" si="267">SUM(N109:N110)</f>
        <v>0.77799999999231928</v>
      </c>
      <c r="O111" s="300">
        <f t="shared" si="259"/>
        <v>16.751999999980338</v>
      </c>
      <c r="P111" s="300"/>
      <c r="Q111" s="300">
        <f>SUM(Q109:Q110)</f>
        <v>13.527000000151245</v>
      </c>
      <c r="R111" s="300">
        <f t="shared" ref="R111" si="268">SUM(R109:R110)</f>
        <v>2.4040000000210351</v>
      </c>
      <c r="S111" s="300">
        <f t="shared" ref="S111" si="269">SUM(S109:S110)</f>
        <v>0.77599999997404623</v>
      </c>
      <c r="T111" s="300">
        <f t="shared" si="260"/>
        <v>16.707000000146326</v>
      </c>
      <c r="U111" s="300"/>
      <c r="V111" s="300">
        <f>SUM(V109:V110)</f>
        <v>12.624000000077814</v>
      </c>
      <c r="W111" s="300">
        <f t="shared" ref="W111" si="270">SUM(W109:W110)</f>
        <v>2.3559999999959569</v>
      </c>
      <c r="X111" s="300">
        <f t="shared" ref="X111" si="271">SUM(X109:X110)</f>
        <v>0.75599999998887102</v>
      </c>
      <c r="Y111" s="300">
        <f t="shared" si="261"/>
        <v>15.736000000062642</v>
      </c>
    </row>
    <row r="112" spans="1:25" ht="12.45" x14ac:dyDescent="0.3">
      <c r="C112" s="319"/>
      <c r="D112" s="319"/>
      <c r="E112" s="319"/>
      <c r="F112" s="319"/>
      <c r="G112" s="319"/>
      <c r="H112" s="319"/>
      <c r="I112" s="319"/>
      <c r="J112" s="319"/>
      <c r="K112" s="319"/>
      <c r="L112" s="319"/>
      <c r="M112" s="319"/>
      <c r="N112" s="319"/>
      <c r="O112" s="319"/>
      <c r="P112" s="319"/>
      <c r="Q112" s="319"/>
      <c r="R112" s="319"/>
      <c r="S112" s="319"/>
      <c r="T112" s="319"/>
      <c r="U112" s="319"/>
      <c r="V112" s="319"/>
      <c r="W112" s="319"/>
      <c r="X112" s="319"/>
      <c r="Y112" s="319"/>
    </row>
    <row r="113" spans="1:25" ht="12.45" x14ac:dyDescent="0.3">
      <c r="A113" s="261" t="str">
        <f>name!A16</f>
        <v>Other non-metallic</v>
      </c>
      <c r="C113" s="263"/>
    </row>
    <row r="114" spans="1:25" ht="12.45" x14ac:dyDescent="0.3">
      <c r="A114" s="260" t="s">
        <v>356</v>
      </c>
      <c r="B114" s="300">
        <v>0.56199999999345651</v>
      </c>
      <c r="C114" s="300">
        <v>1.0040000000356888</v>
      </c>
      <c r="D114" s="300">
        <v>0.12800000000255057</v>
      </c>
      <c r="E114" s="300">
        <f>SUM(B114:D114)</f>
        <v>1.6940000000316959</v>
      </c>
      <c r="F114" s="300"/>
      <c r="G114" s="300">
        <v>0.6899999999895724</v>
      </c>
      <c r="H114" s="300">
        <v>0.29900000001013399</v>
      </c>
      <c r="I114" s="300">
        <v>0.24900000000512182</v>
      </c>
      <c r="J114" s="300">
        <f>SUM(G114:I114)</f>
        <v>1.2380000000048281</v>
      </c>
      <c r="K114" s="300"/>
      <c r="L114" s="300">
        <v>0.70199999999913332</v>
      </c>
      <c r="M114" s="300">
        <v>0.35299999999798071</v>
      </c>
      <c r="N114" s="300">
        <v>2.6999999999420446E-2</v>
      </c>
      <c r="O114" s="300">
        <f>SUM(L114:N114)</f>
        <v>1.0819999999965344</v>
      </c>
      <c r="P114" s="300"/>
      <c r="Q114" s="300">
        <v>0.68500000001738237</v>
      </c>
      <c r="R114" s="300">
        <v>0.35800000000914528</v>
      </c>
      <c r="S114" s="300">
        <v>2.5999999999898875E-2</v>
      </c>
      <c r="T114" s="300">
        <f>SUM(Q114:S114)</f>
        <v>1.0690000000264264</v>
      </c>
      <c r="U114" s="300"/>
      <c r="V114" s="300">
        <v>0.62000000000315214</v>
      </c>
      <c r="W114" s="300">
        <v>0.35299999999556902</v>
      </c>
      <c r="X114" s="300">
        <v>2.3999999999908719E-2</v>
      </c>
      <c r="Y114" s="300">
        <f>SUM(V114:X114)</f>
        <v>0.99699999999862987</v>
      </c>
    </row>
    <row r="115" spans="1:25" ht="12.45" x14ac:dyDescent="0.3">
      <c r="A115" s="260" t="s">
        <v>355</v>
      </c>
      <c r="B115" s="300">
        <v>3.5159999999953224</v>
      </c>
      <c r="C115" s="300">
        <v>0.17099999999874943</v>
      </c>
      <c r="D115" s="300">
        <v>0.41999999999624699</v>
      </c>
      <c r="E115" s="300">
        <f t="shared" ref="E115:E116" si="272">SUM(B115:D115)</f>
        <v>4.1069999999903191</v>
      </c>
      <c r="F115" s="300"/>
      <c r="G115" s="300">
        <v>4.2360000000057232</v>
      </c>
      <c r="H115" s="300">
        <v>6.3999999999487842E-2</v>
      </c>
      <c r="I115" s="300">
        <v>0.29300000000307214</v>
      </c>
      <c r="J115" s="300">
        <f t="shared" ref="J115:J116" si="273">SUM(G115:I115)</f>
        <v>4.5930000000082831</v>
      </c>
      <c r="K115" s="300"/>
      <c r="L115" s="300">
        <v>4.1570000000101315</v>
      </c>
      <c r="M115" s="300">
        <v>0.16899999999949525</v>
      </c>
      <c r="N115" s="300">
        <v>0.14999999999881403</v>
      </c>
      <c r="O115" s="300">
        <f t="shared" ref="O115:O116" si="274">SUM(L115:N115)</f>
        <v>4.4760000000084403</v>
      </c>
      <c r="P115" s="300"/>
      <c r="Q115" s="300">
        <v>4.1500000000282293</v>
      </c>
      <c r="R115" s="300">
        <v>0.17299999999891968</v>
      </c>
      <c r="S115" s="300">
        <v>0.16999999999514959</v>
      </c>
      <c r="T115" s="300">
        <f t="shared" ref="T115:T116" si="275">SUM(Q115:S115)</f>
        <v>4.4930000000222989</v>
      </c>
      <c r="U115" s="300"/>
      <c r="V115" s="300">
        <v>3.9040000000308059</v>
      </c>
      <c r="W115" s="300">
        <v>0.16899999999882226</v>
      </c>
      <c r="X115" s="300">
        <v>0.18899999999713252</v>
      </c>
      <c r="Y115" s="300">
        <f t="shared" ref="Y115:Y116" si="276">SUM(V115:X115)</f>
        <v>4.2620000000267604</v>
      </c>
    </row>
    <row r="116" spans="1:25" ht="12.45" x14ac:dyDescent="0.3">
      <c r="A116" s="260" t="s">
        <v>354</v>
      </c>
      <c r="B116" s="300">
        <f>SUM(B114:B115)</f>
        <v>4.077999999988779</v>
      </c>
      <c r="C116" s="300">
        <f t="shared" ref="C116" si="277">SUM(C114:C115)</f>
        <v>1.1750000000344383</v>
      </c>
      <c r="D116" s="300">
        <f t="shared" ref="D116" si="278">SUM(D114:D115)</f>
        <v>0.54799999999879756</v>
      </c>
      <c r="E116" s="300">
        <f t="shared" si="272"/>
        <v>5.8010000000220145</v>
      </c>
      <c r="F116" s="300"/>
      <c r="G116" s="300">
        <f>SUM(G114:G115)</f>
        <v>4.9259999999952955</v>
      </c>
      <c r="H116" s="300">
        <f t="shared" ref="H116" si="279">SUM(H114:H115)</f>
        <v>0.36300000000962185</v>
      </c>
      <c r="I116" s="300">
        <f t="shared" ref="I116" si="280">SUM(I114:I115)</f>
        <v>0.54200000000819393</v>
      </c>
      <c r="J116" s="300">
        <f t="shared" si="273"/>
        <v>5.8310000000131117</v>
      </c>
      <c r="K116" s="300"/>
      <c r="L116" s="300">
        <f>SUM(L114:L115)</f>
        <v>4.8590000000092646</v>
      </c>
      <c r="M116" s="300">
        <f t="shared" ref="M116" si="281">SUM(M114:M115)</f>
        <v>0.52199999999747593</v>
      </c>
      <c r="N116" s="300">
        <f t="shared" ref="N116" si="282">SUM(N114:N115)</f>
        <v>0.17699999999823446</v>
      </c>
      <c r="O116" s="300">
        <f t="shared" si="274"/>
        <v>5.5580000000049754</v>
      </c>
      <c r="P116" s="300"/>
      <c r="Q116" s="300">
        <f>SUM(Q114:Q115)</f>
        <v>4.8350000000456115</v>
      </c>
      <c r="R116" s="300">
        <f t="shared" ref="R116" si="283">SUM(R114:R115)</f>
        <v>0.53100000000806502</v>
      </c>
      <c r="S116" s="300">
        <f t="shared" ref="S116" si="284">SUM(S114:S115)</f>
        <v>0.19599999999504847</v>
      </c>
      <c r="T116" s="300">
        <f t="shared" si="275"/>
        <v>5.5620000000487249</v>
      </c>
      <c r="U116" s="300"/>
      <c r="V116" s="300">
        <f>SUM(V114:V115)</f>
        <v>4.5240000000339577</v>
      </c>
      <c r="W116" s="300">
        <f t="shared" ref="W116" si="285">SUM(W114:W115)</f>
        <v>0.52199999999439128</v>
      </c>
      <c r="X116" s="300">
        <f t="shared" ref="X116" si="286">SUM(X114:X115)</f>
        <v>0.21299999999704122</v>
      </c>
      <c r="Y116" s="300">
        <f t="shared" si="276"/>
        <v>5.2590000000253907</v>
      </c>
    </row>
    <row r="117" spans="1:25" ht="12.45" x14ac:dyDescent="0.3">
      <c r="C117" s="319"/>
      <c r="D117" s="319"/>
      <c r="E117" s="319"/>
      <c r="F117" s="319"/>
      <c r="G117" s="319"/>
      <c r="H117" s="319"/>
      <c r="I117" s="319"/>
      <c r="J117" s="319"/>
      <c r="K117" s="319"/>
      <c r="L117" s="319"/>
      <c r="M117" s="319"/>
      <c r="N117" s="319"/>
      <c r="O117" s="319"/>
      <c r="P117" s="319"/>
      <c r="Q117" s="319"/>
      <c r="R117" s="319"/>
      <c r="S117" s="319"/>
      <c r="T117" s="319"/>
      <c r="U117" s="319"/>
      <c r="V117" s="319"/>
      <c r="W117" s="319"/>
      <c r="X117" s="319"/>
      <c r="Y117" s="319"/>
    </row>
    <row r="118" spans="1:25" ht="12.45" x14ac:dyDescent="0.3">
      <c r="A118" s="261" t="str">
        <f>name!A17</f>
        <v>Basic metals</v>
      </c>
      <c r="C118" s="263"/>
    </row>
    <row r="119" spans="1:25" ht="12.45" x14ac:dyDescent="0.3">
      <c r="A119" s="260" t="s">
        <v>356</v>
      </c>
      <c r="B119" s="300">
        <v>0.16299999999912088</v>
      </c>
      <c r="C119" s="300">
        <v>3.400000000058518E-2</v>
      </c>
      <c r="D119" s="300">
        <v>8.0000000000978455E-3</v>
      </c>
      <c r="E119" s="300">
        <f>SUM(B119:D119)</f>
        <v>0.20499999999980389</v>
      </c>
      <c r="F119" s="300"/>
      <c r="G119" s="300">
        <v>0.15199999999846084</v>
      </c>
      <c r="H119" s="300">
        <v>0.17200000000328738</v>
      </c>
      <c r="I119" s="300">
        <v>2.0000000000239472E-2</v>
      </c>
      <c r="J119" s="300">
        <f>SUM(G119:I119)</f>
        <v>0.34400000000198772</v>
      </c>
      <c r="K119" s="300"/>
      <c r="L119" s="300">
        <v>0.13599999999874615</v>
      </c>
      <c r="M119" s="300">
        <v>0.16999999999765816</v>
      </c>
      <c r="N119" s="300">
        <v>5.9999999999259309E-3</v>
      </c>
      <c r="O119" s="300">
        <f>SUM(L119:N119)</f>
        <v>0.31199999999633027</v>
      </c>
      <c r="P119" s="300"/>
      <c r="Q119" s="300">
        <v>0.13600000000317414</v>
      </c>
      <c r="R119" s="300">
        <v>0.16700000000056467</v>
      </c>
      <c r="S119" s="300">
        <v>5.9999999999913707E-3</v>
      </c>
      <c r="T119" s="300">
        <f>SUM(Q119:S119)</f>
        <v>0.30900000000373018</v>
      </c>
      <c r="U119" s="300"/>
      <c r="V119" s="300">
        <v>0.12799999999972325</v>
      </c>
      <c r="W119" s="300">
        <v>0.14999999999808153</v>
      </c>
      <c r="X119" s="300">
        <v>6.0000000000043543E-3</v>
      </c>
      <c r="Y119" s="300">
        <f>SUM(V119:X119)</f>
        <v>0.28399999999780912</v>
      </c>
    </row>
    <row r="120" spans="1:25" ht="12.45" x14ac:dyDescent="0.3">
      <c r="A120" s="260" t="s">
        <v>355</v>
      </c>
      <c r="B120" s="300">
        <v>1.8799999999971271</v>
      </c>
      <c r="C120" s="300">
        <v>2.7000000000076664E-2</v>
      </c>
      <c r="D120" s="300">
        <v>9.4999999999913154E-2</v>
      </c>
      <c r="E120" s="300">
        <f t="shared" ref="E120:E121" si="287">SUM(B120:D120)</f>
        <v>2.0019999999971168</v>
      </c>
      <c r="F120" s="300"/>
      <c r="G120" s="300">
        <v>1.8670000000022418</v>
      </c>
      <c r="H120" s="300">
        <v>0.16800000000046236</v>
      </c>
      <c r="I120" s="300">
        <v>0.11900000000025042</v>
      </c>
      <c r="J120" s="300">
        <f t="shared" ref="J120:J121" si="288">SUM(G120:I120)</f>
        <v>2.1540000000029544</v>
      </c>
      <c r="K120" s="300"/>
      <c r="L120" s="300">
        <v>1.6060000000035028</v>
      </c>
      <c r="M120" s="300">
        <v>0.27300000000023222</v>
      </c>
      <c r="N120" s="300">
        <v>4.2000000000064951E-2</v>
      </c>
      <c r="O120" s="300">
        <f t="shared" ref="O120:O121" si="289">SUM(L120:N120)</f>
        <v>1.9210000000037999</v>
      </c>
      <c r="P120" s="300"/>
      <c r="Q120" s="300">
        <v>1.5450000000111455</v>
      </c>
      <c r="R120" s="300">
        <v>0.26100000000014273</v>
      </c>
      <c r="S120" s="300">
        <v>4.3000000000065597E-2</v>
      </c>
      <c r="T120" s="300">
        <f t="shared" ref="T120:T121" si="290">SUM(Q120:S120)</f>
        <v>1.8490000000113538</v>
      </c>
      <c r="U120" s="300"/>
      <c r="V120" s="300">
        <v>1.3480000000121042</v>
      </c>
      <c r="W120" s="300">
        <v>0.2250000000004318</v>
      </c>
      <c r="X120" s="300">
        <v>4.1999999999988408E-2</v>
      </c>
      <c r="Y120" s="300">
        <f t="shared" ref="Y120:Y121" si="291">SUM(V120:X120)</f>
        <v>1.6150000000125244</v>
      </c>
    </row>
    <row r="121" spans="1:25" ht="12.45" x14ac:dyDescent="0.3">
      <c r="A121" s="260" t="s">
        <v>354</v>
      </c>
      <c r="B121" s="300">
        <f>SUM(B119:B120)</f>
        <v>2.042999999996248</v>
      </c>
      <c r="C121" s="300">
        <f t="shared" ref="C121" si="292">SUM(C119:C120)</f>
        <v>6.1000000000661844E-2</v>
      </c>
      <c r="D121" s="300">
        <f t="shared" ref="D121" si="293">SUM(D119:D120)</f>
        <v>0.103000000000011</v>
      </c>
      <c r="E121" s="300">
        <f t="shared" si="287"/>
        <v>2.2069999999969205</v>
      </c>
      <c r="F121" s="300"/>
      <c r="G121" s="300">
        <f>SUM(G119:G120)</f>
        <v>2.0190000000007027</v>
      </c>
      <c r="H121" s="300">
        <f t="shared" ref="H121" si="294">SUM(H119:H120)</f>
        <v>0.34000000000374975</v>
      </c>
      <c r="I121" s="300">
        <f t="shared" ref="I121" si="295">SUM(I119:I120)</f>
        <v>0.1390000000004899</v>
      </c>
      <c r="J121" s="300">
        <f t="shared" si="288"/>
        <v>2.4980000000049425</v>
      </c>
      <c r="K121" s="300"/>
      <c r="L121" s="300">
        <f>SUM(L119:L120)</f>
        <v>1.7420000000022491</v>
      </c>
      <c r="M121" s="300">
        <f t="shared" ref="M121" si="296">SUM(M119:M120)</f>
        <v>0.44299999999789041</v>
      </c>
      <c r="N121" s="300">
        <f t="shared" ref="N121" si="297">SUM(N119:N120)</f>
        <v>4.7999999999990883E-2</v>
      </c>
      <c r="O121" s="300">
        <f t="shared" si="289"/>
        <v>2.2330000000001302</v>
      </c>
      <c r="P121" s="300"/>
      <c r="Q121" s="300">
        <f>SUM(Q119:Q120)</f>
        <v>1.6810000000143197</v>
      </c>
      <c r="R121" s="300">
        <f t="shared" ref="R121" si="298">SUM(R119:R120)</f>
        <v>0.42800000000070737</v>
      </c>
      <c r="S121" s="300">
        <f t="shared" ref="S121" si="299">SUM(S119:S120)</f>
        <v>4.900000000005697E-2</v>
      </c>
      <c r="T121" s="300">
        <f t="shared" si="290"/>
        <v>2.1580000000150839</v>
      </c>
      <c r="U121" s="300"/>
      <c r="V121" s="300">
        <f>SUM(V119:V120)</f>
        <v>1.4760000000118274</v>
      </c>
      <c r="W121" s="300">
        <f t="shared" ref="W121" si="300">SUM(W119:W120)</f>
        <v>0.3749999999985133</v>
      </c>
      <c r="X121" s="300">
        <f t="shared" ref="X121" si="301">SUM(X119:X120)</f>
        <v>4.7999999999992764E-2</v>
      </c>
      <c r="Y121" s="300">
        <f t="shared" si="291"/>
        <v>1.8990000000103333</v>
      </c>
    </row>
    <row r="122" spans="1:25" ht="12.45" x14ac:dyDescent="0.3">
      <c r="C122" s="319"/>
      <c r="D122" s="319"/>
      <c r="E122" s="319"/>
      <c r="F122" s="319"/>
      <c r="G122" s="319"/>
      <c r="H122" s="319"/>
      <c r="I122" s="319"/>
      <c r="J122" s="319"/>
      <c r="K122" s="319"/>
      <c r="L122" s="319"/>
      <c r="M122" s="319"/>
      <c r="N122" s="319"/>
      <c r="O122" s="319"/>
      <c r="P122" s="319"/>
      <c r="Q122" s="319"/>
      <c r="R122" s="319"/>
      <c r="S122" s="319"/>
      <c r="T122" s="319"/>
      <c r="U122" s="319"/>
      <c r="V122" s="319"/>
      <c r="W122" s="319"/>
      <c r="X122" s="319"/>
      <c r="Y122" s="319"/>
    </row>
    <row r="123" spans="1:25" ht="12.45" x14ac:dyDescent="0.3">
      <c r="A123" s="261" t="str">
        <f>name!A18</f>
        <v>Metal products</v>
      </c>
      <c r="C123" s="263"/>
    </row>
    <row r="124" spans="1:25" ht="12.45" x14ac:dyDescent="0.3">
      <c r="A124" s="260" t="s">
        <v>356</v>
      </c>
      <c r="B124" s="300">
        <v>2.5629999999774644</v>
      </c>
      <c r="C124" s="300">
        <v>2.2110000000347694</v>
      </c>
      <c r="D124" s="300">
        <v>0.11500000000119109</v>
      </c>
      <c r="E124" s="300">
        <f>SUM(B124:D124)</f>
        <v>4.8890000000134251</v>
      </c>
      <c r="F124" s="300"/>
      <c r="G124" s="300">
        <v>2.321999999966653</v>
      </c>
      <c r="H124" s="300">
        <v>1.0520000000184226</v>
      </c>
      <c r="I124" s="300">
        <v>0.27400000000303792</v>
      </c>
      <c r="J124" s="300">
        <f>SUM(G124:I124)</f>
        <v>3.6479999999881136</v>
      </c>
      <c r="K124" s="300"/>
      <c r="L124" s="300">
        <v>2.0719999999841003</v>
      </c>
      <c r="M124" s="300">
        <v>1.0439999999878127</v>
      </c>
      <c r="N124" s="300">
        <v>7.1999999999191655E-2</v>
      </c>
      <c r="O124" s="300">
        <f>SUM(L124:N124)</f>
        <v>3.1879999999711046</v>
      </c>
      <c r="P124" s="300"/>
      <c r="Q124" s="300">
        <v>2.0760000000608869</v>
      </c>
      <c r="R124" s="300">
        <v>1.0220000000040181</v>
      </c>
      <c r="S124" s="300">
        <v>7.1999999999885211E-2</v>
      </c>
      <c r="T124" s="300">
        <f>SUM(Q124:S124)</f>
        <v>3.1700000000647903</v>
      </c>
      <c r="U124" s="300"/>
      <c r="V124" s="300">
        <v>1.9470000000053589</v>
      </c>
      <c r="W124" s="300">
        <v>0.91799999999085458</v>
      </c>
      <c r="X124" s="300">
        <v>6.7999999999996077E-2</v>
      </c>
      <c r="Y124" s="300">
        <f>SUM(V124:X124)</f>
        <v>2.9329999999962095</v>
      </c>
    </row>
    <row r="125" spans="1:25" ht="12.45" x14ac:dyDescent="0.3">
      <c r="A125" s="260" t="s">
        <v>355</v>
      </c>
      <c r="B125" s="300">
        <v>20.141999999951775</v>
      </c>
      <c r="C125" s="300">
        <v>0.95900000000427787</v>
      </c>
      <c r="D125" s="300">
        <v>1.1249999999969613</v>
      </c>
      <c r="E125" s="300">
        <f t="shared" ref="E125:E126" si="302">SUM(B125:D125)</f>
        <v>22.225999999953014</v>
      </c>
      <c r="F125" s="300"/>
      <c r="G125" s="300">
        <v>19.39999999999845</v>
      </c>
      <c r="H125" s="300">
        <v>0.55900000000275296</v>
      </c>
      <c r="I125" s="300">
        <v>1.0940000000166643</v>
      </c>
      <c r="J125" s="300">
        <f t="shared" ref="J125:J126" si="303">SUM(G125:I125)</f>
        <v>21.053000000017867</v>
      </c>
      <c r="K125" s="300"/>
      <c r="L125" s="300">
        <v>16.6900000000077</v>
      </c>
      <c r="M125" s="300">
        <v>0.90900000000468295</v>
      </c>
      <c r="N125" s="300">
        <v>0.8349999999980684</v>
      </c>
      <c r="O125" s="300">
        <f t="shared" ref="O125:O126" si="304">SUM(L125:N125)</f>
        <v>18.43400000001045</v>
      </c>
      <c r="P125" s="300"/>
      <c r="Q125" s="300">
        <v>16.056000000084591</v>
      </c>
      <c r="R125" s="300">
        <v>0.87200000000352818</v>
      </c>
      <c r="S125" s="300">
        <v>0.77499999998577607</v>
      </c>
      <c r="T125" s="300">
        <f t="shared" ref="T125:T126" si="305">SUM(Q125:S125)</f>
        <v>17.703000000073896</v>
      </c>
      <c r="U125" s="300"/>
      <c r="V125" s="300">
        <v>14.0070000000812</v>
      </c>
      <c r="W125" s="300">
        <v>0.75000000000486877</v>
      </c>
      <c r="X125" s="300">
        <v>0.62299999999241185</v>
      </c>
      <c r="Y125" s="300">
        <f t="shared" ref="Y125:Y126" si="306">SUM(V125:X125)</f>
        <v>15.380000000078482</v>
      </c>
    </row>
    <row r="126" spans="1:25" ht="12.45" x14ac:dyDescent="0.3">
      <c r="A126" s="260" t="s">
        <v>354</v>
      </c>
      <c r="B126" s="300">
        <f>SUM(B124:B125)</f>
        <v>22.704999999929239</v>
      </c>
      <c r="C126" s="300">
        <f t="shared" ref="C126" si="307">SUM(C124:C125)</f>
        <v>3.1700000000390474</v>
      </c>
      <c r="D126" s="300">
        <f t="shared" ref="D126" si="308">SUM(D124:D125)</f>
        <v>1.2399999999981524</v>
      </c>
      <c r="E126" s="300">
        <f t="shared" si="302"/>
        <v>27.114999999966436</v>
      </c>
      <c r="F126" s="300"/>
      <c r="G126" s="300">
        <f>SUM(G124:G125)</f>
        <v>21.721999999965103</v>
      </c>
      <c r="H126" s="300">
        <f t="shared" ref="H126" si="309">SUM(H124:H125)</f>
        <v>1.6110000000211757</v>
      </c>
      <c r="I126" s="300">
        <f t="shared" ref="I126" si="310">SUM(I124:I125)</f>
        <v>1.3680000000197023</v>
      </c>
      <c r="J126" s="300">
        <f t="shared" si="303"/>
        <v>24.70100000000598</v>
      </c>
      <c r="K126" s="300"/>
      <c r="L126" s="300">
        <f>SUM(L124:L125)</f>
        <v>18.761999999991801</v>
      </c>
      <c r="M126" s="300">
        <f t="shared" ref="M126" si="311">SUM(M124:M125)</f>
        <v>1.9529999999924956</v>
      </c>
      <c r="N126" s="300">
        <f t="shared" ref="N126" si="312">SUM(N124:N125)</f>
        <v>0.90699999999726</v>
      </c>
      <c r="O126" s="300">
        <f t="shared" si="304"/>
        <v>21.621999999981558</v>
      </c>
      <c r="P126" s="300"/>
      <c r="Q126" s="300">
        <f>SUM(Q124:Q125)</f>
        <v>18.132000000145478</v>
      </c>
      <c r="R126" s="300">
        <f t="shared" ref="R126" si="313">SUM(R124:R125)</f>
        <v>1.8940000000075463</v>
      </c>
      <c r="S126" s="300">
        <f t="shared" ref="S126" si="314">SUM(S124:S125)</f>
        <v>0.84699999998566122</v>
      </c>
      <c r="T126" s="300">
        <f t="shared" si="305"/>
        <v>20.873000000138688</v>
      </c>
      <c r="U126" s="300"/>
      <c r="V126" s="300">
        <f>SUM(V124:V125)</f>
        <v>15.954000000086559</v>
      </c>
      <c r="W126" s="300">
        <f t="shared" ref="W126" si="315">SUM(W124:W125)</f>
        <v>1.6679999999957233</v>
      </c>
      <c r="X126" s="300">
        <f t="shared" ref="X126" si="316">SUM(X124:X125)</f>
        <v>0.69099999999240791</v>
      </c>
      <c r="Y126" s="300">
        <f t="shared" si="306"/>
        <v>18.313000000074688</v>
      </c>
    </row>
    <row r="127" spans="1:25" ht="12.45" x14ac:dyDescent="0.3">
      <c r="C127" s="319"/>
      <c r="D127" s="319"/>
      <c r="E127" s="319"/>
      <c r="F127" s="319"/>
      <c r="G127" s="319"/>
      <c r="H127" s="319"/>
      <c r="I127" s="319"/>
      <c r="J127" s="319"/>
      <c r="K127" s="319"/>
      <c r="L127" s="319"/>
      <c r="M127" s="319"/>
      <c r="N127" s="319"/>
      <c r="O127" s="319"/>
      <c r="P127" s="319"/>
      <c r="Q127" s="319"/>
      <c r="R127" s="319"/>
      <c r="S127" s="319"/>
      <c r="T127" s="319"/>
      <c r="U127" s="319"/>
      <c r="V127" s="319"/>
      <c r="W127" s="319"/>
      <c r="X127" s="319"/>
      <c r="Y127" s="319"/>
    </row>
    <row r="128" spans="1:25" ht="12.45" x14ac:dyDescent="0.3">
      <c r="A128" s="261" t="str">
        <f>name!A22</f>
        <v>Motor vehicles, etc</v>
      </c>
      <c r="C128" s="263"/>
    </row>
    <row r="129" spans="1:25" ht="12.45" x14ac:dyDescent="0.3">
      <c r="A129" s="260" t="s">
        <v>356</v>
      </c>
      <c r="B129" s="300">
        <v>1.0829999999923092</v>
      </c>
      <c r="C129" s="300">
        <v>0.54900000000815541</v>
      </c>
      <c r="D129" s="300">
        <v>4.0000000000709857E-2</v>
      </c>
      <c r="E129" s="300">
        <f>SUM(B129:D129)</f>
        <v>1.6720000000011745</v>
      </c>
      <c r="F129" s="300"/>
      <c r="G129" s="300">
        <v>0.82299999999032658</v>
      </c>
      <c r="H129" s="300">
        <v>8.3000000001307098E-2</v>
      </c>
      <c r="I129" s="300">
        <v>1.4000000000248874E-2</v>
      </c>
      <c r="J129" s="300">
        <f>SUM(G129:I129)</f>
        <v>0.91999999999188264</v>
      </c>
      <c r="K129" s="300"/>
      <c r="L129" s="300">
        <v>0.6739999999951799</v>
      </c>
      <c r="M129" s="300">
        <v>7.9999999999083193E-2</v>
      </c>
      <c r="N129" s="300">
        <v>7.9999999998521028E-3</v>
      </c>
      <c r="O129" s="300">
        <f>SUM(L129:N129)</f>
        <v>0.76199999999411516</v>
      </c>
      <c r="P129" s="300"/>
      <c r="Q129" s="300">
        <v>0.65400000001615699</v>
      </c>
      <c r="R129" s="300">
        <v>7.5000000000072689E-2</v>
      </c>
      <c r="S129" s="300">
        <v>6.9999999999865708E-3</v>
      </c>
      <c r="T129" s="300">
        <f>SUM(Q129:S129)</f>
        <v>0.73600000001621624</v>
      </c>
      <c r="U129" s="300"/>
      <c r="V129" s="300">
        <v>0.62600000000098444</v>
      </c>
      <c r="W129" s="300">
        <v>6.2999999999352171E-2</v>
      </c>
      <c r="X129" s="300">
        <v>7.0000000000061211E-3</v>
      </c>
      <c r="Y129" s="300">
        <f>SUM(V129:X129)</f>
        <v>0.69600000000034268</v>
      </c>
    </row>
    <row r="130" spans="1:25" ht="12.45" x14ac:dyDescent="0.3">
      <c r="A130" s="260" t="s">
        <v>355</v>
      </c>
      <c r="B130" s="300">
        <v>6.5679999999842487</v>
      </c>
      <c r="C130" s="300">
        <v>0.13700000000123005</v>
      </c>
      <c r="D130" s="300">
        <v>0.25100000000274225</v>
      </c>
      <c r="E130" s="300">
        <f t="shared" ref="E130:E131" si="317">SUM(B130:D130)</f>
        <v>6.9559999999882205</v>
      </c>
      <c r="F130" s="300"/>
      <c r="G130" s="300">
        <v>4.3199999999978616</v>
      </c>
      <c r="H130" s="300">
        <v>7.3000000000832482E-2</v>
      </c>
      <c r="I130" s="300">
        <v>8.8000000000812775E-2</v>
      </c>
      <c r="J130" s="300">
        <f t="shared" ref="J130:J131" si="318">SUM(G130:I130)</f>
        <v>4.4809999999995069</v>
      </c>
      <c r="K130" s="300"/>
      <c r="L130" s="300">
        <v>3.8229999999990305</v>
      </c>
      <c r="M130" s="300">
        <v>0.15200000000150724</v>
      </c>
      <c r="N130" s="300">
        <v>0.10400000000026877</v>
      </c>
      <c r="O130" s="300">
        <f t="shared" ref="O130:O131" si="319">SUM(L130:N130)</f>
        <v>4.0790000000008071</v>
      </c>
      <c r="P130" s="300"/>
      <c r="Q130" s="300">
        <v>3.5720000000124155</v>
      </c>
      <c r="R130" s="300">
        <v>0.15000000000151423</v>
      </c>
      <c r="S130" s="300">
        <v>0.10099999999966447</v>
      </c>
      <c r="T130" s="300">
        <f t="shared" ref="T130:T131" si="320">SUM(Q130:S130)</f>
        <v>3.823000000013594</v>
      </c>
      <c r="U130" s="300"/>
      <c r="V130" s="300">
        <v>3.1890000000099694</v>
      </c>
      <c r="W130" s="300">
        <v>0.14400000000223595</v>
      </c>
      <c r="X130" s="300">
        <v>9.599999999877408E-2</v>
      </c>
      <c r="Y130" s="300">
        <f t="shared" ref="Y130:Y131" si="321">SUM(V130:X130)</f>
        <v>3.4290000000109795</v>
      </c>
    </row>
    <row r="131" spans="1:25" ht="12.45" x14ac:dyDescent="0.3">
      <c r="A131" s="260" t="s">
        <v>354</v>
      </c>
      <c r="B131" s="300">
        <f>SUM(B129:B130)</f>
        <v>7.6509999999765581</v>
      </c>
      <c r="C131" s="300">
        <f t="shared" ref="C131" si="322">SUM(C129:C130)</f>
        <v>0.68600000000938544</v>
      </c>
      <c r="D131" s="300">
        <f t="shared" ref="D131" si="323">SUM(D129:D130)</f>
        <v>0.29100000000345211</v>
      </c>
      <c r="E131" s="300">
        <f t="shared" si="317"/>
        <v>8.6279999999893953</v>
      </c>
      <c r="F131" s="300"/>
      <c r="G131" s="300">
        <f>SUM(G129:G130)</f>
        <v>5.1429999999881879</v>
      </c>
      <c r="H131" s="300">
        <f t="shared" ref="H131" si="324">SUM(H129:H130)</f>
        <v>0.15600000000213959</v>
      </c>
      <c r="I131" s="300">
        <f t="shared" ref="I131" si="325">SUM(I129:I130)</f>
        <v>0.10200000000106164</v>
      </c>
      <c r="J131" s="300">
        <f t="shared" si="318"/>
        <v>5.4009999999913889</v>
      </c>
      <c r="K131" s="300"/>
      <c r="L131" s="300">
        <f>SUM(L129:L130)</f>
        <v>4.4969999999942107</v>
      </c>
      <c r="M131" s="300">
        <f t="shared" ref="M131" si="326">SUM(M129:M130)</f>
        <v>0.23200000000059043</v>
      </c>
      <c r="N131" s="300">
        <f t="shared" ref="N131" si="327">SUM(N129:N130)</f>
        <v>0.11200000000012086</v>
      </c>
      <c r="O131" s="300">
        <f t="shared" si="319"/>
        <v>4.8409999999949225</v>
      </c>
      <c r="P131" s="300"/>
      <c r="Q131" s="300">
        <f>SUM(Q129:Q130)</f>
        <v>4.2260000000285727</v>
      </c>
      <c r="R131" s="300">
        <f t="shared" ref="R131" si="328">SUM(R129:R130)</f>
        <v>0.22500000000158693</v>
      </c>
      <c r="S131" s="300">
        <f t="shared" ref="S131" si="329">SUM(S129:S130)</f>
        <v>0.10799999999965104</v>
      </c>
      <c r="T131" s="300">
        <f t="shared" si="320"/>
        <v>4.5590000000298101</v>
      </c>
      <c r="U131" s="300"/>
      <c r="V131" s="300">
        <f>SUM(V129:V130)</f>
        <v>3.8150000000109539</v>
      </c>
      <c r="W131" s="300">
        <f t="shared" ref="W131" si="330">SUM(W129:W130)</f>
        <v>0.20700000000158814</v>
      </c>
      <c r="X131" s="300">
        <f t="shared" ref="X131" si="331">SUM(X129:X130)</f>
        <v>0.10299999999878021</v>
      </c>
      <c r="Y131" s="300">
        <f t="shared" si="321"/>
        <v>4.1250000000113225</v>
      </c>
    </row>
    <row r="132" spans="1:25" ht="12.45" x14ac:dyDescent="0.3">
      <c r="C132" s="319"/>
      <c r="D132" s="319"/>
      <c r="E132" s="319"/>
      <c r="F132" s="319"/>
      <c r="G132" s="319"/>
      <c r="H132" s="319"/>
      <c r="I132" s="319"/>
      <c r="J132" s="319"/>
      <c r="K132" s="319"/>
      <c r="L132" s="319"/>
      <c r="M132" s="319"/>
      <c r="N132" s="319"/>
      <c r="O132" s="319"/>
      <c r="P132" s="319"/>
      <c r="Q132" s="319"/>
      <c r="R132" s="319"/>
      <c r="S132" s="319"/>
      <c r="T132" s="319"/>
      <c r="U132" s="319"/>
      <c r="V132" s="319"/>
      <c r="W132" s="319"/>
      <c r="X132" s="319"/>
      <c r="Y132" s="319"/>
    </row>
    <row r="133" spans="1:25" ht="12.45" x14ac:dyDescent="0.3">
      <c r="A133" s="261" t="str">
        <f>name!A23</f>
        <v>Other transport equipment</v>
      </c>
      <c r="C133" s="263"/>
    </row>
    <row r="134" spans="1:25" ht="12.45" x14ac:dyDescent="0.3">
      <c r="A134" s="260" t="s">
        <v>356</v>
      </c>
      <c r="B134" s="300">
        <v>1.021999999990199</v>
      </c>
      <c r="C134" s="300">
        <v>0.12200000000197017</v>
      </c>
      <c r="D134" s="300">
        <v>4.1000000000152324E-2</v>
      </c>
      <c r="E134" s="300">
        <f>SUM(B134:D134)</f>
        <v>1.1849999999923213</v>
      </c>
      <c r="F134" s="300"/>
      <c r="G134" s="300">
        <v>0.92799999998833982</v>
      </c>
      <c r="H134" s="300">
        <v>0.18800000000331171</v>
      </c>
      <c r="I134" s="300">
        <v>3.9000000000244353E-2</v>
      </c>
      <c r="J134" s="300">
        <f>SUM(G134:I134)</f>
        <v>1.1549999999918958</v>
      </c>
      <c r="K134" s="300"/>
      <c r="L134" s="300">
        <v>0.93399999999952932</v>
      </c>
      <c r="M134" s="300">
        <v>0.17499999999841395</v>
      </c>
      <c r="N134" s="300">
        <v>6.9999999999968135E-3</v>
      </c>
      <c r="O134" s="300">
        <f>SUM(L134:N134)</f>
        <v>1.11599999999794</v>
      </c>
      <c r="P134" s="300"/>
      <c r="Q134" s="300">
        <v>0.79400000001694571</v>
      </c>
      <c r="R134" s="300">
        <v>0.14300000000072779</v>
      </c>
      <c r="S134" s="300">
        <v>6.0000000000195964E-3</v>
      </c>
      <c r="T134" s="300">
        <f>SUM(Q134:S134)</f>
        <v>0.94300000001769302</v>
      </c>
      <c r="U134" s="300"/>
      <c r="V134" s="300">
        <v>0.86100000000308052</v>
      </c>
      <c r="W134" s="300">
        <v>0.14799999999864327</v>
      </c>
      <c r="X134" s="300">
        <v>6.0000000000263714E-3</v>
      </c>
      <c r="Y134" s="300">
        <f>SUM(V134:X134)</f>
        <v>1.0150000000017503</v>
      </c>
    </row>
    <row r="135" spans="1:25" ht="12.45" x14ac:dyDescent="0.3">
      <c r="A135" s="260" t="s">
        <v>355</v>
      </c>
      <c r="B135" s="300">
        <v>7.9189999999656049</v>
      </c>
      <c r="C135" s="300">
        <v>5.6000000000143005E-2</v>
      </c>
      <c r="D135" s="300">
        <v>0.23299999999689189</v>
      </c>
      <c r="E135" s="300">
        <f t="shared" ref="E135:E136" si="332">SUM(B135:D135)</f>
        <v>8.2079999999626398</v>
      </c>
      <c r="F135" s="300"/>
      <c r="G135" s="300">
        <v>6.7839999999754141</v>
      </c>
      <c r="H135" s="300">
        <v>0.16000000000035214</v>
      </c>
      <c r="I135" s="300">
        <v>0.13900000000203422</v>
      </c>
      <c r="J135" s="300">
        <f t="shared" ref="J135:J136" si="333">SUM(G135:I135)</f>
        <v>7.0829999999778002</v>
      </c>
      <c r="K135" s="300"/>
      <c r="L135" s="300">
        <v>6.3719999999713588</v>
      </c>
      <c r="M135" s="300">
        <v>0.22999999999955431</v>
      </c>
      <c r="N135" s="300">
        <v>0.43999999999601247</v>
      </c>
      <c r="O135" s="300">
        <f t="shared" ref="O135:O136" si="334">SUM(L135:N135)</f>
        <v>7.0419999999669258</v>
      </c>
      <c r="P135" s="300"/>
      <c r="Q135" s="300">
        <v>5.1049999999932423</v>
      </c>
      <c r="R135" s="300">
        <v>0.18999999999974299</v>
      </c>
      <c r="S135" s="300">
        <v>0.35399999998759596</v>
      </c>
      <c r="T135" s="300">
        <f t="shared" ref="T135:T136" si="335">SUM(Q135:S135)</f>
        <v>5.6489999999805809</v>
      </c>
      <c r="U135" s="300"/>
      <c r="V135" s="300">
        <v>4.9149999999766987</v>
      </c>
      <c r="W135" s="300">
        <v>0.19299999999965844</v>
      </c>
      <c r="X135" s="300">
        <v>0.34299999999278297</v>
      </c>
      <c r="Y135" s="300">
        <f t="shared" ref="Y135:Y136" si="336">SUM(V135:X135)</f>
        <v>5.4509999999691399</v>
      </c>
    </row>
    <row r="136" spans="1:25" ht="12.45" x14ac:dyDescent="0.3">
      <c r="A136" s="260" t="s">
        <v>354</v>
      </c>
      <c r="B136" s="300">
        <f>SUM(B134:B135)</f>
        <v>8.9409999999558032</v>
      </c>
      <c r="C136" s="300">
        <f t="shared" ref="C136" si="337">SUM(C134:C135)</f>
        <v>0.17800000000211319</v>
      </c>
      <c r="D136" s="300">
        <f t="shared" ref="D136" si="338">SUM(D134:D135)</f>
        <v>0.27399999999704422</v>
      </c>
      <c r="E136" s="300">
        <f t="shared" si="332"/>
        <v>9.3929999999549612</v>
      </c>
      <c r="F136" s="300"/>
      <c r="G136" s="300">
        <f>SUM(G134:G135)</f>
        <v>7.7119999999637541</v>
      </c>
      <c r="H136" s="300">
        <f t="shared" ref="H136" si="339">SUM(H134:H135)</f>
        <v>0.34800000000366382</v>
      </c>
      <c r="I136" s="300">
        <f t="shared" ref="I136" si="340">SUM(I134:I135)</f>
        <v>0.17800000000227856</v>
      </c>
      <c r="J136" s="300">
        <f t="shared" si="333"/>
        <v>8.2379999999696967</v>
      </c>
      <c r="K136" s="300"/>
      <c r="L136" s="300">
        <f>SUM(L134:L135)</f>
        <v>7.3059999999708882</v>
      </c>
      <c r="M136" s="300">
        <f t="shared" ref="M136" si="341">SUM(M134:M135)</f>
        <v>0.40499999999796826</v>
      </c>
      <c r="N136" s="300">
        <f t="shared" ref="N136" si="342">SUM(N134:N135)</f>
        <v>0.44699999999600926</v>
      </c>
      <c r="O136" s="300">
        <f t="shared" si="334"/>
        <v>8.1579999999648649</v>
      </c>
      <c r="P136" s="300"/>
      <c r="Q136" s="300">
        <f>SUM(Q134:Q135)</f>
        <v>5.8990000000101883</v>
      </c>
      <c r="R136" s="300">
        <f t="shared" ref="R136" si="343">SUM(R134:R135)</f>
        <v>0.33300000000047081</v>
      </c>
      <c r="S136" s="300">
        <f t="shared" ref="S136" si="344">SUM(S134:S135)</f>
        <v>0.35999999998761556</v>
      </c>
      <c r="T136" s="300">
        <f t="shared" si="335"/>
        <v>6.5919999999982748</v>
      </c>
      <c r="U136" s="300"/>
      <c r="V136" s="300">
        <f>SUM(V134:V135)</f>
        <v>5.7759999999797795</v>
      </c>
      <c r="W136" s="300">
        <f t="shared" ref="W136" si="345">SUM(W134:W135)</f>
        <v>0.34099999999830172</v>
      </c>
      <c r="X136" s="300">
        <f t="shared" ref="X136" si="346">SUM(X134:X135)</f>
        <v>0.34899999999280934</v>
      </c>
      <c r="Y136" s="300">
        <f t="shared" si="336"/>
        <v>6.465999999970891</v>
      </c>
    </row>
    <row r="137" spans="1:25" ht="12.45" x14ac:dyDescent="0.3">
      <c r="C137" s="319"/>
      <c r="D137" s="319"/>
      <c r="E137" s="319"/>
      <c r="F137" s="319"/>
      <c r="G137" s="319"/>
      <c r="H137" s="319"/>
      <c r="I137" s="319"/>
      <c r="J137" s="319"/>
      <c r="K137" s="319"/>
      <c r="L137" s="319"/>
      <c r="M137" s="319"/>
      <c r="N137" s="319"/>
      <c r="O137" s="319"/>
      <c r="P137" s="319"/>
      <c r="Q137" s="319"/>
      <c r="R137" s="319"/>
      <c r="S137" s="319"/>
      <c r="T137" s="319"/>
      <c r="U137" s="319"/>
      <c r="V137" s="319"/>
      <c r="W137" s="319"/>
      <c r="X137" s="319"/>
      <c r="Y137" s="319"/>
    </row>
    <row r="138" spans="1:25" ht="12.45" x14ac:dyDescent="0.3">
      <c r="A138" s="261" t="str">
        <f>name!A24</f>
        <v>Furniture</v>
      </c>
      <c r="C138" s="263"/>
    </row>
    <row r="139" spans="1:25" ht="12.45" x14ac:dyDescent="0.3">
      <c r="A139" s="260" t="s">
        <v>356</v>
      </c>
      <c r="B139" s="300">
        <v>0.36999999999696181</v>
      </c>
      <c r="C139" s="300">
        <v>0.51100000000946333</v>
      </c>
      <c r="D139" s="300">
        <v>0.35300000000421144</v>
      </c>
      <c r="E139" s="300">
        <f>SUM(B139:D139)</f>
        <v>1.2340000000106366</v>
      </c>
      <c r="F139" s="300"/>
      <c r="G139" s="300">
        <v>0.43999999999396822</v>
      </c>
      <c r="H139" s="300">
        <v>1.1740000000222266</v>
      </c>
      <c r="I139" s="300">
        <v>4.0000000000472193E-2</v>
      </c>
      <c r="J139" s="300">
        <f>SUM(G139:I139)</f>
        <v>1.654000000016667</v>
      </c>
      <c r="K139" s="300"/>
      <c r="L139" s="300">
        <v>0.4329999999973031</v>
      </c>
      <c r="M139" s="300">
        <v>1.153999999993115</v>
      </c>
      <c r="N139" s="300">
        <v>0.10299999999892544</v>
      </c>
      <c r="O139" s="300">
        <f>SUM(L139:N139)</f>
        <v>1.6899999999893436</v>
      </c>
      <c r="P139" s="300"/>
      <c r="Q139" s="300">
        <v>0.36000000000986337</v>
      </c>
      <c r="R139" s="300">
        <v>0.95900000001273167</v>
      </c>
      <c r="S139" s="300">
        <v>8.2000000000218246E-2</v>
      </c>
      <c r="T139" s="300">
        <f>SUM(Q139:S139)</f>
        <v>1.4010000000228133</v>
      </c>
      <c r="U139" s="300"/>
      <c r="V139" s="300">
        <v>0.3080000000015195</v>
      </c>
      <c r="W139" s="300">
        <v>0.81599999999386896</v>
      </c>
      <c r="X139" s="300">
        <v>6.6000000000332681E-2</v>
      </c>
      <c r="Y139" s="300">
        <f>SUM(V139:X139)</f>
        <v>1.1899999999957211</v>
      </c>
    </row>
    <row r="140" spans="1:25" ht="12.45" x14ac:dyDescent="0.3">
      <c r="A140" s="260" t="s">
        <v>355</v>
      </c>
      <c r="B140" s="300">
        <v>5.4619999999924858</v>
      </c>
      <c r="C140" s="300">
        <v>0.15500000000121392</v>
      </c>
      <c r="D140" s="300">
        <v>1.3209999999953914</v>
      </c>
      <c r="E140" s="300">
        <f t="shared" ref="E140:E141" si="347">SUM(B140:D140)</f>
        <v>6.9379999999890902</v>
      </c>
      <c r="F140" s="300"/>
      <c r="G140" s="300">
        <v>5.7840000000078273</v>
      </c>
      <c r="H140" s="300">
        <v>0.59200000000408259</v>
      </c>
      <c r="I140" s="300">
        <v>0.88300000000371992</v>
      </c>
      <c r="J140" s="300">
        <f t="shared" ref="J140:J141" si="348">SUM(G140:I140)</f>
        <v>7.2590000000156296</v>
      </c>
      <c r="K140" s="300"/>
      <c r="L140" s="300">
        <v>5.7850000000138397</v>
      </c>
      <c r="M140" s="300">
        <v>1.179000000009369</v>
      </c>
      <c r="N140" s="300">
        <v>0.59799999999860531</v>
      </c>
      <c r="O140" s="300">
        <f t="shared" ref="O140:O141" si="349">SUM(L140:N140)</f>
        <v>7.5620000000218139</v>
      </c>
      <c r="P140" s="300"/>
      <c r="Q140" s="300">
        <v>4.8050000000334778</v>
      </c>
      <c r="R140" s="300">
        <v>0.96200000000730079</v>
      </c>
      <c r="S140" s="300">
        <v>0.51399999999598911</v>
      </c>
      <c r="T140" s="300">
        <f t="shared" ref="T140:T141" si="350">SUM(Q140:S140)</f>
        <v>6.2810000000367676</v>
      </c>
      <c r="U140" s="300"/>
      <c r="V140" s="300">
        <v>4.0660000000342453</v>
      </c>
      <c r="W140" s="300">
        <v>0.80000000001043736</v>
      </c>
      <c r="X140" s="300">
        <v>0.42599999999849247</v>
      </c>
      <c r="Y140" s="300">
        <f t="shared" ref="Y140:Y141" si="351">SUM(V140:X140)</f>
        <v>5.2920000000431759</v>
      </c>
    </row>
    <row r="141" spans="1:25" ht="12.45" x14ac:dyDescent="0.3">
      <c r="A141" s="260" t="s">
        <v>354</v>
      </c>
      <c r="B141" s="300">
        <f>SUM(B139:B140)</f>
        <v>5.8319999999894474</v>
      </c>
      <c r="C141" s="300">
        <f t="shared" ref="C141" si="352">SUM(C139:C140)</f>
        <v>0.66600000001067727</v>
      </c>
      <c r="D141" s="300">
        <f t="shared" ref="D141" si="353">SUM(D139:D140)</f>
        <v>1.6739999999996029</v>
      </c>
      <c r="E141" s="300">
        <f t="shared" si="347"/>
        <v>8.171999999999727</v>
      </c>
      <c r="F141" s="300"/>
      <c r="G141" s="300">
        <f>SUM(G139:G140)</f>
        <v>6.2240000000017952</v>
      </c>
      <c r="H141" s="300">
        <f t="shared" ref="H141" si="354">SUM(H139:H140)</f>
        <v>1.7660000000263092</v>
      </c>
      <c r="I141" s="300">
        <f t="shared" ref="I141" si="355">SUM(I139:I140)</f>
        <v>0.92300000000419213</v>
      </c>
      <c r="J141" s="300">
        <f t="shared" si="348"/>
        <v>8.9130000000322962</v>
      </c>
      <c r="K141" s="300"/>
      <c r="L141" s="300">
        <f>SUM(L139:L140)</f>
        <v>6.2180000000111431</v>
      </c>
      <c r="M141" s="300">
        <f t="shared" ref="M141" si="356">SUM(M139:M140)</f>
        <v>2.333000000002484</v>
      </c>
      <c r="N141" s="300">
        <f t="shared" ref="N141" si="357">SUM(N139:N140)</f>
        <v>0.70099999999753071</v>
      </c>
      <c r="O141" s="300">
        <f t="shared" si="349"/>
        <v>9.252000000011158</v>
      </c>
      <c r="P141" s="300"/>
      <c r="Q141" s="300">
        <f>SUM(Q139:Q140)</f>
        <v>5.1650000000433414</v>
      </c>
      <c r="R141" s="300">
        <f t="shared" ref="R141" si="358">SUM(R139:R140)</f>
        <v>1.9210000000200325</v>
      </c>
      <c r="S141" s="300">
        <f t="shared" ref="S141" si="359">SUM(S139:S140)</f>
        <v>0.59599999999620734</v>
      </c>
      <c r="T141" s="300">
        <f t="shared" si="350"/>
        <v>7.6820000000595812</v>
      </c>
      <c r="U141" s="300"/>
      <c r="V141" s="300">
        <f>SUM(V139:V140)</f>
        <v>4.3740000000357648</v>
      </c>
      <c r="W141" s="300">
        <f t="shared" ref="W141" si="360">SUM(W139:W140)</f>
        <v>1.6160000000043064</v>
      </c>
      <c r="X141" s="300">
        <f t="shared" ref="X141" si="361">SUM(X139:X140)</f>
        <v>0.49199999999882515</v>
      </c>
      <c r="Y141" s="300">
        <f t="shared" si="351"/>
        <v>6.4820000000388962</v>
      </c>
    </row>
    <row r="142" spans="1:25" ht="12.45" x14ac:dyDescent="0.3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ht="12.45" x14ac:dyDescent="0.3">
      <c r="A143" s="261" t="str">
        <f>name!A25</f>
        <v>Other manufacturing</v>
      </c>
      <c r="C143" s="263"/>
    </row>
    <row r="144" spans="1:25" ht="12.45" x14ac:dyDescent="0.3">
      <c r="A144" s="260" t="s">
        <v>356</v>
      </c>
      <c r="B144" s="300">
        <v>2.4589999999795169</v>
      </c>
      <c r="C144" s="300">
        <v>0.78400000001389902</v>
      </c>
      <c r="D144" s="300">
        <v>0.78500000000944103</v>
      </c>
      <c r="E144" s="300">
        <f>SUM(B144:D144)</f>
        <v>4.0280000000028569</v>
      </c>
      <c r="F144" s="300"/>
      <c r="G144" s="300">
        <v>1.8699999999742416</v>
      </c>
      <c r="H144" s="300">
        <v>0.2460000000045009</v>
      </c>
      <c r="I144" s="300">
        <v>0.40900000000488418</v>
      </c>
      <c r="J144" s="300">
        <f>SUM(G144:I144)</f>
        <v>2.5249999999836268</v>
      </c>
      <c r="K144" s="300"/>
      <c r="L144" s="300">
        <v>1.8399999999883159</v>
      </c>
      <c r="M144" s="300">
        <v>0.24199999999840774</v>
      </c>
      <c r="N144" s="300">
        <v>0.11499999999877722</v>
      </c>
      <c r="O144" s="300">
        <f>SUM(L144:N144)</f>
        <v>2.196999999985501</v>
      </c>
      <c r="P144" s="300"/>
      <c r="Q144" s="300">
        <v>1.5310000000420614</v>
      </c>
      <c r="R144" s="300">
        <v>0.20100000000239815</v>
      </c>
      <c r="S144" s="300">
        <v>9.2000000000235199E-2</v>
      </c>
      <c r="T144" s="300">
        <f>SUM(Q144:S144)</f>
        <v>1.8240000000446948</v>
      </c>
      <c r="U144" s="300"/>
      <c r="V144" s="300">
        <v>1.3090000000060891</v>
      </c>
      <c r="W144" s="300">
        <v>0.17099999999873489</v>
      </c>
      <c r="X144" s="300">
        <v>7.4000000000363733E-2</v>
      </c>
      <c r="Y144" s="300">
        <f>SUM(V144:X144)</f>
        <v>1.5540000000051877</v>
      </c>
    </row>
    <row r="145" spans="1:25" ht="12.45" x14ac:dyDescent="0.3">
      <c r="A145" s="260" t="s">
        <v>355</v>
      </c>
      <c r="B145" s="300">
        <v>6.2199999999887048</v>
      </c>
      <c r="C145" s="300">
        <v>0.28100000000188102</v>
      </c>
      <c r="D145" s="300">
        <v>1.2259999999980375</v>
      </c>
      <c r="E145" s="300">
        <f t="shared" ref="E145:E146" si="362">SUM(B145:D145)</f>
        <v>7.7269999999886227</v>
      </c>
      <c r="F145" s="300"/>
      <c r="G145" s="300">
        <v>4.2040000000028028</v>
      </c>
      <c r="H145" s="300">
        <v>0.1460000000006971</v>
      </c>
      <c r="I145" s="300">
        <v>0.4100000000015584</v>
      </c>
      <c r="J145" s="300">
        <f t="shared" ref="J145:J146" si="363">SUM(G145:I145)</f>
        <v>4.760000000005058</v>
      </c>
      <c r="K145" s="300"/>
      <c r="L145" s="300">
        <v>4.2050000000060876</v>
      </c>
      <c r="M145" s="300">
        <v>0.29100000000090059</v>
      </c>
      <c r="N145" s="300">
        <v>0.58199999999929752</v>
      </c>
      <c r="O145" s="300">
        <f t="shared" ref="O145:O146" si="364">SUM(L145:N145)</f>
        <v>5.0780000000062859</v>
      </c>
      <c r="P145" s="300"/>
      <c r="Q145" s="300">
        <v>3.4930000000206114</v>
      </c>
      <c r="R145" s="300">
        <v>0.2380000000006558</v>
      </c>
      <c r="S145" s="300">
        <v>0.45399999999815038</v>
      </c>
      <c r="T145" s="300">
        <f t="shared" ref="T145:T146" si="365">SUM(Q145:S145)</f>
        <v>4.1850000000194179</v>
      </c>
      <c r="U145" s="300"/>
      <c r="V145" s="300">
        <v>2.9560000000205817</v>
      </c>
      <c r="W145" s="300">
        <v>0.19800000000085868</v>
      </c>
      <c r="X145" s="300">
        <v>0.34999999999960657</v>
      </c>
      <c r="Y145" s="300">
        <f t="shared" ref="Y145:Y146" si="366">SUM(V145:X145)</f>
        <v>3.5040000000210472</v>
      </c>
    </row>
    <row r="146" spans="1:25" ht="12.45" x14ac:dyDescent="0.3">
      <c r="A146" s="260" t="s">
        <v>354</v>
      </c>
      <c r="B146" s="300">
        <f>SUM(B144:B145)</f>
        <v>8.6789999999682212</v>
      </c>
      <c r="C146" s="300">
        <f t="shared" ref="C146" si="367">SUM(C144:C145)</f>
        <v>1.06500000001578</v>
      </c>
      <c r="D146" s="300">
        <f t="shared" ref="D146" si="368">SUM(D144:D145)</f>
        <v>2.0110000000074786</v>
      </c>
      <c r="E146" s="300">
        <f t="shared" si="362"/>
        <v>11.75499999999148</v>
      </c>
      <c r="F146" s="300"/>
      <c r="G146" s="300">
        <f>SUM(G144:G145)</f>
        <v>6.073999999977044</v>
      </c>
      <c r="H146" s="300">
        <f t="shared" ref="H146" si="369">SUM(H144:H145)</f>
        <v>0.39200000000519797</v>
      </c>
      <c r="I146" s="300">
        <f t="shared" ref="I146" si="370">SUM(I144:I145)</f>
        <v>0.81900000000644257</v>
      </c>
      <c r="J146" s="300">
        <f t="shared" si="363"/>
        <v>7.2849999999886847</v>
      </c>
      <c r="K146" s="300"/>
      <c r="L146" s="300">
        <f>SUM(L144:L145)</f>
        <v>6.0449999999944035</v>
      </c>
      <c r="M146" s="300">
        <f t="shared" ref="M146" si="371">SUM(M144:M145)</f>
        <v>0.53299999999930836</v>
      </c>
      <c r="N146" s="300">
        <f t="shared" ref="N146" si="372">SUM(N144:N145)</f>
        <v>0.69699999999807472</v>
      </c>
      <c r="O146" s="300">
        <f t="shared" si="364"/>
        <v>7.2749999999917865</v>
      </c>
      <c r="P146" s="300"/>
      <c r="Q146" s="300">
        <f>SUM(Q144:Q145)</f>
        <v>5.0240000000626726</v>
      </c>
      <c r="R146" s="300">
        <f t="shared" ref="R146" si="373">SUM(R144:R145)</f>
        <v>0.43900000000305395</v>
      </c>
      <c r="S146" s="300">
        <f t="shared" ref="S146" si="374">SUM(S144:S145)</f>
        <v>0.54599999999838555</v>
      </c>
      <c r="T146" s="300">
        <f t="shared" si="365"/>
        <v>6.0090000000641117</v>
      </c>
      <c r="U146" s="300"/>
      <c r="V146" s="300">
        <f>SUM(V144:V145)</f>
        <v>4.2650000000266708</v>
      </c>
      <c r="W146" s="300">
        <f t="shared" ref="W146" si="375">SUM(W144:W145)</f>
        <v>0.36899999999959354</v>
      </c>
      <c r="X146" s="300">
        <f t="shared" ref="X146" si="376">SUM(X144:X145)</f>
        <v>0.42399999999997029</v>
      </c>
      <c r="Y146" s="300">
        <f t="shared" si="366"/>
        <v>5.0580000000262348</v>
      </c>
    </row>
    <row r="147" spans="1:25" ht="12.45" x14ac:dyDescent="0.3">
      <c r="C147" s="319"/>
      <c r="D147" s="319"/>
      <c r="E147" s="319"/>
      <c r="F147" s="319"/>
      <c r="G147" s="319"/>
      <c r="H147" s="319"/>
      <c r="I147" s="319"/>
      <c r="J147" s="319"/>
      <c r="K147" s="319"/>
      <c r="L147" s="319"/>
      <c r="M147" s="319"/>
      <c r="N147" s="319"/>
      <c r="O147" s="319"/>
      <c r="P147" s="319"/>
      <c r="Q147" s="319"/>
      <c r="R147" s="319"/>
      <c r="S147" s="319"/>
      <c r="T147" s="319"/>
      <c r="U147" s="319"/>
      <c r="V147" s="319"/>
      <c r="W147" s="319"/>
      <c r="X147" s="319"/>
      <c r="Y147" s="319"/>
    </row>
    <row r="148" spans="1:25" ht="12.45" x14ac:dyDescent="0.3">
      <c r="A148" s="261" t="str">
        <f>name!A26</f>
        <v>Repair and installation</v>
      </c>
      <c r="C148" s="263"/>
    </row>
    <row r="149" spans="1:25" ht="12.45" x14ac:dyDescent="0.3">
      <c r="A149" s="260" t="s">
        <v>356</v>
      </c>
      <c r="B149" s="300">
        <v>1.6359999999861294</v>
      </c>
      <c r="C149" s="300">
        <v>0.80000000001065719</v>
      </c>
      <c r="D149" s="300">
        <v>0.64500000000259283</v>
      </c>
      <c r="E149" s="300">
        <f>SUM(B149:D149)</f>
        <v>3.0809999999993796</v>
      </c>
      <c r="F149" s="300"/>
      <c r="G149" s="300">
        <v>3.0159999999619944</v>
      </c>
      <c r="H149" s="300">
        <v>1.4070000000215326</v>
      </c>
      <c r="I149" s="300">
        <v>0.35000000000185122</v>
      </c>
      <c r="J149" s="300">
        <f>SUM(G149:I149)</f>
        <v>4.7729999999853785</v>
      </c>
      <c r="K149" s="300"/>
      <c r="L149" s="300">
        <v>2.9669999999871055</v>
      </c>
      <c r="M149" s="300">
        <v>1.3819999999844963</v>
      </c>
      <c r="N149" s="300">
        <v>0.24599999999997477</v>
      </c>
      <c r="O149" s="300">
        <f>SUM(L149:N149)</f>
        <v>4.5949999999715763</v>
      </c>
      <c r="P149" s="300"/>
      <c r="Q149" s="300">
        <v>2.4690000000592458</v>
      </c>
      <c r="R149" s="300">
        <v>1.149000000003112</v>
      </c>
      <c r="S149" s="300">
        <v>0.19600000000104867</v>
      </c>
      <c r="T149" s="300">
        <f>SUM(Q149:S149)</f>
        <v>3.8140000000634062</v>
      </c>
      <c r="U149" s="300"/>
      <c r="V149" s="300">
        <v>2.1110000000074827</v>
      </c>
      <c r="W149" s="300">
        <v>0.97799999999054021</v>
      </c>
      <c r="X149" s="300">
        <v>0.15700000000139275</v>
      </c>
      <c r="Y149" s="300">
        <f>SUM(V149:X149)</f>
        <v>3.2459999999994156</v>
      </c>
    </row>
    <row r="150" spans="1:25" ht="12.45" x14ac:dyDescent="0.3">
      <c r="A150" s="260" t="s">
        <v>355</v>
      </c>
      <c r="B150" s="300">
        <v>7.2809999999734663</v>
      </c>
      <c r="C150" s="300">
        <v>4.3000000000112185E-2</v>
      </c>
      <c r="D150" s="300">
        <v>1.4770000000093035</v>
      </c>
      <c r="E150" s="300">
        <f t="shared" ref="E150:E151" si="377">SUM(B150:D150)</f>
        <v>8.8009999999828814</v>
      </c>
      <c r="F150" s="300"/>
      <c r="G150" s="300">
        <v>11.931999999972861</v>
      </c>
      <c r="H150" s="300">
        <v>0.12600000000037065</v>
      </c>
      <c r="I150" s="300">
        <v>1.2860000000136234</v>
      </c>
      <c r="J150" s="300">
        <f t="shared" ref="J150:J151" si="378">SUM(G150:I150)</f>
        <v>13.343999999986856</v>
      </c>
      <c r="K150" s="300"/>
      <c r="L150" s="300">
        <v>11.933999999968714</v>
      </c>
      <c r="M150" s="300">
        <v>0.2510000000004477</v>
      </c>
      <c r="N150" s="300">
        <v>2.4000000000069814</v>
      </c>
      <c r="O150" s="300">
        <f t="shared" ref="O150:O151" si="379">SUM(L150:N150)</f>
        <v>14.584999999976143</v>
      </c>
      <c r="P150" s="300"/>
      <c r="Q150" s="300">
        <v>9.9130000000121186</v>
      </c>
      <c r="R150" s="300">
        <v>0.20500000000024216</v>
      </c>
      <c r="S150" s="300">
        <v>2.0819999999916483</v>
      </c>
      <c r="T150" s="300">
        <f t="shared" ref="T150:T151" si="380">SUM(Q150:S150)</f>
        <v>12.200000000004009</v>
      </c>
      <c r="U150" s="300"/>
      <c r="V150" s="300">
        <v>8.3879999999981134</v>
      </c>
      <c r="W150" s="300">
        <v>0.17100000000018664</v>
      </c>
      <c r="X150" s="300">
        <v>1.9959999999899787</v>
      </c>
      <c r="Y150" s="300">
        <f t="shared" ref="Y150:Y151" si="381">SUM(V150:X150)</f>
        <v>10.554999999988278</v>
      </c>
    </row>
    <row r="151" spans="1:25" ht="12.45" x14ac:dyDescent="0.3">
      <c r="A151" s="260" t="s">
        <v>354</v>
      </c>
      <c r="B151" s="300">
        <f>SUM(B149:B150)</f>
        <v>8.9169999999595966</v>
      </c>
      <c r="C151" s="300">
        <f t="shared" ref="C151" si="382">SUM(C149:C150)</f>
        <v>0.84300000001076936</v>
      </c>
      <c r="D151" s="300">
        <f t="shared" ref="D151" si="383">SUM(D149:D150)</f>
        <v>2.1220000000118961</v>
      </c>
      <c r="E151" s="300">
        <f t="shared" si="377"/>
        <v>11.881999999982263</v>
      </c>
      <c r="F151" s="300"/>
      <c r="G151" s="300">
        <f>SUM(G149:G150)</f>
        <v>14.947999999934856</v>
      </c>
      <c r="H151" s="300">
        <f t="shared" ref="H151" si="384">SUM(H149:H150)</f>
        <v>1.5330000000219033</v>
      </c>
      <c r="I151" s="300">
        <f t="shared" ref="I151" si="385">SUM(I149:I150)</f>
        <v>1.6360000000154746</v>
      </c>
      <c r="J151" s="300">
        <f t="shared" si="378"/>
        <v>18.116999999972233</v>
      </c>
      <c r="K151" s="300"/>
      <c r="L151" s="300">
        <f>SUM(L149:L150)</f>
        <v>14.90099999995582</v>
      </c>
      <c r="M151" s="300">
        <f t="shared" ref="M151" si="386">SUM(M149:M150)</f>
        <v>1.6329999999849441</v>
      </c>
      <c r="N151" s="300">
        <f t="shared" ref="N151" si="387">SUM(N149:N150)</f>
        <v>2.6460000000069561</v>
      </c>
      <c r="O151" s="300">
        <f t="shared" si="379"/>
        <v>19.179999999947722</v>
      </c>
      <c r="P151" s="300"/>
      <c r="Q151" s="300">
        <f>SUM(Q149:Q150)</f>
        <v>12.382000000071365</v>
      </c>
      <c r="R151" s="300">
        <f t="shared" ref="R151" si="388">SUM(R149:R150)</f>
        <v>1.3540000000033541</v>
      </c>
      <c r="S151" s="300">
        <f t="shared" ref="S151" si="389">SUM(S149:S150)</f>
        <v>2.277999999992697</v>
      </c>
      <c r="T151" s="300">
        <f t="shared" si="380"/>
        <v>16.014000000067416</v>
      </c>
      <c r="U151" s="300"/>
      <c r="V151" s="300">
        <f>SUM(V149:V150)</f>
        <v>10.499000000005596</v>
      </c>
      <c r="W151" s="300">
        <f t="shared" ref="W151" si="390">SUM(W149:W150)</f>
        <v>1.1489999999907268</v>
      </c>
      <c r="X151" s="300">
        <f t="shared" ref="X151" si="391">SUM(X149:X150)</f>
        <v>2.1529999999913714</v>
      </c>
      <c r="Y151" s="300">
        <f t="shared" si="381"/>
        <v>13.800999999987694</v>
      </c>
    </row>
    <row r="152" spans="1:25" ht="12.45" x14ac:dyDescent="0.3">
      <c r="C152" s="263"/>
    </row>
    <row r="153" spans="1:25" x14ac:dyDescent="0.35">
      <c r="A153" s="261" t="s">
        <v>370</v>
      </c>
    </row>
    <row r="154" spans="1:25" ht="12.45" x14ac:dyDescent="0.3">
      <c r="A154" s="260" t="s">
        <v>356</v>
      </c>
      <c r="B154" s="300">
        <f>SUM(B74,B79,B84,B89,B94,B99,B104,B109,B114,B119,B124,B129,B134,B139,B144,B149)</f>
        <v>21.961999999796038</v>
      </c>
      <c r="C154" s="300">
        <f t="shared" ref="C154:D155" si="392">SUM(C74,C79,C84,C89,C94,C99,C104,C109,C114,C119,C124,C129,C134,C139,C144,C149)</f>
        <v>10.090000000198218</v>
      </c>
      <c r="D154" s="300">
        <f t="shared" si="392"/>
        <v>4.8440000000650247</v>
      </c>
      <c r="E154" s="300">
        <f>SUM(B154:D154)</f>
        <v>36.896000000059281</v>
      </c>
      <c r="F154" s="300"/>
      <c r="G154" s="300">
        <f>SUM(G74,G79,G84,G89,G94,G99,G104,G109,G114,G119,G124,G129,G134,G139,G144,G149)</f>
        <v>24.327999999675153</v>
      </c>
      <c r="H154" s="300">
        <f t="shared" ref="H154:I154" si="393">SUM(H74,H79,H84,H89,H94,H99,H104,H109,H114,H119,H124,H129,H134,H139,H144,H149)</f>
        <v>8.7620000001672</v>
      </c>
      <c r="I154" s="300">
        <f t="shared" si="393"/>
        <v>2.9860000000442173</v>
      </c>
      <c r="J154" s="300">
        <f>SUM(G154:I154)</f>
        <v>36.075999999886569</v>
      </c>
      <c r="K154" s="300"/>
      <c r="L154" s="300">
        <f>SUM(L74,L79,L84,L89,L94,L99,L104,L109,L114,L119,L124,L129,L134,L139,L144,L149)</f>
        <v>23.125999999903364</v>
      </c>
      <c r="M154" s="300">
        <f t="shared" ref="M154:N154" si="394">SUM(M74,M79,M84,M89,M94,M99,M104,M109,M114,M119,M124,M129,M134,M139,M144,M149)</f>
        <v>8.4659999999283571</v>
      </c>
      <c r="N154" s="300">
        <f t="shared" si="394"/>
        <v>1.6569999999807337</v>
      </c>
      <c r="O154" s="300">
        <f>SUM(L154:N154)</f>
        <v>33.248999999812455</v>
      </c>
      <c r="P154" s="300"/>
      <c r="Q154" s="300">
        <f>SUM(Q74,Q79,Q84,Q89,Q94,Q99,Q104,Q109,Q114,Q119,Q124,Q129,Q134,Q139,Q144,Q149)</f>
        <v>21.731000000538224</v>
      </c>
      <c r="R154" s="300">
        <f t="shared" ref="R154:S154" si="395">SUM(R74,R79,R84,R89,R94,R99,R104,R109,R114,R119,R124,R129,R134,R139,R144,R149)</f>
        <v>7.8900000000745658</v>
      </c>
      <c r="S154" s="300">
        <f t="shared" si="395"/>
        <v>1.4720000000015563</v>
      </c>
      <c r="T154" s="300">
        <f>SUM(Q154:S154)</f>
        <v>31.093000000614346</v>
      </c>
      <c r="U154" s="300"/>
      <c r="V154" s="300">
        <f>SUM(V74,V79,V84,V89,V94,V99,V104,V109,V114,V119,V124,V129,V134,V139,V144,V149)</f>
        <v>19.914000000083274</v>
      </c>
      <c r="W154" s="300">
        <f t="shared" ref="W154:X154" si="396">SUM(W74,W79,W84,W89,W94,W99,W104,W109,W114,W119,W124,W129,W134,W139,W144,W149)</f>
        <v>7.2659999999381988</v>
      </c>
      <c r="X154" s="300">
        <f t="shared" si="396"/>
        <v>1.2930000000085911</v>
      </c>
      <c r="Y154" s="300">
        <f>SUM(V154:X154)</f>
        <v>28.473000000030062</v>
      </c>
    </row>
    <row r="155" spans="1:25" ht="12.45" x14ac:dyDescent="0.3">
      <c r="A155" s="260" t="s">
        <v>355</v>
      </c>
      <c r="B155" s="300">
        <f>SUM(B75,B80,B85,B90,B95,B100,B105,B110,B115,B120,B125,B130,B135,B140,B145,B150)</f>
        <v>96.143999999764333</v>
      </c>
      <c r="C155" s="300">
        <f t="shared" si="392"/>
        <v>2.9540000000165541</v>
      </c>
      <c r="D155" s="300">
        <f t="shared" si="392"/>
        <v>11.173000000002855</v>
      </c>
      <c r="E155" s="300">
        <f t="shared" ref="E155:E156" si="397">SUM(B155:D155)</f>
        <v>110.27099999978374</v>
      </c>
      <c r="F155" s="300"/>
      <c r="G155" s="300">
        <f>SUM(G75,G80,G85,G90,G95,G100,G105,G110,G115,G120,G125,G130,G135,G140,G145,G150)</f>
        <v>99.665999999963404</v>
      </c>
      <c r="H155" s="300">
        <f t="shared" ref="H155:I155" si="398">SUM(H75,H80,H85,H90,H95,H100,H105,H110,H115,H120,H125,H130,H135,H140,H145,H150)</f>
        <v>4.3200000000314249</v>
      </c>
      <c r="I155" s="300">
        <f t="shared" si="398"/>
        <v>7.9420000000757813</v>
      </c>
      <c r="J155" s="300">
        <f t="shared" ref="J155:J156" si="399">SUM(G155:I155)</f>
        <v>111.92800000007061</v>
      </c>
      <c r="K155" s="300"/>
      <c r="L155" s="300">
        <f>SUM(L75,L80,L85,L90,L95,L100,L105,L110,L115,L120,L125,L130,L135,L140,L145,L150)</f>
        <v>93.557999999997847</v>
      </c>
      <c r="M155" s="300">
        <f t="shared" ref="M155:N155" si="400">SUM(M75,M80,M85,M90,M95,M100,M105,M110,M115,M120,M125,M130,M135,M140,M145,M150)</f>
        <v>7.5580000000360563</v>
      </c>
      <c r="N155" s="300">
        <f t="shared" si="400"/>
        <v>10.020999999980466</v>
      </c>
      <c r="O155" s="300">
        <f t="shared" ref="O155:O156" si="401">SUM(L155:N155)</f>
        <v>111.13700000001437</v>
      </c>
      <c r="P155" s="300"/>
      <c r="Q155" s="300">
        <f>SUM(Q75,Q80,Q85,Q90,Q95,Q100,Q105,Q110,Q115,Q120,Q125,Q130,Q135,Q140,Q145,Q150)</f>
        <v>86.386000000353405</v>
      </c>
      <c r="R155" s="300">
        <f t="shared" ref="R155:S155" si="402">SUM(R75,R80,R85,R90,R95,R100,R105,R110,R115,R120,R125,R130,R135,R140,R145,R150)</f>
        <v>7.0780000000339856</v>
      </c>
      <c r="S155" s="300">
        <f t="shared" si="402"/>
        <v>9.1729999998657838</v>
      </c>
      <c r="T155" s="300">
        <f t="shared" ref="T155:T156" si="403">SUM(Q155:S155)</f>
        <v>102.63700000025317</v>
      </c>
      <c r="U155" s="300"/>
      <c r="V155" s="300">
        <f>SUM(V75,V80,V85,V90,V95,V100,V105,V110,V115,V120,V125,V130,V135,V140,V145,V150)</f>
        <v>77.190000000316317</v>
      </c>
      <c r="W155" s="300">
        <f t="shared" ref="W155" si="404">SUM(W75,W80,W85,W90,W95,W100,W105,W110,W115,W120,W125,W130,W135,W140,W145,W150)</f>
        <v>6.4890000000494572</v>
      </c>
      <c r="X155" s="300">
        <f>SUM(X75,X80,X85,X90,X95,X100,X105,X110,X115,X120,X125,X130,X135,X140,X145,X150)</f>
        <v>8.4359999999223838</v>
      </c>
      <c r="Y155" s="300">
        <f t="shared" ref="Y155:Y156" si="405">SUM(V155:X155)</f>
        <v>92.115000000288163</v>
      </c>
    </row>
    <row r="156" spans="1:25" ht="12.45" x14ac:dyDescent="0.3">
      <c r="A156" s="264" t="s">
        <v>354</v>
      </c>
      <c r="B156" s="301">
        <f>SUM(B154:B155)</f>
        <v>118.10599999956037</v>
      </c>
      <c r="C156" s="301">
        <f t="shared" ref="C156" si="406">SUM(C154:C155)</f>
        <v>13.044000000214773</v>
      </c>
      <c r="D156" s="301">
        <f t="shared" ref="D156" si="407">SUM(D154:D155)</f>
        <v>16.017000000067881</v>
      </c>
      <c r="E156" s="301">
        <f t="shared" si="397"/>
        <v>147.16699999984303</v>
      </c>
      <c r="F156" s="301"/>
      <c r="G156" s="301">
        <f>SUM(G154:G155)</f>
        <v>123.99399999963856</v>
      </c>
      <c r="H156" s="301">
        <f t="shared" ref="H156" si="408">SUM(H154:H155)</f>
        <v>13.082000000198626</v>
      </c>
      <c r="I156" s="301">
        <f t="shared" ref="I156" si="409">SUM(I154:I155)</f>
        <v>10.928000000119999</v>
      </c>
      <c r="J156" s="301">
        <f t="shared" si="399"/>
        <v>148.00399999995719</v>
      </c>
      <c r="K156" s="301"/>
      <c r="L156" s="301">
        <f>SUM(L154:L155)</f>
        <v>116.6839999999012</v>
      </c>
      <c r="M156" s="301">
        <f t="shared" ref="M156" si="410">SUM(M154:M155)</f>
        <v>16.023999999964413</v>
      </c>
      <c r="N156" s="301">
        <f t="shared" ref="N156" si="411">SUM(N154:N155)</f>
        <v>11.6779999999612</v>
      </c>
      <c r="O156" s="301">
        <f t="shared" si="401"/>
        <v>144.38599999982682</v>
      </c>
      <c r="P156" s="301"/>
      <c r="Q156" s="301">
        <f>SUM(Q154:Q155)</f>
        <v>108.11700000089164</v>
      </c>
      <c r="R156" s="301">
        <f t="shared" ref="R156" si="412">SUM(R154:R155)</f>
        <v>14.968000000108551</v>
      </c>
      <c r="S156" s="301">
        <f t="shared" ref="S156" si="413">SUM(S154:S155)</f>
        <v>10.644999999867339</v>
      </c>
      <c r="T156" s="301">
        <f t="shared" si="403"/>
        <v>133.73000000086753</v>
      </c>
      <c r="U156" s="301"/>
      <c r="V156" s="301">
        <f>SUM(V154:V155)</f>
        <v>97.104000000399594</v>
      </c>
      <c r="W156" s="301">
        <f t="shared" ref="W156" si="414">SUM(W154:W155)</f>
        <v>13.754999999987657</v>
      </c>
      <c r="X156" s="301">
        <f t="shared" ref="X156" si="415">SUM(X154:X155)</f>
        <v>9.7289999999309753</v>
      </c>
      <c r="Y156" s="301">
        <f t="shared" si="405"/>
        <v>120.58800000031823</v>
      </c>
    </row>
    <row r="157" spans="1:25" ht="12.45" x14ac:dyDescent="0.3">
      <c r="C157" s="263"/>
    </row>
    <row r="158" spans="1:25" ht="12.45" x14ac:dyDescent="0.3">
      <c r="C158" s="263"/>
    </row>
    <row r="159" spans="1:25" ht="12.45" x14ac:dyDescent="0.3">
      <c r="C159" s="263"/>
    </row>
    <row r="160" spans="1:25" ht="14.15" x14ac:dyDescent="0.35">
      <c r="A160" s="265" t="str">
        <f>"Industry 6 : "&amp; name!B9</f>
        <v>Industry 6 : Electricity and gas</v>
      </c>
      <c r="B160" s="372">
        <f>$B$5</f>
        <v>2015</v>
      </c>
      <c r="C160" s="372"/>
      <c r="D160" s="372"/>
      <c r="E160" s="372"/>
      <c r="F160" s="320"/>
      <c r="G160" s="372">
        <f>$G$5</f>
        <v>2019</v>
      </c>
      <c r="H160" s="372"/>
      <c r="I160" s="372"/>
      <c r="J160" s="372"/>
      <c r="K160" s="320"/>
      <c r="L160" s="372">
        <f>$L$5</f>
        <v>2020</v>
      </c>
      <c r="M160" s="372"/>
      <c r="N160" s="372"/>
      <c r="O160" s="372"/>
      <c r="P160" s="318"/>
      <c r="Q160" s="372">
        <f>$Q$5</f>
        <v>2025</v>
      </c>
      <c r="R160" s="372"/>
      <c r="S160" s="372"/>
      <c r="T160" s="372"/>
      <c r="U160" s="320"/>
      <c r="V160" s="372">
        <f>$V$5</f>
        <v>2035</v>
      </c>
      <c r="W160" s="372"/>
      <c r="X160" s="372"/>
      <c r="Y160" s="372"/>
    </row>
    <row r="161" spans="1:25" ht="12.45" x14ac:dyDescent="0.3">
      <c r="A161" s="264"/>
      <c r="B161" s="268" t="str">
        <f>$B$6</f>
        <v>FT</v>
      </c>
      <c r="C161" s="268" t="str">
        <f>$C$6</f>
        <v>PT</v>
      </c>
      <c r="D161" s="268" t="str">
        <f>$D$6</f>
        <v>SE</v>
      </c>
      <c r="E161" s="268" t="str">
        <f>$E$6</f>
        <v>Total</v>
      </c>
      <c r="F161" s="268"/>
      <c r="G161" s="268" t="str">
        <f>$B$6</f>
        <v>FT</v>
      </c>
      <c r="H161" s="268" t="str">
        <f>$C$6</f>
        <v>PT</v>
      </c>
      <c r="I161" s="268" t="str">
        <f>$D$6</f>
        <v>SE</v>
      </c>
      <c r="J161" s="268" t="str">
        <f>$E$6</f>
        <v>Total</v>
      </c>
      <c r="K161" s="268"/>
      <c r="L161" s="268" t="str">
        <f>$L$6</f>
        <v>FT</v>
      </c>
      <c r="M161" s="268" t="str">
        <f>$M$6</f>
        <v>PT</v>
      </c>
      <c r="N161" s="268" t="str">
        <f>$N$6</f>
        <v>SE</v>
      </c>
      <c r="O161" s="268" t="str">
        <f>$O$6</f>
        <v>Total</v>
      </c>
      <c r="P161" s="268"/>
      <c r="Q161" s="268" t="str">
        <f>$L$6</f>
        <v>FT</v>
      </c>
      <c r="R161" s="268" t="str">
        <f>$M$6</f>
        <v>PT</v>
      </c>
      <c r="S161" s="268" t="str">
        <f>$N$6</f>
        <v>SE</v>
      </c>
      <c r="T161" s="268" t="str">
        <f>$O$6</f>
        <v>Total</v>
      </c>
      <c r="U161" s="268"/>
      <c r="V161" s="268" t="str">
        <f>$V$6</f>
        <v>FT</v>
      </c>
      <c r="W161" s="268" t="str">
        <f>$W$6</f>
        <v>PT</v>
      </c>
      <c r="X161" s="268" t="str">
        <f>$X$6</f>
        <v>SE</v>
      </c>
      <c r="Y161" s="268" t="str">
        <f>$Y$6</f>
        <v>Total</v>
      </c>
    </row>
    <row r="162" spans="1:25" ht="12.45" x14ac:dyDescent="0.3">
      <c r="C162" s="319"/>
      <c r="D162" s="319"/>
      <c r="E162" s="319"/>
      <c r="F162" s="319"/>
      <c r="G162" s="319"/>
      <c r="H162" s="319"/>
      <c r="I162" s="319"/>
      <c r="J162" s="319"/>
      <c r="K162" s="319"/>
      <c r="L162" s="319"/>
      <c r="M162" s="319"/>
      <c r="N162" s="319"/>
      <c r="O162" s="319"/>
      <c r="P162" s="319"/>
      <c r="Q162" s="319"/>
      <c r="R162" s="319"/>
      <c r="S162" s="319"/>
      <c r="T162" s="319"/>
      <c r="U162" s="319"/>
      <c r="V162" s="319"/>
      <c r="W162" s="319"/>
      <c r="X162" s="319"/>
      <c r="Y162" s="319"/>
    </row>
    <row r="163" spans="1:25" ht="12.45" x14ac:dyDescent="0.3">
      <c r="A163" s="261" t="str">
        <f>name!A27</f>
        <v>Electricity, gas, etc</v>
      </c>
      <c r="C163" s="263"/>
    </row>
    <row r="164" spans="1:25" ht="12.45" x14ac:dyDescent="0.3">
      <c r="A164" s="260" t="s">
        <v>356</v>
      </c>
      <c r="B164" s="300">
        <v>1.1839999999959228</v>
      </c>
      <c r="C164" s="300">
        <v>0.24800000000385175</v>
      </c>
      <c r="D164" s="300">
        <v>0.90200000000643166</v>
      </c>
      <c r="E164" s="300">
        <f>SUM(B164:D164)</f>
        <v>2.3340000000062062</v>
      </c>
      <c r="F164" s="300"/>
      <c r="G164" s="300">
        <v>1.3599999999947456</v>
      </c>
      <c r="H164" s="300">
        <v>0.32100000000546508</v>
      </c>
      <c r="I164" s="300">
        <v>1.0000000000077039E-3</v>
      </c>
      <c r="J164" s="300">
        <f>SUM(G164:I164)</f>
        <v>1.6820000000002184</v>
      </c>
      <c r="K164" s="300"/>
      <c r="L164" s="300">
        <v>0.98999999998505928</v>
      </c>
      <c r="M164" s="300">
        <v>0.22099999999959832</v>
      </c>
      <c r="N164" s="300">
        <v>0</v>
      </c>
      <c r="O164" s="300">
        <f>SUM(L164:N164)</f>
        <v>1.2109999999846577</v>
      </c>
      <c r="P164" s="300"/>
      <c r="Q164" s="300">
        <v>0.93300000001409589</v>
      </c>
      <c r="R164" s="300">
        <v>0.20600000000298363</v>
      </c>
      <c r="S164" s="300">
        <v>0</v>
      </c>
      <c r="T164" s="300">
        <f>SUM(Q164:S164)</f>
        <v>1.1390000000170795</v>
      </c>
      <c r="U164" s="300"/>
      <c r="V164" s="300">
        <v>0.90999999998998371</v>
      </c>
      <c r="W164" s="300">
        <v>0.19699999999753043</v>
      </c>
      <c r="X164" s="300">
        <v>0</v>
      </c>
      <c r="Y164" s="300">
        <f>SUM(V164:X164)</f>
        <v>1.1069999999875142</v>
      </c>
    </row>
    <row r="165" spans="1:25" ht="12.45" x14ac:dyDescent="0.3">
      <c r="A165" s="260" t="s">
        <v>355</v>
      </c>
      <c r="B165" s="300">
        <v>4.1219999999751389</v>
      </c>
      <c r="C165" s="300">
        <v>7.8000000000375269E-2</v>
      </c>
      <c r="D165" s="300">
        <v>0.4429999999980061</v>
      </c>
      <c r="E165" s="300">
        <f t="shared" ref="E165:E166" si="416">SUM(B165:D165)</f>
        <v>4.6429999999735205</v>
      </c>
      <c r="F165" s="300"/>
      <c r="G165" s="300">
        <v>4.4089999999752525</v>
      </c>
      <c r="H165" s="300">
        <v>6.6000000000408052E-2</v>
      </c>
      <c r="I165" s="300">
        <v>1.0599999999947145</v>
      </c>
      <c r="J165" s="300">
        <f t="shared" ref="J165:J166" si="417">SUM(G165:I165)</f>
        <v>5.5349999999703758</v>
      </c>
      <c r="K165" s="300"/>
      <c r="L165" s="300">
        <v>3.245999999977065</v>
      </c>
      <c r="M165" s="300">
        <v>3.4999999999998047E-2</v>
      </c>
      <c r="N165" s="300">
        <v>1.4379999999866961</v>
      </c>
      <c r="O165" s="300">
        <f t="shared" ref="O165:O166" si="418">SUM(L165:N165)</f>
        <v>4.7189999999637591</v>
      </c>
      <c r="P165" s="300"/>
      <c r="Q165" s="300">
        <v>3.0089999999898867</v>
      </c>
      <c r="R165" s="300">
        <v>3.3000000000086314E-2</v>
      </c>
      <c r="S165" s="300">
        <v>1.3469999999951638</v>
      </c>
      <c r="T165" s="300">
        <f t="shared" ref="T165:T166" si="419">SUM(Q165:S165)</f>
        <v>4.3889999999851366</v>
      </c>
      <c r="U165" s="300"/>
      <c r="V165" s="300">
        <v>2.843999999978899</v>
      </c>
      <c r="W165" s="300">
        <v>3.2000000000091039E-2</v>
      </c>
      <c r="X165" s="300">
        <v>1.3039999999840903</v>
      </c>
      <c r="Y165" s="300">
        <f t="shared" ref="Y165:Y166" si="420">SUM(V165:X165)</f>
        <v>4.1799999999630799</v>
      </c>
    </row>
    <row r="166" spans="1:25" ht="12.45" x14ac:dyDescent="0.3">
      <c r="A166" s="264" t="s">
        <v>354</v>
      </c>
      <c r="B166" s="301">
        <f>SUM(B164:B165)</f>
        <v>5.3059999999710614</v>
      </c>
      <c r="C166" s="301">
        <f t="shared" ref="C166" si="421">SUM(C164:C165)</f>
        <v>0.32600000000422702</v>
      </c>
      <c r="D166" s="301">
        <f t="shared" ref="D166" si="422">SUM(D164:D165)</f>
        <v>1.3450000000044378</v>
      </c>
      <c r="E166" s="301">
        <f t="shared" si="416"/>
        <v>6.9769999999797268</v>
      </c>
      <c r="F166" s="301"/>
      <c r="G166" s="301">
        <f>SUM(G164:G165)</f>
        <v>5.7689999999699983</v>
      </c>
      <c r="H166" s="301">
        <f t="shared" ref="H166" si="423">SUM(H164:H165)</f>
        <v>0.38700000000587315</v>
      </c>
      <c r="I166" s="301">
        <f t="shared" ref="I166" si="424">SUM(I164:I165)</f>
        <v>1.0609999999947222</v>
      </c>
      <c r="J166" s="301">
        <f t="shared" si="417"/>
        <v>7.2169999999705938</v>
      </c>
      <c r="K166" s="301"/>
      <c r="L166" s="301">
        <f>SUM(L164:L165)</f>
        <v>4.2359999999621243</v>
      </c>
      <c r="M166" s="301">
        <f t="shared" ref="M166" si="425">SUM(M164:M165)</f>
        <v>0.25599999999959638</v>
      </c>
      <c r="N166" s="301">
        <f t="shared" ref="N166" si="426">SUM(N164:N165)</f>
        <v>1.4379999999866961</v>
      </c>
      <c r="O166" s="301">
        <f t="shared" si="418"/>
        <v>5.9299999999484161</v>
      </c>
      <c r="P166" s="301"/>
      <c r="Q166" s="301">
        <f>SUM(Q164:Q165)</f>
        <v>3.9420000000039828</v>
      </c>
      <c r="R166" s="301">
        <f t="shared" ref="R166" si="427">SUM(R164:R165)</f>
        <v>0.23900000000306995</v>
      </c>
      <c r="S166" s="301">
        <f t="shared" ref="S166" si="428">SUM(S164:S165)</f>
        <v>1.3469999999951638</v>
      </c>
      <c r="T166" s="301">
        <f t="shared" si="419"/>
        <v>5.5280000000022174</v>
      </c>
      <c r="U166" s="301"/>
      <c r="V166" s="301">
        <f>SUM(V164:V165)</f>
        <v>3.7539999999688827</v>
      </c>
      <c r="W166" s="301">
        <f t="shared" ref="W166" si="429">SUM(W164:W165)</f>
        <v>0.22899999999762147</v>
      </c>
      <c r="X166" s="301">
        <f t="shared" ref="X166" si="430">SUM(X164:X165)</f>
        <v>1.3039999999840903</v>
      </c>
      <c r="Y166" s="301">
        <f t="shared" si="420"/>
        <v>5.286999999950595</v>
      </c>
    </row>
    <row r="167" spans="1:25" ht="12.45" x14ac:dyDescent="0.3">
      <c r="C167" s="263"/>
    </row>
    <row r="168" spans="1:25" ht="12.45" x14ac:dyDescent="0.3">
      <c r="C168" s="263"/>
    </row>
    <row r="169" spans="1:25" ht="12.45" x14ac:dyDescent="0.3">
      <c r="C169" s="263"/>
    </row>
    <row r="170" spans="1:25" ht="14.15" x14ac:dyDescent="0.35">
      <c r="A170" s="265" t="str">
        <f>"Industry 7 : "&amp; name!B10</f>
        <v>Industry 7 : Water and sewerage</v>
      </c>
      <c r="B170" s="372">
        <f>$B$5</f>
        <v>2015</v>
      </c>
      <c r="C170" s="372"/>
      <c r="D170" s="372"/>
      <c r="E170" s="372"/>
      <c r="F170" s="320"/>
      <c r="G170" s="372">
        <f>$G$5</f>
        <v>2019</v>
      </c>
      <c r="H170" s="372"/>
      <c r="I170" s="372"/>
      <c r="J170" s="372"/>
      <c r="K170" s="320"/>
      <c r="L170" s="372">
        <f>$L$5</f>
        <v>2020</v>
      </c>
      <c r="M170" s="372"/>
      <c r="N170" s="372"/>
      <c r="O170" s="372"/>
      <c r="P170" s="318"/>
      <c r="Q170" s="372">
        <f>$Q$5</f>
        <v>2025</v>
      </c>
      <c r="R170" s="372"/>
      <c r="S170" s="372"/>
      <c r="T170" s="372"/>
      <c r="U170" s="320"/>
      <c r="V170" s="372">
        <f>$V$5</f>
        <v>2035</v>
      </c>
      <c r="W170" s="372"/>
      <c r="X170" s="372"/>
      <c r="Y170" s="372"/>
    </row>
    <row r="171" spans="1:25" ht="12.45" x14ac:dyDescent="0.3">
      <c r="A171" s="264"/>
      <c r="B171" s="268" t="str">
        <f>$B$6</f>
        <v>FT</v>
      </c>
      <c r="C171" s="268" t="str">
        <f>$C$6</f>
        <v>PT</v>
      </c>
      <c r="D171" s="268" t="str">
        <f>$D$6</f>
        <v>SE</v>
      </c>
      <c r="E171" s="268" t="str">
        <f>$E$6</f>
        <v>Total</v>
      </c>
      <c r="F171" s="268"/>
      <c r="G171" s="268" t="str">
        <f>$B$6</f>
        <v>FT</v>
      </c>
      <c r="H171" s="268" t="str">
        <f>$C$6</f>
        <v>PT</v>
      </c>
      <c r="I171" s="268" t="str">
        <f>$D$6</f>
        <v>SE</v>
      </c>
      <c r="J171" s="268" t="str">
        <f>$E$6</f>
        <v>Total</v>
      </c>
      <c r="K171" s="268"/>
      <c r="L171" s="268" t="str">
        <f>$L$6</f>
        <v>FT</v>
      </c>
      <c r="M171" s="268" t="str">
        <f>$M$6</f>
        <v>PT</v>
      </c>
      <c r="N171" s="268" t="str">
        <f>$N$6</f>
        <v>SE</v>
      </c>
      <c r="O171" s="268" t="str">
        <f>$O$6</f>
        <v>Total</v>
      </c>
      <c r="P171" s="268"/>
      <c r="Q171" s="268" t="str">
        <f>$L$6</f>
        <v>FT</v>
      </c>
      <c r="R171" s="268" t="str">
        <f>$M$6</f>
        <v>PT</v>
      </c>
      <c r="S171" s="268" t="str">
        <f>$N$6</f>
        <v>SE</v>
      </c>
      <c r="T171" s="268" t="str">
        <f>$O$6</f>
        <v>Total</v>
      </c>
      <c r="U171" s="268"/>
      <c r="V171" s="268" t="str">
        <f>$V$6</f>
        <v>FT</v>
      </c>
      <c r="W171" s="268" t="str">
        <f>$W$6</f>
        <v>PT</v>
      </c>
      <c r="X171" s="268" t="str">
        <f>$X$6</f>
        <v>SE</v>
      </c>
      <c r="Y171" s="268" t="str">
        <f>$Y$6</f>
        <v>Total</v>
      </c>
    </row>
    <row r="172" spans="1:25" ht="12.45" x14ac:dyDescent="0.3">
      <c r="C172" s="319"/>
      <c r="D172" s="319"/>
      <c r="E172" s="319"/>
      <c r="F172" s="319"/>
      <c r="G172" s="319"/>
      <c r="H172" s="319"/>
      <c r="I172" s="319"/>
      <c r="J172" s="319"/>
      <c r="K172" s="319"/>
      <c r="L172" s="319"/>
      <c r="M172" s="319"/>
      <c r="N172" s="319"/>
      <c r="O172" s="319"/>
      <c r="P172" s="319"/>
      <c r="Q172" s="319"/>
      <c r="R172" s="319"/>
      <c r="S172" s="319"/>
      <c r="T172" s="319"/>
      <c r="U172" s="319"/>
      <c r="V172" s="319"/>
      <c r="W172" s="319"/>
      <c r="X172" s="319"/>
      <c r="Y172" s="319"/>
    </row>
    <row r="173" spans="1:25" ht="12.45" x14ac:dyDescent="0.3">
      <c r="A173" s="261" t="str">
        <f>name!A28</f>
        <v>Water</v>
      </c>
      <c r="C173" s="263"/>
    </row>
    <row r="174" spans="1:25" ht="12.45" x14ac:dyDescent="0.3">
      <c r="A174" s="260" t="s">
        <v>356</v>
      </c>
      <c r="B174" s="300">
        <v>0.89199999999028556</v>
      </c>
      <c r="C174" s="300">
        <v>0.32500000000398849</v>
      </c>
      <c r="D174" s="300">
        <v>0.21200000000085295</v>
      </c>
      <c r="E174" s="300">
        <f>SUM(B174:D174)</f>
        <v>1.4289999999951268</v>
      </c>
      <c r="F174" s="300"/>
      <c r="G174" s="300">
        <v>0.81899999999101203</v>
      </c>
      <c r="H174" s="300">
        <v>0.44600000000645446</v>
      </c>
      <c r="I174" s="300">
        <v>8.8000000000534179E-2</v>
      </c>
      <c r="J174" s="300">
        <f>SUM(G174:I174)</f>
        <v>1.3529999999980007</v>
      </c>
      <c r="K174" s="300"/>
      <c r="L174" s="300">
        <v>0.86899999999696476</v>
      </c>
      <c r="M174" s="300">
        <v>0.44799999999796852</v>
      </c>
      <c r="N174" s="300">
        <v>3.499999999993969E-2</v>
      </c>
      <c r="O174" s="300">
        <f>SUM(L174:N174)</f>
        <v>1.3519999999948731</v>
      </c>
      <c r="P174" s="300"/>
      <c r="Q174" s="300">
        <v>0.9570000000203025</v>
      </c>
      <c r="R174" s="300">
        <v>0.48000000000415283</v>
      </c>
      <c r="S174" s="300">
        <v>3.7000000000059728E-2</v>
      </c>
      <c r="T174" s="300">
        <f>SUM(Q174:S174)</f>
        <v>1.474000000024515</v>
      </c>
      <c r="U174" s="300"/>
      <c r="V174" s="300">
        <v>1.1230000000034288</v>
      </c>
      <c r="W174" s="300">
        <v>0.53499999999628123</v>
      </c>
      <c r="X174" s="300">
        <v>3.9000000001134412E-2</v>
      </c>
      <c r="Y174" s="300">
        <f>SUM(V174:X174)</f>
        <v>1.6970000000008443</v>
      </c>
    </row>
    <row r="175" spans="1:25" ht="12.45" x14ac:dyDescent="0.3">
      <c r="A175" s="260" t="s">
        <v>355</v>
      </c>
      <c r="B175" s="300">
        <v>2.9179999999831159</v>
      </c>
      <c r="C175" s="300">
        <v>9.3999999999890838E-2</v>
      </c>
      <c r="D175" s="300">
        <v>0</v>
      </c>
      <c r="E175" s="300">
        <f t="shared" ref="E175:E176" si="431">SUM(B175:D175)</f>
        <v>3.0119999999830069</v>
      </c>
      <c r="F175" s="300"/>
      <c r="G175" s="300">
        <v>4.5269999999767307</v>
      </c>
      <c r="H175" s="300">
        <v>0.14799999999994656</v>
      </c>
      <c r="I175" s="300">
        <v>1.7000000000218288E-2</v>
      </c>
      <c r="J175" s="300">
        <f t="shared" ref="J175:J176" si="432">SUM(G175:I175)</f>
        <v>4.6919999999768951</v>
      </c>
      <c r="K175" s="300"/>
      <c r="L175" s="300">
        <v>3.7109999999736174</v>
      </c>
      <c r="M175" s="300">
        <v>0.13700000000004448</v>
      </c>
      <c r="N175" s="300">
        <v>0.21099999999978847</v>
      </c>
      <c r="O175" s="300">
        <f t="shared" ref="O175:O176" si="433">SUM(L175:N175)</f>
        <v>4.0589999999734498</v>
      </c>
      <c r="P175" s="300"/>
      <c r="Q175" s="300">
        <v>3.9039999999860298</v>
      </c>
      <c r="R175" s="300">
        <v>0.14600000000026866</v>
      </c>
      <c r="S175" s="300">
        <v>0.21899999999808228</v>
      </c>
      <c r="T175" s="300">
        <f t="shared" ref="T175:T176" si="434">SUM(Q175:S175)</f>
        <v>4.2689999999843806</v>
      </c>
      <c r="U175" s="300"/>
      <c r="V175" s="300">
        <v>4.1969999999521042</v>
      </c>
      <c r="W175" s="300">
        <v>0.15900000000021006</v>
      </c>
      <c r="X175" s="300">
        <v>0.23099999999917409</v>
      </c>
      <c r="Y175" s="300">
        <f t="shared" ref="Y175:Y176" si="435">SUM(V175:X175)</f>
        <v>4.5869999999514883</v>
      </c>
    </row>
    <row r="176" spans="1:25" ht="12.45" x14ac:dyDescent="0.3">
      <c r="A176" s="260" t="s">
        <v>354</v>
      </c>
      <c r="B176" s="300">
        <f>SUM(B174:B175)</f>
        <v>3.8099999999734013</v>
      </c>
      <c r="C176" s="300">
        <f t="shared" ref="C176" si="436">SUM(C174:C175)</f>
        <v>0.41900000000387932</v>
      </c>
      <c r="D176" s="300">
        <f t="shared" ref="D176" si="437">SUM(D174:D175)</f>
        <v>0.21200000000085295</v>
      </c>
      <c r="E176" s="300">
        <f t="shared" si="431"/>
        <v>4.4409999999781338</v>
      </c>
      <c r="F176" s="300"/>
      <c r="G176" s="300">
        <f>SUM(G174:G175)</f>
        <v>5.3459999999677432</v>
      </c>
      <c r="H176" s="300">
        <f t="shared" ref="H176" si="438">SUM(H174:H175)</f>
        <v>0.59400000000640096</v>
      </c>
      <c r="I176" s="300">
        <f t="shared" ref="I176" si="439">SUM(I174:I175)</f>
        <v>0.10500000000075246</v>
      </c>
      <c r="J176" s="300">
        <f t="shared" si="432"/>
        <v>6.0449999999748973</v>
      </c>
      <c r="K176" s="300"/>
      <c r="L176" s="300">
        <f>SUM(L174:L175)</f>
        <v>4.5799999999705818</v>
      </c>
      <c r="M176" s="300">
        <f t="shared" ref="M176" si="440">SUM(M174:M175)</f>
        <v>0.584999999998013</v>
      </c>
      <c r="N176" s="300">
        <f t="shared" ref="N176" si="441">SUM(N174:N175)</f>
        <v>0.24599999999972816</v>
      </c>
      <c r="O176" s="300">
        <f t="shared" si="433"/>
        <v>5.4109999999683227</v>
      </c>
      <c r="P176" s="300"/>
      <c r="Q176" s="300">
        <f>SUM(Q174:Q175)</f>
        <v>4.8610000000063325</v>
      </c>
      <c r="R176" s="300">
        <f t="shared" ref="R176" si="442">SUM(R174:R175)</f>
        <v>0.62600000000442146</v>
      </c>
      <c r="S176" s="300">
        <f t="shared" ref="S176" si="443">SUM(S174:S175)</f>
        <v>0.25599999999814199</v>
      </c>
      <c r="T176" s="300">
        <f t="shared" si="434"/>
        <v>5.7430000000088963</v>
      </c>
      <c r="U176" s="300"/>
      <c r="V176" s="300">
        <f>SUM(V174:V175)</f>
        <v>5.3199999999555327</v>
      </c>
      <c r="W176" s="300">
        <f t="shared" ref="W176" si="444">SUM(W174:W175)</f>
        <v>0.69399999999649131</v>
      </c>
      <c r="X176" s="300">
        <f t="shared" ref="X176" si="445">SUM(X174:X175)</f>
        <v>0.27000000000030849</v>
      </c>
      <c r="Y176" s="300">
        <f t="shared" si="435"/>
        <v>6.283999999952333</v>
      </c>
    </row>
    <row r="177" spans="1:25" ht="12.45" x14ac:dyDescent="0.3">
      <c r="C177" s="319"/>
      <c r="D177" s="319"/>
      <c r="E177" s="319"/>
      <c r="F177" s="319"/>
      <c r="G177" s="319"/>
      <c r="H177" s="319"/>
      <c r="I177" s="319"/>
      <c r="J177" s="319"/>
      <c r="K177" s="319"/>
      <c r="L177" s="319"/>
      <c r="M177" s="319"/>
      <c r="N177" s="319"/>
      <c r="O177" s="319"/>
      <c r="P177" s="319"/>
      <c r="Q177" s="319"/>
      <c r="R177" s="319"/>
      <c r="S177" s="319"/>
      <c r="T177" s="319"/>
      <c r="U177" s="319"/>
      <c r="V177" s="319"/>
      <c r="W177" s="319"/>
      <c r="X177" s="319"/>
      <c r="Y177" s="319"/>
    </row>
    <row r="178" spans="1:25" ht="12.45" x14ac:dyDescent="0.3">
      <c r="A178" s="261" t="str">
        <f>name!A29</f>
        <v>Sewerage</v>
      </c>
      <c r="C178" s="263"/>
    </row>
    <row r="179" spans="1:25" ht="12.45" x14ac:dyDescent="0.3">
      <c r="A179" s="260" t="s">
        <v>356</v>
      </c>
      <c r="B179" s="300">
        <v>1.3309999999871014</v>
      </c>
      <c r="C179" s="300">
        <v>0.17100000000066218</v>
      </c>
      <c r="D179" s="300">
        <v>0.18799999999999806</v>
      </c>
      <c r="E179" s="300">
        <f>SUM(B179:D179)</f>
        <v>1.6899999999877617</v>
      </c>
      <c r="F179" s="300"/>
      <c r="G179" s="300">
        <v>0.85699999999138377</v>
      </c>
      <c r="H179" s="300">
        <v>0.12900000000040979</v>
      </c>
      <c r="I179" s="300">
        <v>7.3000000000298923E-2</v>
      </c>
      <c r="J179" s="300">
        <f>SUM(G179:I179)</f>
        <v>1.0589999999920925</v>
      </c>
      <c r="K179" s="300"/>
      <c r="L179" s="300">
        <v>0.90999999999745418</v>
      </c>
      <c r="M179" s="300">
        <v>0.13000000000048331</v>
      </c>
      <c r="N179" s="300">
        <v>9.0000000000067457E-3</v>
      </c>
      <c r="O179" s="300">
        <f>SUM(L179:N179)</f>
        <v>1.0489999999979442</v>
      </c>
      <c r="P179" s="300"/>
      <c r="Q179" s="300">
        <v>1.0020000000184555</v>
      </c>
      <c r="R179" s="300">
        <v>0.13900000000142834</v>
      </c>
      <c r="S179" s="300">
        <v>1.0000000000034318E-2</v>
      </c>
      <c r="T179" s="300">
        <f>SUM(Q179:S179)</f>
        <v>1.1510000000199183</v>
      </c>
      <c r="U179" s="300"/>
      <c r="V179" s="300">
        <v>1.1760000000070545</v>
      </c>
      <c r="W179" s="300">
        <v>0.1550000000008947</v>
      </c>
      <c r="X179" s="300">
        <v>1.0000000000006674E-2</v>
      </c>
      <c r="Y179" s="300">
        <f>SUM(V179:X179)</f>
        <v>1.3410000000079558</v>
      </c>
    </row>
    <row r="180" spans="1:25" ht="12.45" x14ac:dyDescent="0.3">
      <c r="A180" s="260" t="s">
        <v>355</v>
      </c>
      <c r="B180" s="300">
        <v>4.0090000000045762</v>
      </c>
      <c r="C180" s="300">
        <v>0.11900000000123349</v>
      </c>
      <c r="D180" s="300">
        <v>0</v>
      </c>
      <c r="E180" s="300">
        <f t="shared" ref="E180:E181" si="446">SUM(B180:D180)</f>
        <v>4.1280000000058097</v>
      </c>
      <c r="F180" s="300"/>
      <c r="G180" s="300">
        <v>1.9820000000085451</v>
      </c>
      <c r="H180" s="300">
        <v>0.1040000000013849</v>
      </c>
      <c r="I180" s="300">
        <v>1.7000000000096216E-2</v>
      </c>
      <c r="J180" s="300">
        <f t="shared" ref="J180:J181" si="447">SUM(G180:I180)</f>
        <v>2.1030000000100264</v>
      </c>
      <c r="K180" s="300"/>
      <c r="L180" s="300">
        <v>1.6250000000096969</v>
      </c>
      <c r="M180" s="300">
        <v>9.6000000001036867E-2</v>
      </c>
      <c r="N180" s="300">
        <v>2.3999999999959613E-2</v>
      </c>
      <c r="O180" s="300">
        <f t="shared" ref="O180:O181" si="448">SUM(L180:N180)</f>
        <v>1.7450000000106933</v>
      </c>
      <c r="P180" s="300"/>
      <c r="Q180" s="300">
        <v>1.7100000000171418</v>
      </c>
      <c r="R180" s="300">
        <v>0.10200000000114666</v>
      </c>
      <c r="S180" s="300">
        <v>2.4999999999773689E-2</v>
      </c>
      <c r="T180" s="300">
        <f t="shared" ref="T180:T181" si="449">SUM(Q180:S180)</f>
        <v>1.8370000000180622</v>
      </c>
      <c r="U180" s="300"/>
      <c r="V180" s="300">
        <v>1.8380000000266241</v>
      </c>
      <c r="W180" s="300">
        <v>0.11100000000178972</v>
      </c>
      <c r="X180" s="300">
        <v>2.5999999999714411E-2</v>
      </c>
      <c r="Y180" s="300">
        <f t="shared" ref="Y180:Y181" si="450">SUM(V180:X180)</f>
        <v>1.9750000000281283</v>
      </c>
    </row>
    <row r="181" spans="1:25" ht="12.45" x14ac:dyDescent="0.3">
      <c r="A181" s="260" t="s">
        <v>354</v>
      </c>
      <c r="B181" s="300">
        <f>SUM(B179:B180)</f>
        <v>5.3399999999916776</v>
      </c>
      <c r="C181" s="300">
        <f t="shared" ref="C181" si="451">SUM(C179:C180)</f>
        <v>0.29000000000189569</v>
      </c>
      <c r="D181" s="300">
        <f t="shared" ref="D181" si="452">SUM(D179:D180)</f>
        <v>0.18799999999999806</v>
      </c>
      <c r="E181" s="300">
        <f t="shared" si="446"/>
        <v>5.817999999993571</v>
      </c>
      <c r="F181" s="300"/>
      <c r="G181" s="300">
        <f>SUM(G179:G180)</f>
        <v>2.8389999999999289</v>
      </c>
      <c r="H181" s="300">
        <f t="shared" ref="H181" si="453">SUM(H179:H180)</f>
        <v>0.23300000000179469</v>
      </c>
      <c r="I181" s="300">
        <f t="shared" ref="I181" si="454">SUM(I179:I180)</f>
        <v>9.0000000000395139E-2</v>
      </c>
      <c r="J181" s="300">
        <f t="shared" si="447"/>
        <v>3.1620000000021187</v>
      </c>
      <c r="K181" s="300"/>
      <c r="L181" s="300">
        <f>SUM(L179:L180)</f>
        <v>2.5350000000071509</v>
      </c>
      <c r="M181" s="300">
        <f t="shared" ref="M181" si="455">SUM(M179:M180)</f>
        <v>0.22600000000152018</v>
      </c>
      <c r="N181" s="300">
        <f t="shared" ref="N181" si="456">SUM(N179:N180)</f>
        <v>3.2999999999966362E-2</v>
      </c>
      <c r="O181" s="300">
        <f t="shared" si="448"/>
        <v>2.7940000000086371</v>
      </c>
      <c r="P181" s="300"/>
      <c r="Q181" s="300">
        <f>SUM(Q179:Q180)</f>
        <v>2.712000000035597</v>
      </c>
      <c r="R181" s="300">
        <f t="shared" ref="R181" si="457">SUM(R179:R180)</f>
        <v>0.24100000000257499</v>
      </c>
      <c r="S181" s="300">
        <f t="shared" ref="S181" si="458">SUM(S179:S180)</f>
        <v>3.4999999999808004E-2</v>
      </c>
      <c r="T181" s="300">
        <f t="shared" si="449"/>
        <v>2.9880000000379798</v>
      </c>
      <c r="U181" s="300"/>
      <c r="V181" s="300">
        <f>SUM(V179:V180)</f>
        <v>3.0140000000336786</v>
      </c>
      <c r="W181" s="300">
        <f t="shared" ref="W181" si="459">SUM(W179:W180)</f>
        <v>0.26600000000268442</v>
      </c>
      <c r="X181" s="300">
        <f t="shared" ref="X181" si="460">SUM(X179:X180)</f>
        <v>3.5999999999721088E-2</v>
      </c>
      <c r="Y181" s="300">
        <f t="shared" si="450"/>
        <v>3.3160000000360843</v>
      </c>
    </row>
    <row r="182" spans="1:25" ht="12.45" x14ac:dyDescent="0.3">
      <c r="C182" s="319"/>
      <c r="D182" s="319"/>
      <c r="E182" s="319"/>
      <c r="F182" s="319"/>
      <c r="G182" s="319"/>
      <c r="H182" s="319"/>
      <c r="I182" s="319"/>
      <c r="J182" s="319"/>
      <c r="K182" s="319"/>
      <c r="L182" s="319"/>
      <c r="M182" s="319"/>
      <c r="N182" s="319"/>
      <c r="O182" s="319"/>
      <c r="P182" s="319"/>
      <c r="Q182" s="319"/>
      <c r="R182" s="319"/>
      <c r="S182" s="319"/>
      <c r="T182" s="319"/>
      <c r="U182" s="319"/>
      <c r="V182" s="319"/>
      <c r="W182" s="319"/>
      <c r="X182" s="319"/>
      <c r="Y182" s="319"/>
    </row>
    <row r="183" spans="1:25" ht="12.45" x14ac:dyDescent="0.3">
      <c r="A183" s="261" t="str">
        <f>name!A30</f>
        <v>Waste management</v>
      </c>
      <c r="C183" s="263"/>
    </row>
    <row r="184" spans="1:25" ht="12.45" x14ac:dyDescent="0.3">
      <c r="A184" s="260" t="s">
        <v>356</v>
      </c>
      <c r="B184" s="300">
        <v>2.0069999999806196</v>
      </c>
      <c r="C184" s="300">
        <v>0.83000000000119334</v>
      </c>
      <c r="D184" s="300">
        <v>0.13300000000187515</v>
      </c>
      <c r="E184" s="300">
        <f>SUM(B184:D184)</f>
        <v>2.9699999999836879</v>
      </c>
      <c r="F184" s="300"/>
      <c r="G184" s="300">
        <v>2.1919999999775883</v>
      </c>
      <c r="H184" s="300">
        <v>0.81700000000321271</v>
      </c>
      <c r="I184" s="300">
        <v>1.0490000000108566</v>
      </c>
      <c r="J184" s="300">
        <f>SUM(G184:I184)</f>
        <v>4.0579999999916581</v>
      </c>
      <c r="K184" s="300"/>
      <c r="L184" s="300">
        <v>2.3279999999914263</v>
      </c>
      <c r="M184" s="300">
        <v>0.81900000000078121</v>
      </c>
      <c r="N184" s="300">
        <v>3.4999999999715509E-2</v>
      </c>
      <c r="O184" s="300">
        <f>SUM(L184:N184)</f>
        <v>3.1819999999919228</v>
      </c>
      <c r="P184" s="300"/>
      <c r="Q184" s="300">
        <v>2.5620000000483882</v>
      </c>
      <c r="R184" s="300">
        <v>0.87800000000505118</v>
      </c>
      <c r="S184" s="300">
        <v>3.7000000000021842E-2</v>
      </c>
      <c r="T184" s="300">
        <f>SUM(Q184:S184)</f>
        <v>3.4770000000534611</v>
      </c>
      <c r="U184" s="300"/>
      <c r="V184" s="300">
        <v>3.0070000000160908</v>
      </c>
      <c r="W184" s="300">
        <v>0.9779999999976452</v>
      </c>
      <c r="X184" s="300">
        <v>3.8999999999894466E-2</v>
      </c>
      <c r="Y184" s="300">
        <f>SUM(V184:X184)</f>
        <v>4.0240000000136309</v>
      </c>
    </row>
    <row r="185" spans="1:25" ht="12.45" x14ac:dyDescent="0.3">
      <c r="A185" s="260" t="s">
        <v>355</v>
      </c>
      <c r="B185" s="300">
        <v>8.5770000000066808</v>
      </c>
      <c r="C185" s="300">
        <v>0.27600000000267771</v>
      </c>
      <c r="D185" s="300">
        <v>0</v>
      </c>
      <c r="E185" s="300">
        <f t="shared" ref="E185:E186" si="461">SUM(B185:D185)</f>
        <v>8.8530000000093594</v>
      </c>
      <c r="F185" s="300"/>
      <c r="G185" s="300">
        <v>11.232000000041873</v>
      </c>
      <c r="H185" s="300">
        <v>0.31200000000390171</v>
      </c>
      <c r="I185" s="300">
        <v>0.65900000000447567</v>
      </c>
      <c r="J185" s="300">
        <f t="shared" ref="J185:J186" si="462">SUM(G185:I185)</f>
        <v>12.203000000050251</v>
      </c>
      <c r="K185" s="300"/>
      <c r="L185" s="300">
        <v>9.2080000000464359</v>
      </c>
      <c r="M185" s="300">
        <v>0.28800000000173542</v>
      </c>
      <c r="N185" s="300">
        <v>0.52899999999565106</v>
      </c>
      <c r="O185" s="300">
        <f t="shared" ref="O185:O186" si="463">SUM(L185:N185)</f>
        <v>10.025000000043823</v>
      </c>
      <c r="P185" s="300"/>
      <c r="Q185" s="300">
        <v>9.6860000000867394</v>
      </c>
      <c r="R185" s="300">
        <v>0.30600000000291627</v>
      </c>
      <c r="S185" s="300">
        <v>0.53599999999112202</v>
      </c>
      <c r="T185" s="300">
        <f t="shared" ref="T185:T186" si="464">SUM(Q185:S185)</f>
        <v>10.528000000080777</v>
      </c>
      <c r="U185" s="300"/>
      <c r="V185" s="300">
        <v>10.41300000012205</v>
      </c>
      <c r="W185" s="300">
        <v>0.33400000000334285</v>
      </c>
      <c r="X185" s="300">
        <v>0.52399999999360081</v>
      </c>
      <c r="Y185" s="300">
        <f t="shared" ref="Y185:Y186" si="465">SUM(V185:X185)</f>
        <v>11.271000000118994</v>
      </c>
    </row>
    <row r="186" spans="1:25" ht="12.45" x14ac:dyDescent="0.3">
      <c r="A186" s="260" t="s">
        <v>354</v>
      </c>
      <c r="B186" s="300">
        <f>SUM(B184:B185)</f>
        <v>10.5839999999873</v>
      </c>
      <c r="C186" s="300">
        <f t="shared" ref="C186" si="466">SUM(C184:C185)</f>
        <v>1.106000000003871</v>
      </c>
      <c r="D186" s="300">
        <f t="shared" ref="D186" si="467">SUM(D184:D185)</f>
        <v>0.13300000000187515</v>
      </c>
      <c r="E186" s="300">
        <f t="shared" si="461"/>
        <v>11.822999999993046</v>
      </c>
      <c r="F186" s="300"/>
      <c r="G186" s="300">
        <f>SUM(G184:G185)</f>
        <v>13.424000000019461</v>
      </c>
      <c r="H186" s="300">
        <f t="shared" ref="H186" si="468">SUM(H184:H185)</f>
        <v>1.1290000000071143</v>
      </c>
      <c r="I186" s="300">
        <f t="shared" ref="I186" si="469">SUM(I184:I185)</f>
        <v>1.7080000000153324</v>
      </c>
      <c r="J186" s="300">
        <f t="shared" si="462"/>
        <v>16.261000000041907</v>
      </c>
      <c r="K186" s="300"/>
      <c r="L186" s="300">
        <f>SUM(L184:L185)</f>
        <v>11.536000000037863</v>
      </c>
      <c r="M186" s="300">
        <f t="shared" ref="M186" si="470">SUM(M184:M185)</f>
        <v>1.1070000000025166</v>
      </c>
      <c r="N186" s="300">
        <f t="shared" ref="N186" si="471">SUM(N184:N185)</f>
        <v>0.56399999999536654</v>
      </c>
      <c r="O186" s="300">
        <f t="shared" si="463"/>
        <v>13.207000000035746</v>
      </c>
      <c r="P186" s="300"/>
      <c r="Q186" s="300">
        <f>SUM(Q184:Q185)</f>
        <v>12.248000000135129</v>
      </c>
      <c r="R186" s="300">
        <f t="shared" ref="R186" si="472">SUM(R184:R185)</f>
        <v>1.1840000000079676</v>
      </c>
      <c r="S186" s="300">
        <f t="shared" ref="S186" si="473">SUM(S184:S185)</f>
        <v>0.57299999999114382</v>
      </c>
      <c r="T186" s="300">
        <f t="shared" si="464"/>
        <v>14.00500000013424</v>
      </c>
      <c r="U186" s="300"/>
      <c r="V186" s="300">
        <f>SUM(V184:V185)</f>
        <v>13.420000000138142</v>
      </c>
      <c r="W186" s="300">
        <f t="shared" ref="W186" si="474">SUM(W184:W185)</f>
        <v>1.3120000000009879</v>
      </c>
      <c r="X186" s="300">
        <f t="shared" ref="X186" si="475">SUM(X184:X185)</f>
        <v>0.56299999999349526</v>
      </c>
      <c r="Y186" s="300">
        <f t="shared" si="465"/>
        <v>15.295000000132626</v>
      </c>
    </row>
    <row r="188" spans="1:25" ht="12.45" x14ac:dyDescent="0.3">
      <c r="A188" s="261" t="s">
        <v>369</v>
      </c>
      <c r="C188" s="263"/>
    </row>
    <row r="189" spans="1:25" ht="12.45" x14ac:dyDescent="0.3">
      <c r="A189" s="260" t="s">
        <v>356</v>
      </c>
      <c r="B189" s="300">
        <f>SUM(B174,B179,B184)</f>
        <v>4.2299999999580065</v>
      </c>
      <c r="C189" s="300">
        <f t="shared" ref="C189:D189" si="476">SUM(C174,C179,C184)</f>
        <v>1.3260000000058441</v>
      </c>
      <c r="D189" s="300">
        <f t="shared" si="476"/>
        <v>0.53300000000272618</v>
      </c>
      <c r="E189" s="300">
        <f>SUM(B189:D189)</f>
        <v>6.0889999999665765</v>
      </c>
      <c r="F189" s="300"/>
      <c r="G189" s="300">
        <f>SUM(G174,G179,G184)</f>
        <v>3.8679999999599843</v>
      </c>
      <c r="H189" s="300">
        <f t="shared" ref="H189:I189" si="477">SUM(H174,H179,H184)</f>
        <v>1.392000000010077</v>
      </c>
      <c r="I189" s="300">
        <f t="shared" si="477"/>
        <v>1.2100000000116897</v>
      </c>
      <c r="J189" s="300">
        <f>SUM(G189:I189)</f>
        <v>6.4699999999817503</v>
      </c>
      <c r="K189" s="300"/>
      <c r="L189" s="300">
        <f>SUM(L174,L179,L184)</f>
        <v>4.1069999999858453</v>
      </c>
      <c r="M189" s="300">
        <f t="shared" ref="M189:N189" si="478">SUM(M174,M179,M184)</f>
        <v>1.3969999999992331</v>
      </c>
      <c r="N189" s="300">
        <f t="shared" si="478"/>
        <v>7.8999999999661952E-2</v>
      </c>
      <c r="O189" s="300">
        <f>SUM(L189:N189)</f>
        <v>5.5829999999847404</v>
      </c>
      <c r="P189" s="300"/>
      <c r="Q189" s="300">
        <f>SUM(Q174,Q179,Q184)</f>
        <v>4.5210000000871462</v>
      </c>
      <c r="R189" s="300">
        <f t="shared" ref="R189:S189" si="479">SUM(R174,R179,R184)</f>
        <v>1.4970000000106323</v>
      </c>
      <c r="S189" s="300">
        <f t="shared" si="479"/>
        <v>8.4000000000115899E-2</v>
      </c>
      <c r="T189" s="300">
        <f>SUM(Q189:S189)</f>
        <v>6.1020000000978944</v>
      </c>
      <c r="U189" s="300"/>
      <c r="V189" s="300">
        <f>SUM(V174,V179,V184)</f>
        <v>5.3060000000265743</v>
      </c>
      <c r="W189" s="300">
        <f t="shared" ref="W189:X189" si="480">SUM(W174,W179,W184)</f>
        <v>1.6679999999948212</v>
      </c>
      <c r="X189" s="300">
        <f t="shared" si="480"/>
        <v>8.8000000001035555E-2</v>
      </c>
      <c r="Y189" s="300">
        <f>SUM(V189:X189)</f>
        <v>7.0620000000224312</v>
      </c>
    </row>
    <row r="190" spans="1:25" ht="12.45" x14ac:dyDescent="0.3">
      <c r="A190" s="260" t="s">
        <v>355</v>
      </c>
      <c r="B190" s="300">
        <f>SUM(B175,B180,B185)</f>
        <v>15.503999999994374</v>
      </c>
      <c r="C190" s="300">
        <f t="shared" ref="C190:D190" si="481">SUM(C175,C180,C185)</f>
        <v>0.48900000000380206</v>
      </c>
      <c r="D190" s="300">
        <f t="shared" si="481"/>
        <v>0</v>
      </c>
      <c r="E190" s="300">
        <f t="shared" ref="E190:E191" si="482">SUM(B190:D190)</f>
        <v>15.992999999998176</v>
      </c>
      <c r="F190" s="300"/>
      <c r="G190" s="300">
        <f>SUM(G175,G180,G185)</f>
        <v>17.741000000027149</v>
      </c>
      <c r="H190" s="300">
        <f t="shared" ref="H190:I190" si="483">SUM(H175,H180,H185)</f>
        <v>0.5640000000052332</v>
      </c>
      <c r="I190" s="300">
        <f t="shared" si="483"/>
        <v>0.69300000000479023</v>
      </c>
      <c r="J190" s="300">
        <f t="shared" ref="J190:J191" si="484">SUM(G190:I190)</f>
        <v>18.998000000037173</v>
      </c>
      <c r="K190" s="300"/>
      <c r="L190" s="300">
        <f>SUM(L175,L180,L185)</f>
        <v>14.544000000029751</v>
      </c>
      <c r="M190" s="300">
        <f t="shared" ref="M190:N190" si="485">SUM(M175,M180,M185)</f>
        <v>0.52100000000281677</v>
      </c>
      <c r="N190" s="300">
        <f t="shared" si="485"/>
        <v>0.76399999999539914</v>
      </c>
      <c r="O190" s="300">
        <f t="shared" ref="O190:O191" si="486">SUM(L190:N190)</f>
        <v>15.829000000027966</v>
      </c>
      <c r="P190" s="300"/>
      <c r="Q190" s="300">
        <f>SUM(Q175,Q180,Q185)</f>
        <v>15.300000000089911</v>
      </c>
      <c r="R190" s="300">
        <f t="shared" ref="R190:S190" si="487">SUM(R175,R180,R185)</f>
        <v>0.55400000000433158</v>
      </c>
      <c r="S190" s="300">
        <f t="shared" si="487"/>
        <v>0.77999999998897795</v>
      </c>
      <c r="T190" s="300">
        <f t="shared" ref="T190:T191" si="488">SUM(Q190:S190)</f>
        <v>16.634000000083219</v>
      </c>
      <c r="U190" s="300"/>
      <c r="V190" s="300">
        <f>SUM(V175,V180,V185)</f>
        <v>16.448000000100777</v>
      </c>
      <c r="W190" s="300">
        <f t="shared" ref="W190:X190" si="489">SUM(W175,W180,W185)</f>
        <v>0.6040000000053426</v>
      </c>
      <c r="X190" s="300">
        <f t="shared" si="489"/>
        <v>0.78099999999248926</v>
      </c>
      <c r="Y190" s="300">
        <f t="shared" ref="Y190:Y191" si="490">SUM(V190:X190)</f>
        <v>17.833000000098608</v>
      </c>
    </row>
    <row r="191" spans="1:25" ht="12.45" x14ac:dyDescent="0.3">
      <c r="A191" s="264" t="s">
        <v>354</v>
      </c>
      <c r="B191" s="301">
        <f>SUM(B189:B190)</f>
        <v>19.733999999952381</v>
      </c>
      <c r="C191" s="301">
        <f t="shared" ref="C191" si="491">SUM(C189:C190)</f>
        <v>1.815000000009646</v>
      </c>
      <c r="D191" s="301">
        <f t="shared" ref="D191" si="492">SUM(D189:D190)</f>
        <v>0.53300000000272618</v>
      </c>
      <c r="E191" s="301">
        <f t="shared" si="482"/>
        <v>22.081999999964754</v>
      </c>
      <c r="F191" s="301"/>
      <c r="G191" s="301">
        <f>SUM(G189:G190)</f>
        <v>21.608999999987134</v>
      </c>
      <c r="H191" s="301">
        <f t="shared" ref="H191" si="493">SUM(H189:H190)</f>
        <v>1.9560000000153102</v>
      </c>
      <c r="I191" s="301">
        <f t="shared" ref="I191" si="494">SUM(I189:I190)</f>
        <v>1.90300000001648</v>
      </c>
      <c r="J191" s="301">
        <f t="shared" si="484"/>
        <v>25.468000000018925</v>
      </c>
      <c r="K191" s="301"/>
      <c r="L191" s="301">
        <f>SUM(L189:L190)</f>
        <v>18.651000000015596</v>
      </c>
      <c r="M191" s="301">
        <f t="shared" ref="M191" si="495">SUM(M189:M190)</f>
        <v>1.9180000000020498</v>
      </c>
      <c r="N191" s="301">
        <f t="shared" ref="N191" si="496">SUM(N189:N190)</f>
        <v>0.84299999999506103</v>
      </c>
      <c r="O191" s="301">
        <f t="shared" si="486"/>
        <v>21.412000000012707</v>
      </c>
      <c r="P191" s="301"/>
      <c r="Q191" s="301">
        <f>SUM(Q189:Q190)</f>
        <v>19.821000000177058</v>
      </c>
      <c r="R191" s="301">
        <f t="shared" ref="R191" si="497">SUM(R189:R190)</f>
        <v>2.0510000000149637</v>
      </c>
      <c r="S191" s="301">
        <f t="shared" ref="S191" si="498">SUM(S189:S190)</f>
        <v>0.86399999998909383</v>
      </c>
      <c r="T191" s="301">
        <f t="shared" si="488"/>
        <v>22.736000000181114</v>
      </c>
      <c r="U191" s="301"/>
      <c r="V191" s="301">
        <f>SUM(V189:V190)</f>
        <v>21.754000000127352</v>
      </c>
      <c r="W191" s="301">
        <f t="shared" ref="W191" si="499">SUM(W189:W190)</f>
        <v>2.2720000000001637</v>
      </c>
      <c r="X191" s="301">
        <f t="shared" ref="X191" si="500">SUM(X189:X190)</f>
        <v>0.86899999999352484</v>
      </c>
      <c r="Y191" s="301">
        <f t="shared" si="490"/>
        <v>24.895000000121041</v>
      </c>
    </row>
    <row r="195" spans="1:25" ht="14.15" x14ac:dyDescent="0.35">
      <c r="A195" s="265" t="str">
        <f>"Industry 8 : "&amp; name!B11</f>
        <v>Industry 8 : Construction</v>
      </c>
      <c r="B195" s="372">
        <f>$B$5</f>
        <v>2015</v>
      </c>
      <c r="C195" s="372"/>
      <c r="D195" s="372"/>
      <c r="E195" s="372"/>
      <c r="F195" s="320"/>
      <c r="G195" s="372">
        <f>$G$5</f>
        <v>2019</v>
      </c>
      <c r="H195" s="372"/>
      <c r="I195" s="372"/>
      <c r="J195" s="372"/>
      <c r="K195" s="320"/>
      <c r="L195" s="372">
        <f>$L$5</f>
        <v>2020</v>
      </c>
      <c r="M195" s="372"/>
      <c r="N195" s="372"/>
      <c r="O195" s="372"/>
      <c r="P195" s="318"/>
      <c r="Q195" s="372">
        <f>$Q$5</f>
        <v>2025</v>
      </c>
      <c r="R195" s="372"/>
      <c r="S195" s="372"/>
      <c r="T195" s="372"/>
      <c r="U195" s="320"/>
      <c r="V195" s="372">
        <f>$V$5</f>
        <v>2035</v>
      </c>
      <c r="W195" s="372"/>
      <c r="X195" s="372"/>
      <c r="Y195" s="372"/>
    </row>
    <row r="196" spans="1:25" ht="12.45" x14ac:dyDescent="0.3">
      <c r="A196" s="264"/>
      <c r="B196" s="268" t="str">
        <f>$B$6</f>
        <v>FT</v>
      </c>
      <c r="C196" s="268" t="str">
        <f>$C$6</f>
        <v>PT</v>
      </c>
      <c r="D196" s="268" t="str">
        <f>$D$6</f>
        <v>SE</v>
      </c>
      <c r="E196" s="268" t="str">
        <f>$E$6</f>
        <v>Total</v>
      </c>
      <c r="F196" s="268"/>
      <c r="G196" s="268" t="str">
        <f>$B$6</f>
        <v>FT</v>
      </c>
      <c r="H196" s="268" t="str">
        <f>$C$6</f>
        <v>PT</v>
      </c>
      <c r="I196" s="268" t="str">
        <f>$D$6</f>
        <v>SE</v>
      </c>
      <c r="J196" s="268" t="str">
        <f>$E$6</f>
        <v>Total</v>
      </c>
      <c r="K196" s="268"/>
      <c r="L196" s="268" t="str">
        <f>$L$6</f>
        <v>FT</v>
      </c>
      <c r="M196" s="268" t="str">
        <f>$M$6</f>
        <v>PT</v>
      </c>
      <c r="N196" s="268" t="str">
        <f>$N$6</f>
        <v>SE</v>
      </c>
      <c r="O196" s="268" t="str">
        <f>$O$6</f>
        <v>Total</v>
      </c>
      <c r="P196" s="268"/>
      <c r="Q196" s="268" t="str">
        <f>$L$6</f>
        <v>FT</v>
      </c>
      <c r="R196" s="268" t="str">
        <f>$M$6</f>
        <v>PT</v>
      </c>
      <c r="S196" s="268" t="str">
        <f>$N$6</f>
        <v>SE</v>
      </c>
      <c r="T196" s="268" t="str">
        <f>$O$6</f>
        <v>Total</v>
      </c>
      <c r="U196" s="268"/>
      <c r="V196" s="268" t="str">
        <f>$V$6</f>
        <v>FT</v>
      </c>
      <c r="W196" s="268" t="str">
        <f>$W$6</f>
        <v>PT</v>
      </c>
      <c r="X196" s="268" t="str">
        <f>$X$6</f>
        <v>SE</v>
      </c>
      <c r="Y196" s="268" t="str">
        <f>$Y$6</f>
        <v>Total</v>
      </c>
    </row>
    <row r="197" spans="1:25" ht="12.45" x14ac:dyDescent="0.3">
      <c r="C197" s="319"/>
      <c r="D197" s="319"/>
      <c r="E197" s="319"/>
      <c r="F197" s="319"/>
      <c r="G197" s="319"/>
      <c r="H197" s="319"/>
      <c r="I197" s="319"/>
      <c r="J197" s="319"/>
      <c r="K197" s="319"/>
      <c r="L197" s="319"/>
      <c r="M197" s="319"/>
      <c r="N197" s="319"/>
      <c r="O197" s="319"/>
      <c r="P197" s="319"/>
      <c r="Q197" s="319"/>
      <c r="R197" s="319"/>
      <c r="S197" s="319"/>
      <c r="T197" s="319"/>
      <c r="U197" s="319"/>
      <c r="V197" s="319"/>
      <c r="W197" s="319"/>
      <c r="X197" s="319"/>
      <c r="Y197" s="319"/>
    </row>
    <row r="198" spans="1:25" ht="12.45" x14ac:dyDescent="0.3">
      <c r="A198" s="261" t="str">
        <f>name!A31</f>
        <v>Construction</v>
      </c>
      <c r="C198" s="263"/>
    </row>
    <row r="199" spans="1:25" ht="12.45" x14ac:dyDescent="0.3">
      <c r="A199" s="260" t="s">
        <v>356</v>
      </c>
      <c r="B199" s="300">
        <v>9.4869999998835528</v>
      </c>
      <c r="C199" s="300">
        <v>4.7350000000499106</v>
      </c>
      <c r="D199" s="300">
        <v>0.19800000000434728</v>
      </c>
      <c r="E199" s="300">
        <f>SUM(B199:D199)</f>
        <v>14.41999999993781</v>
      </c>
      <c r="F199" s="300"/>
      <c r="G199" s="300">
        <v>10.517999999829181</v>
      </c>
      <c r="H199" s="300">
        <v>5.4500000000693678</v>
      </c>
      <c r="I199" s="300">
        <v>0.66400000001400394</v>
      </c>
      <c r="J199" s="300">
        <f>SUM(G199:I199)</f>
        <v>16.631999999912551</v>
      </c>
      <c r="K199" s="300"/>
      <c r="L199" s="300">
        <v>11.003999999999499</v>
      </c>
      <c r="M199" s="300">
        <v>5.7779999999492517</v>
      </c>
      <c r="N199" s="300">
        <v>2.6859999999292405</v>
      </c>
      <c r="O199" s="300">
        <f>SUM(L199:N199)</f>
        <v>19.467999999877993</v>
      </c>
      <c r="P199" s="300"/>
      <c r="Q199" s="300">
        <v>12.039000000343258</v>
      </c>
      <c r="R199" s="300">
        <v>6.3630000000160134</v>
      </c>
      <c r="S199" s="300">
        <v>2.9019999999765851</v>
      </c>
      <c r="T199" s="300">
        <f>SUM(Q199:S199)</f>
        <v>21.304000000335858</v>
      </c>
      <c r="U199" s="300"/>
      <c r="V199" s="300">
        <v>13.515000000127829</v>
      </c>
      <c r="W199" s="300">
        <v>7.2229999999524699</v>
      </c>
      <c r="X199" s="300">
        <v>3.3309999999661257</v>
      </c>
      <c r="Y199" s="300">
        <f>SUM(V199:X199)</f>
        <v>24.069000000046422</v>
      </c>
    </row>
    <row r="200" spans="1:25" ht="12.45" x14ac:dyDescent="0.3">
      <c r="A200" s="260" t="s">
        <v>355</v>
      </c>
      <c r="B200" s="300">
        <v>37.935999999971656</v>
      </c>
      <c r="C200" s="300">
        <v>1.9030000000058489</v>
      </c>
      <c r="D200" s="300">
        <v>25.820999999106057</v>
      </c>
      <c r="E200" s="300">
        <f t="shared" ref="E200:E201" si="501">SUM(B200:D200)</f>
        <v>65.659999999083567</v>
      </c>
      <c r="F200" s="300"/>
      <c r="G200" s="300">
        <v>33.413000000077787</v>
      </c>
      <c r="H200" s="300">
        <v>1.6500000000061095</v>
      </c>
      <c r="I200" s="300">
        <v>20.473000000495887</v>
      </c>
      <c r="J200" s="300">
        <f t="shared" ref="J200:J201" si="502">SUM(G200:I200)</f>
        <v>55.536000000579783</v>
      </c>
      <c r="K200" s="300"/>
      <c r="L200" s="300">
        <v>33.588000000117589</v>
      </c>
      <c r="M200" s="300">
        <v>3.8019999999995298</v>
      </c>
      <c r="N200" s="300">
        <v>26.445999999438779</v>
      </c>
      <c r="O200" s="300">
        <f t="shared" ref="O200:O201" si="503">SUM(L200:N200)</f>
        <v>63.835999999555895</v>
      </c>
      <c r="P200" s="300"/>
      <c r="Q200" s="300">
        <v>36.125000000279897</v>
      </c>
      <c r="R200" s="300">
        <v>4.2170000000008052</v>
      </c>
      <c r="S200" s="300">
        <v>29.095999997760746</v>
      </c>
      <c r="T200" s="300">
        <f t="shared" ref="T200:T201" si="504">SUM(Q200:S200)</f>
        <v>69.437999998041448</v>
      </c>
      <c r="U200" s="300"/>
      <c r="V200" s="300">
        <v>38.744000000420982</v>
      </c>
      <c r="W200" s="300">
        <v>4.8399999999837906</v>
      </c>
      <c r="X200" s="300">
        <v>32.934999998601157</v>
      </c>
      <c r="Y200" s="300">
        <f t="shared" ref="Y200:Y201" si="505">SUM(V200:X200)</f>
        <v>76.518999999005928</v>
      </c>
    </row>
    <row r="201" spans="1:25" ht="12.45" x14ac:dyDescent="0.3">
      <c r="A201" s="260" t="s">
        <v>354</v>
      </c>
      <c r="B201" s="300">
        <f>SUM(B199:B200)</f>
        <v>47.422999999855207</v>
      </c>
      <c r="C201" s="300">
        <f t="shared" ref="C201" si="506">SUM(C199:C200)</f>
        <v>6.6380000000557597</v>
      </c>
      <c r="D201" s="300">
        <f t="shared" ref="D201" si="507">SUM(D199:D200)</f>
        <v>26.018999999110406</v>
      </c>
      <c r="E201" s="300">
        <f t="shared" si="501"/>
        <v>80.079999999021368</v>
      </c>
      <c r="F201" s="300"/>
      <c r="G201" s="300">
        <f>SUM(G199:G200)</f>
        <v>43.930999999906966</v>
      </c>
      <c r="H201" s="300">
        <f t="shared" ref="H201" si="508">SUM(H199:H200)</f>
        <v>7.100000000075477</v>
      </c>
      <c r="I201" s="300">
        <f t="shared" ref="I201" si="509">SUM(I199:I200)</f>
        <v>21.137000000509889</v>
      </c>
      <c r="J201" s="300">
        <f t="shared" si="502"/>
        <v>72.168000000492327</v>
      </c>
      <c r="K201" s="300"/>
      <c r="L201" s="300">
        <f>SUM(L199:L200)</f>
        <v>44.592000000117089</v>
      </c>
      <c r="M201" s="300">
        <f t="shared" ref="M201" si="510">SUM(M199:M200)</f>
        <v>9.5799999999487824</v>
      </c>
      <c r="N201" s="300">
        <f t="shared" ref="N201" si="511">SUM(N199:N200)</f>
        <v>29.13199999936802</v>
      </c>
      <c r="O201" s="300">
        <f t="shared" si="503"/>
        <v>83.303999999433898</v>
      </c>
      <c r="P201" s="300"/>
      <c r="Q201" s="300">
        <f>SUM(Q199:Q200)</f>
        <v>48.164000000623155</v>
      </c>
      <c r="R201" s="300">
        <f t="shared" ref="R201" si="512">SUM(R199:R200)</f>
        <v>10.580000000016819</v>
      </c>
      <c r="S201" s="300">
        <f t="shared" ref="S201" si="513">SUM(S199:S200)</f>
        <v>31.997999997737331</v>
      </c>
      <c r="T201" s="300">
        <f t="shared" si="504"/>
        <v>90.74199999837731</v>
      </c>
      <c r="U201" s="300"/>
      <c r="V201" s="300">
        <f>SUM(V199:V200)</f>
        <v>52.259000000548809</v>
      </c>
      <c r="W201" s="300">
        <f t="shared" ref="W201" si="514">SUM(W199:W200)</f>
        <v>12.06299999993626</v>
      </c>
      <c r="X201" s="300">
        <f t="shared" ref="X201" si="515">SUM(X199:X200)</f>
        <v>36.265999998567281</v>
      </c>
      <c r="Y201" s="300">
        <f t="shared" si="505"/>
        <v>100.58799999905236</v>
      </c>
    </row>
    <row r="202" spans="1:25" ht="12.45" x14ac:dyDescent="0.3">
      <c r="C202" s="319"/>
      <c r="D202" s="319"/>
      <c r="E202" s="319"/>
      <c r="F202" s="319"/>
      <c r="G202" s="319"/>
      <c r="H202" s="319"/>
      <c r="I202" s="319"/>
      <c r="J202" s="319"/>
      <c r="K202" s="319"/>
      <c r="L202" s="319"/>
      <c r="M202" s="319"/>
      <c r="N202" s="319"/>
      <c r="O202" s="319"/>
      <c r="P202" s="319"/>
      <c r="Q202" s="319"/>
      <c r="R202" s="319"/>
      <c r="S202" s="319"/>
      <c r="T202" s="319"/>
      <c r="U202" s="319"/>
      <c r="V202" s="319"/>
      <c r="W202" s="319"/>
      <c r="X202" s="319"/>
      <c r="Y202" s="319"/>
    </row>
    <row r="203" spans="1:25" ht="12.45" x14ac:dyDescent="0.3">
      <c r="A203" s="261" t="str">
        <f>name!A32</f>
        <v>Civil engineering</v>
      </c>
      <c r="C203" s="263"/>
    </row>
    <row r="204" spans="1:25" ht="12.45" x14ac:dyDescent="0.3">
      <c r="A204" s="260" t="s">
        <v>356</v>
      </c>
      <c r="B204" s="300">
        <v>1.3899999999829395</v>
      </c>
      <c r="C204" s="300">
        <v>1.0940000000115324</v>
      </c>
      <c r="D204" s="300">
        <v>4.3000000000944026E-2</v>
      </c>
      <c r="E204" s="300">
        <f>SUM(B204:D204)</f>
        <v>2.5269999999954158</v>
      </c>
      <c r="F204" s="300"/>
      <c r="G204" s="300">
        <v>1.8589999999698072</v>
      </c>
      <c r="H204" s="300">
        <v>0.67200000000855298</v>
      </c>
      <c r="I204" s="300">
        <v>0.15700000000331105</v>
      </c>
      <c r="J204" s="300">
        <f>SUM(G204:I204)</f>
        <v>2.6879999999816713</v>
      </c>
      <c r="K204" s="300"/>
      <c r="L204" s="300">
        <v>1.9449999999999088</v>
      </c>
      <c r="M204" s="300">
        <v>0.71199999999374541</v>
      </c>
      <c r="N204" s="300">
        <v>0.21399999999436259</v>
      </c>
      <c r="O204" s="300">
        <f>SUM(L204:N204)</f>
        <v>2.8709999999880167</v>
      </c>
      <c r="P204" s="300"/>
      <c r="Q204" s="300">
        <v>2.1280000000606756</v>
      </c>
      <c r="R204" s="300">
        <v>0.78400000000197334</v>
      </c>
      <c r="S204" s="300">
        <v>0.27299999999779745</v>
      </c>
      <c r="T204" s="300">
        <f>SUM(Q204:S204)</f>
        <v>3.1850000000604464</v>
      </c>
      <c r="U204" s="300"/>
      <c r="V204" s="300">
        <v>2.389000000022595</v>
      </c>
      <c r="W204" s="300">
        <v>0.88999999999414237</v>
      </c>
      <c r="X204" s="300">
        <v>0.3849999999960847</v>
      </c>
      <c r="Y204" s="300">
        <f>SUM(V204:X204)</f>
        <v>3.6640000000128223</v>
      </c>
    </row>
    <row r="205" spans="1:25" ht="12.45" x14ac:dyDescent="0.3">
      <c r="A205" s="260" t="s">
        <v>355</v>
      </c>
      <c r="B205" s="300">
        <v>19.326999999985581</v>
      </c>
      <c r="C205" s="300">
        <v>0.69800000000214546</v>
      </c>
      <c r="D205" s="300">
        <v>14.729999999490035</v>
      </c>
      <c r="E205" s="300">
        <f t="shared" ref="E205:E206" si="516">SUM(B205:D205)</f>
        <v>34.754999999477761</v>
      </c>
      <c r="F205" s="300"/>
      <c r="G205" s="300">
        <v>20.534000000047818</v>
      </c>
      <c r="H205" s="300">
        <v>0.32300000000119578</v>
      </c>
      <c r="I205" s="300">
        <v>12.53500000030361</v>
      </c>
      <c r="J205" s="300">
        <f t="shared" ref="J205:J206" si="517">SUM(G205:I205)</f>
        <v>33.392000000352624</v>
      </c>
      <c r="K205" s="300"/>
      <c r="L205" s="300">
        <v>20.64100000007226</v>
      </c>
      <c r="M205" s="300">
        <v>0.74399999999990807</v>
      </c>
      <c r="N205" s="300">
        <v>16.190999999656416</v>
      </c>
      <c r="O205" s="300">
        <f t="shared" ref="O205:O206" si="518">SUM(L205:N205)</f>
        <v>37.57599999972858</v>
      </c>
      <c r="P205" s="300"/>
      <c r="Q205" s="300">
        <v>22.201000000172009</v>
      </c>
      <c r="R205" s="300">
        <v>0.82500000000015794</v>
      </c>
      <c r="S205" s="300">
        <v>17.813999998628997</v>
      </c>
      <c r="T205" s="300">
        <f t="shared" ref="T205:T206" si="519">SUM(Q205:S205)</f>
        <v>40.839999998801161</v>
      </c>
      <c r="U205" s="300"/>
      <c r="V205" s="300">
        <v>23.810000000258714</v>
      </c>
      <c r="W205" s="300">
        <v>0.94699999999682838</v>
      </c>
      <c r="X205" s="300">
        <v>20.163999999143556</v>
      </c>
      <c r="Y205" s="300">
        <f t="shared" ref="Y205:Y206" si="520">SUM(V205:X205)</f>
        <v>44.9209999993991</v>
      </c>
    </row>
    <row r="206" spans="1:25" ht="12.45" x14ac:dyDescent="0.3">
      <c r="A206" s="260" t="s">
        <v>354</v>
      </c>
      <c r="B206" s="300">
        <f>SUM(B204:B205)</f>
        <v>20.716999999968522</v>
      </c>
      <c r="C206" s="300">
        <f t="shared" ref="C206" si="521">SUM(C204:C205)</f>
        <v>1.7920000000136778</v>
      </c>
      <c r="D206" s="300">
        <f t="shared" ref="D206" si="522">SUM(D204:D205)</f>
        <v>14.772999999490979</v>
      </c>
      <c r="E206" s="300">
        <f t="shared" si="516"/>
        <v>37.281999999473179</v>
      </c>
      <c r="F206" s="300"/>
      <c r="G206" s="300">
        <f>SUM(G204:G205)</f>
        <v>22.393000000017626</v>
      </c>
      <c r="H206" s="300">
        <f t="shared" ref="H206" si="523">SUM(H204:H205)</f>
        <v>0.99500000000974875</v>
      </c>
      <c r="I206" s="300">
        <f t="shared" ref="I206" si="524">SUM(I204:I205)</f>
        <v>12.692000000306921</v>
      </c>
      <c r="J206" s="300">
        <f t="shared" si="517"/>
        <v>36.080000000334294</v>
      </c>
      <c r="K206" s="300"/>
      <c r="L206" s="300">
        <f>SUM(L204:L205)</f>
        <v>22.586000000072168</v>
      </c>
      <c r="M206" s="300">
        <f t="shared" ref="M206" si="525">SUM(M204:M205)</f>
        <v>1.4559999999936535</v>
      </c>
      <c r="N206" s="300">
        <f t="shared" ref="N206" si="526">SUM(N204:N205)</f>
        <v>16.40499999965078</v>
      </c>
      <c r="O206" s="300">
        <f t="shared" si="518"/>
        <v>40.446999999716603</v>
      </c>
      <c r="P206" s="300"/>
      <c r="Q206" s="300">
        <f>SUM(Q204:Q205)</f>
        <v>24.329000000232686</v>
      </c>
      <c r="R206" s="300">
        <f t="shared" ref="R206" si="527">SUM(R204:R205)</f>
        <v>1.6090000000021312</v>
      </c>
      <c r="S206" s="300">
        <f t="shared" ref="S206" si="528">SUM(S204:S205)</f>
        <v>18.086999998626794</v>
      </c>
      <c r="T206" s="300">
        <f t="shared" si="519"/>
        <v>44.02499999886161</v>
      </c>
      <c r="U206" s="300"/>
      <c r="V206" s="300">
        <f>SUM(V204:V205)</f>
        <v>26.199000000281309</v>
      </c>
      <c r="W206" s="300">
        <f t="shared" ref="W206" si="529">SUM(W204:W205)</f>
        <v>1.8369999999909707</v>
      </c>
      <c r="X206" s="300">
        <f t="shared" ref="X206" si="530">SUM(X204:X205)</f>
        <v>20.548999999139639</v>
      </c>
      <c r="Y206" s="300">
        <f t="shared" si="520"/>
        <v>48.58499999941192</v>
      </c>
    </row>
    <row r="207" spans="1:25" ht="12.45" x14ac:dyDescent="0.3">
      <c r="C207" s="319"/>
      <c r="D207" s="319"/>
      <c r="E207" s="319"/>
      <c r="F207" s="319"/>
      <c r="G207" s="319"/>
      <c r="H207" s="319"/>
      <c r="I207" s="319"/>
      <c r="J207" s="319"/>
      <c r="K207" s="319"/>
      <c r="L207" s="319"/>
      <c r="M207" s="319"/>
      <c r="N207" s="319"/>
      <c r="O207" s="319"/>
      <c r="P207" s="319"/>
      <c r="Q207" s="319"/>
      <c r="R207" s="319"/>
      <c r="S207" s="319"/>
      <c r="T207" s="319"/>
      <c r="U207" s="319"/>
      <c r="V207" s="319"/>
      <c r="W207" s="319"/>
      <c r="X207" s="319"/>
      <c r="Y207" s="319"/>
    </row>
    <row r="208" spans="1:25" ht="12.45" x14ac:dyDescent="0.3">
      <c r="A208" s="261" t="str">
        <f>name!A33</f>
        <v>Specialised construction</v>
      </c>
      <c r="C208" s="263"/>
    </row>
    <row r="209" spans="1:25" ht="12.45" x14ac:dyDescent="0.3">
      <c r="A209" s="260" t="s">
        <v>356</v>
      </c>
      <c r="B209" s="300">
        <v>6.1429999999246014</v>
      </c>
      <c r="C209" s="300">
        <v>7.2890000000768334</v>
      </c>
      <c r="D209" s="300">
        <v>0.22300000000489606</v>
      </c>
      <c r="E209" s="300">
        <f>SUM(B209:D209)</f>
        <v>13.65500000000633</v>
      </c>
      <c r="F209" s="300"/>
      <c r="G209" s="300">
        <v>8.3969999998636187</v>
      </c>
      <c r="H209" s="300">
        <v>8.4590000001076646</v>
      </c>
      <c r="I209" s="300">
        <v>0.8800000000185586</v>
      </c>
      <c r="J209" s="300">
        <f>SUM(G209:I209)</f>
        <v>17.73599999998984</v>
      </c>
      <c r="K209" s="300"/>
      <c r="L209" s="300">
        <v>8.784999999999588</v>
      </c>
      <c r="M209" s="300">
        <v>8.9689999999212251</v>
      </c>
      <c r="N209" s="300">
        <v>1.6719999999559541</v>
      </c>
      <c r="O209" s="300">
        <f>SUM(L209:N209)</f>
        <v>19.425999999876769</v>
      </c>
      <c r="P209" s="300"/>
      <c r="Q209" s="300">
        <v>9.6100000002740167</v>
      </c>
      <c r="R209" s="300">
        <v>9.8770000000248661</v>
      </c>
      <c r="S209" s="300">
        <v>1.8489999999850826</v>
      </c>
      <c r="T209" s="300">
        <f>SUM(Q209:S209)</f>
        <v>21.336000000283967</v>
      </c>
      <c r="U209" s="300"/>
      <c r="V209" s="300">
        <v>10.789000000102025</v>
      </c>
      <c r="W209" s="300">
        <v>11.211999999926217</v>
      </c>
      <c r="X209" s="300">
        <v>2.0839999999788064</v>
      </c>
      <c r="Y209" s="300">
        <f>SUM(V209:X209)</f>
        <v>24.085000000007049</v>
      </c>
    </row>
    <row r="210" spans="1:25" ht="12.45" x14ac:dyDescent="0.3">
      <c r="A210" s="260" t="s">
        <v>355</v>
      </c>
      <c r="B210" s="300">
        <v>63.76299999995237</v>
      </c>
      <c r="C210" s="300">
        <v>2.5410000000078088</v>
      </c>
      <c r="D210" s="300">
        <v>46.105999998403725</v>
      </c>
      <c r="E210" s="300">
        <f t="shared" ref="E210:E211" si="531">SUM(B210:D210)</f>
        <v>112.4099999983639</v>
      </c>
      <c r="F210" s="300"/>
      <c r="G210" s="300">
        <v>69.238000000161151</v>
      </c>
      <c r="H210" s="300">
        <v>2.2220000000082263</v>
      </c>
      <c r="I210" s="300">
        <v>42.98000000104102</v>
      </c>
      <c r="J210" s="300">
        <f t="shared" ref="J210:J211" si="532">SUM(G210:I210)</f>
        <v>114.44000000121039</v>
      </c>
      <c r="K210" s="300"/>
      <c r="L210" s="300">
        <v>69.600000000243668</v>
      </c>
      <c r="M210" s="300">
        <v>5.1179999999993608</v>
      </c>
      <c r="N210" s="300">
        <v>55.51899999882184</v>
      </c>
      <c r="O210" s="300">
        <f t="shared" ref="O210:O211" si="533">SUM(L210:N210)</f>
        <v>130.23699999906486</v>
      </c>
      <c r="P210" s="300"/>
      <c r="Q210" s="300">
        <v>74.858000000579963</v>
      </c>
      <c r="R210" s="300">
        <v>5.6760000000010908</v>
      </c>
      <c r="S210" s="300">
        <v>61.080999995299152</v>
      </c>
      <c r="T210" s="300">
        <f t="shared" ref="T210:T211" si="534">SUM(Q210:S210)</f>
        <v>141.61499999588023</v>
      </c>
      <c r="U210" s="300"/>
      <c r="V210" s="300">
        <v>80.284000000872254</v>
      </c>
      <c r="W210" s="300">
        <v>6.5149999999781887</v>
      </c>
      <c r="X210" s="300">
        <v>69.140999997063361</v>
      </c>
      <c r="Y210" s="300">
        <f t="shared" ref="Y210:Y211" si="535">SUM(V210:X210)</f>
        <v>155.93999999791379</v>
      </c>
    </row>
    <row r="211" spans="1:25" ht="12.45" x14ac:dyDescent="0.3">
      <c r="A211" s="260" t="s">
        <v>354</v>
      </c>
      <c r="B211" s="300">
        <f>SUM(B209:B210)</f>
        <v>69.905999999876968</v>
      </c>
      <c r="C211" s="300">
        <f t="shared" ref="C211" si="536">SUM(C209:C210)</f>
        <v>9.8300000000846417</v>
      </c>
      <c r="D211" s="300">
        <f t="shared" ref="D211" si="537">SUM(D209:D210)</f>
        <v>46.328999998408619</v>
      </c>
      <c r="E211" s="300">
        <f t="shared" si="531"/>
        <v>126.06499999837023</v>
      </c>
      <c r="F211" s="300"/>
      <c r="G211" s="300">
        <f>SUM(G209:G210)</f>
        <v>77.635000000024775</v>
      </c>
      <c r="H211" s="300">
        <f t="shared" ref="H211" si="538">SUM(H209:H210)</f>
        <v>10.68100000011589</v>
      </c>
      <c r="I211" s="300">
        <f t="shared" ref="I211" si="539">SUM(I209:I210)</f>
        <v>43.860000001059582</v>
      </c>
      <c r="J211" s="300">
        <f t="shared" si="532"/>
        <v>132.17600000120024</v>
      </c>
      <c r="K211" s="300"/>
      <c r="L211" s="300">
        <f>SUM(L209:L210)</f>
        <v>78.385000000243252</v>
      </c>
      <c r="M211" s="300">
        <f t="shared" ref="M211" si="540">SUM(M209:M210)</f>
        <v>14.086999999920586</v>
      </c>
      <c r="N211" s="300">
        <f t="shared" ref="N211" si="541">SUM(N209:N210)</f>
        <v>57.190999998777798</v>
      </c>
      <c r="O211" s="300">
        <f t="shared" si="533"/>
        <v>149.66299999894164</v>
      </c>
      <c r="P211" s="300"/>
      <c r="Q211" s="300">
        <f>SUM(Q209:Q210)</f>
        <v>84.468000000853976</v>
      </c>
      <c r="R211" s="300">
        <f t="shared" ref="R211" si="542">SUM(R209:R210)</f>
        <v>15.553000000025957</v>
      </c>
      <c r="S211" s="300">
        <f t="shared" ref="S211" si="543">SUM(S209:S210)</f>
        <v>62.929999995284234</v>
      </c>
      <c r="T211" s="300">
        <f t="shared" si="534"/>
        <v>162.95099999616417</v>
      </c>
      <c r="U211" s="300"/>
      <c r="V211" s="300">
        <f>SUM(V209:V210)</f>
        <v>91.073000000974275</v>
      </c>
      <c r="W211" s="300">
        <f t="shared" ref="W211" si="544">SUM(W209:W210)</f>
        <v>17.726999999904407</v>
      </c>
      <c r="X211" s="300">
        <f t="shared" ref="X211" si="545">SUM(X209:X210)</f>
        <v>71.224999997042161</v>
      </c>
      <c r="Y211" s="300">
        <f t="shared" si="535"/>
        <v>180.02499999792084</v>
      </c>
    </row>
    <row r="212" spans="1:25" ht="12.45" x14ac:dyDescent="0.3">
      <c r="C212" s="263"/>
    </row>
    <row r="213" spans="1:25" ht="12.45" x14ac:dyDescent="0.3">
      <c r="A213" s="261" t="s">
        <v>368</v>
      </c>
      <c r="C213" s="263"/>
    </row>
    <row r="214" spans="1:25" ht="12.45" x14ac:dyDescent="0.3">
      <c r="A214" s="260" t="s">
        <v>356</v>
      </c>
      <c r="B214" s="300">
        <f>SUM(B199,B204,B209)</f>
        <v>17.019999999791093</v>
      </c>
      <c r="C214" s="300">
        <f t="shared" ref="C214:D214" si="546">SUM(C199,C204,C209)</f>
        <v>13.118000000138277</v>
      </c>
      <c r="D214" s="300">
        <f t="shared" si="546"/>
        <v>0.46400000001018737</v>
      </c>
      <c r="E214" s="300">
        <f>SUM(B214:D214)</f>
        <v>30.601999999939558</v>
      </c>
      <c r="F214" s="300"/>
      <c r="G214" s="300">
        <f>SUM(G199,G204,G209)</f>
        <v>20.773999999662607</v>
      </c>
      <c r="H214" s="300">
        <f t="shared" ref="H214:I214" si="547">SUM(H199,H204,H209)</f>
        <v>14.581000000185586</v>
      </c>
      <c r="I214" s="300">
        <f t="shared" si="547"/>
        <v>1.7010000000358736</v>
      </c>
      <c r="J214" s="300">
        <f>SUM(G214:I214)</f>
        <v>37.055999999884065</v>
      </c>
      <c r="K214" s="300"/>
      <c r="L214" s="300">
        <f>SUM(L199,L204,L209)</f>
        <v>21.733999999998996</v>
      </c>
      <c r="M214" s="300">
        <f t="shared" ref="M214:N214" si="548">SUM(M199,M204,M209)</f>
        <v>15.458999999864222</v>
      </c>
      <c r="N214" s="300">
        <f t="shared" si="548"/>
        <v>4.5719999998795569</v>
      </c>
      <c r="O214" s="300">
        <f>SUM(L214:N214)</f>
        <v>41.764999999742777</v>
      </c>
      <c r="P214" s="300"/>
      <c r="Q214" s="300">
        <f>SUM(Q199,Q204,Q209)</f>
        <v>23.777000000677951</v>
      </c>
      <c r="R214" s="300">
        <f t="shared" ref="R214:S214" si="549">SUM(R199,R204,R209)</f>
        <v>17.024000000042854</v>
      </c>
      <c r="S214" s="300">
        <f t="shared" si="549"/>
        <v>5.0239999999594653</v>
      </c>
      <c r="T214" s="300">
        <f>SUM(Q214:S214)</f>
        <v>45.825000000680269</v>
      </c>
      <c r="U214" s="300"/>
      <c r="V214" s="300">
        <f>SUM(V199,V204,V209)</f>
        <v>26.693000000252447</v>
      </c>
      <c r="W214" s="300">
        <f t="shared" ref="W214:X214" si="550">SUM(W199,W204,W209)</f>
        <v>19.32499999987283</v>
      </c>
      <c r="X214" s="300">
        <f t="shared" si="550"/>
        <v>5.7999999999410168</v>
      </c>
      <c r="Y214" s="300">
        <f>SUM(V214:X214)</f>
        <v>51.818000000066291</v>
      </c>
    </row>
    <row r="215" spans="1:25" ht="12.45" x14ac:dyDescent="0.3">
      <c r="A215" s="260" t="s">
        <v>355</v>
      </c>
      <c r="B215" s="300">
        <f>SUM(B200,B205,B210)</f>
        <v>121.0259999999096</v>
      </c>
      <c r="C215" s="300">
        <f t="shared" ref="C215:D215" si="551">SUM(C200,C205,C210)</f>
        <v>5.1420000000158037</v>
      </c>
      <c r="D215" s="300">
        <f t="shared" si="551"/>
        <v>86.656999996999815</v>
      </c>
      <c r="E215" s="300">
        <f t="shared" ref="E215:E216" si="552">SUM(B215:D215)</f>
        <v>212.82499999692521</v>
      </c>
      <c r="F215" s="300"/>
      <c r="G215" s="300">
        <f>SUM(G200,G205,G210)</f>
        <v>123.18500000028675</v>
      </c>
      <c r="H215" s="300">
        <f t="shared" ref="H215:I215" si="553">SUM(H200,H205,H210)</f>
        <v>4.195000000015531</v>
      </c>
      <c r="I215" s="300">
        <f t="shared" si="553"/>
        <v>75.988000001840518</v>
      </c>
      <c r="J215" s="300">
        <f t="shared" ref="J215:J216" si="554">SUM(G215:I215)</f>
        <v>203.36800000214279</v>
      </c>
      <c r="K215" s="300"/>
      <c r="L215" s="300">
        <f>SUM(L200,L205,L210)</f>
        <v>123.82900000043352</v>
      </c>
      <c r="M215" s="300">
        <f t="shared" ref="M215:N215" si="555">SUM(M200,M205,M210)</f>
        <v>9.6639999999987989</v>
      </c>
      <c r="N215" s="300">
        <f t="shared" si="555"/>
        <v>98.155999997917036</v>
      </c>
      <c r="O215" s="300">
        <f t="shared" ref="O215:O216" si="556">SUM(L215:N215)</f>
        <v>231.64899999834935</v>
      </c>
      <c r="P215" s="300"/>
      <c r="Q215" s="300">
        <f>SUM(Q200,Q205,Q210)</f>
        <v>133.18400000103188</v>
      </c>
      <c r="R215" s="300">
        <f t="shared" ref="R215:S215" si="557">SUM(R200,R205,R210)</f>
        <v>10.718000000002053</v>
      </c>
      <c r="S215" s="300">
        <f t="shared" si="557"/>
        <v>107.99099999168889</v>
      </c>
      <c r="T215" s="300">
        <f t="shared" ref="T215:T216" si="558">SUM(Q215:S215)</f>
        <v>251.89299999272282</v>
      </c>
      <c r="U215" s="300"/>
      <c r="V215" s="300">
        <f>SUM(V200,V205,V210)</f>
        <v>142.83800000155196</v>
      </c>
      <c r="W215" s="300">
        <f t="shared" ref="W215:X215" si="559">SUM(W200,W205,W210)</f>
        <v>12.301999999958808</v>
      </c>
      <c r="X215" s="300">
        <f t="shared" si="559"/>
        <v>122.23999999480807</v>
      </c>
      <c r="Y215" s="300">
        <f t="shared" ref="Y215:Y216" si="560">SUM(V215:X215)</f>
        <v>277.37999999631882</v>
      </c>
    </row>
    <row r="216" spans="1:25" ht="12.45" x14ac:dyDescent="0.3">
      <c r="A216" s="264" t="s">
        <v>354</v>
      </c>
      <c r="B216" s="301">
        <f>SUM(B214:B215)</f>
        <v>138.04599999970068</v>
      </c>
      <c r="C216" s="301">
        <f t="shared" ref="C216" si="561">SUM(C214:C215)</f>
        <v>18.260000000154079</v>
      </c>
      <c r="D216" s="301">
        <f t="shared" ref="D216" si="562">SUM(D214:D215)</f>
        <v>87.120999997010003</v>
      </c>
      <c r="E216" s="301">
        <f t="shared" si="552"/>
        <v>243.42699999686477</v>
      </c>
      <c r="F216" s="301"/>
      <c r="G216" s="301">
        <f>SUM(G214:G215)</f>
        <v>143.95899999994936</v>
      </c>
      <c r="H216" s="301">
        <f t="shared" ref="H216" si="563">SUM(H214:H215)</f>
        <v>18.776000000201115</v>
      </c>
      <c r="I216" s="301">
        <f t="shared" ref="I216" si="564">SUM(I214:I215)</f>
        <v>77.689000001876394</v>
      </c>
      <c r="J216" s="301">
        <f t="shared" si="554"/>
        <v>240.42400000202687</v>
      </c>
      <c r="K216" s="301"/>
      <c r="L216" s="301">
        <f>SUM(L214:L215)</f>
        <v>145.56300000043251</v>
      </c>
      <c r="M216" s="301">
        <f t="shared" ref="M216" si="565">SUM(M214:M215)</f>
        <v>25.122999999863019</v>
      </c>
      <c r="N216" s="301">
        <f t="shared" ref="N216" si="566">SUM(N214:N215)</f>
        <v>102.72799999779659</v>
      </c>
      <c r="O216" s="301">
        <f t="shared" si="556"/>
        <v>273.41399999809209</v>
      </c>
      <c r="P216" s="301"/>
      <c r="Q216" s="301">
        <f>SUM(Q214:Q215)</f>
        <v>156.96100000170983</v>
      </c>
      <c r="R216" s="301">
        <f t="shared" ref="R216" si="567">SUM(R214:R215)</f>
        <v>27.742000000044907</v>
      </c>
      <c r="S216" s="301">
        <f t="shared" ref="S216" si="568">SUM(S214:S215)</f>
        <v>113.01499999164837</v>
      </c>
      <c r="T216" s="301">
        <f t="shared" si="558"/>
        <v>297.71799999340311</v>
      </c>
      <c r="U216" s="301"/>
      <c r="V216" s="301">
        <f>SUM(V214:V215)</f>
        <v>169.53100000180441</v>
      </c>
      <c r="W216" s="301">
        <f t="shared" ref="W216" si="569">SUM(W214:W215)</f>
        <v>31.626999999831639</v>
      </c>
      <c r="X216" s="301">
        <f t="shared" ref="X216" si="570">SUM(X214:X215)</f>
        <v>128.03999999474908</v>
      </c>
      <c r="Y216" s="301">
        <f t="shared" si="560"/>
        <v>329.19799999638514</v>
      </c>
    </row>
    <row r="217" spans="1:25" ht="12.45" x14ac:dyDescent="0.3">
      <c r="C217" s="263"/>
    </row>
    <row r="218" spans="1:25" ht="12.45" x14ac:dyDescent="0.3">
      <c r="C218" s="263"/>
    </row>
    <row r="219" spans="1:25" ht="12.45" x14ac:dyDescent="0.3">
      <c r="C219" s="263"/>
    </row>
    <row r="220" spans="1:25" ht="14.15" x14ac:dyDescent="0.35">
      <c r="A220" s="265" t="str">
        <f>"Industry 9 : "&amp; name!B12</f>
        <v>Industry 9 : Wholesale and retail trade</v>
      </c>
      <c r="B220" s="372">
        <f>$B$5</f>
        <v>2015</v>
      </c>
      <c r="C220" s="372"/>
      <c r="D220" s="372"/>
      <c r="E220" s="372"/>
      <c r="F220" s="320"/>
      <c r="G220" s="372">
        <f>$G$5</f>
        <v>2019</v>
      </c>
      <c r="H220" s="372"/>
      <c r="I220" s="372"/>
      <c r="J220" s="372"/>
      <c r="K220" s="320"/>
      <c r="L220" s="372">
        <f>$L$5</f>
        <v>2020</v>
      </c>
      <c r="M220" s="372"/>
      <c r="N220" s="372"/>
      <c r="O220" s="372"/>
      <c r="P220" s="318"/>
      <c r="Q220" s="372">
        <f>$Q$5</f>
        <v>2025</v>
      </c>
      <c r="R220" s="372"/>
      <c r="S220" s="372"/>
      <c r="T220" s="372"/>
      <c r="U220" s="320"/>
      <c r="V220" s="372">
        <f>$V$5</f>
        <v>2035</v>
      </c>
      <c r="W220" s="372"/>
      <c r="X220" s="372"/>
      <c r="Y220" s="372"/>
    </row>
    <row r="221" spans="1:25" ht="12.45" x14ac:dyDescent="0.3">
      <c r="A221" s="264"/>
      <c r="B221" s="268" t="str">
        <f>$B$6</f>
        <v>FT</v>
      </c>
      <c r="C221" s="268" t="str">
        <f>$C$6</f>
        <v>PT</v>
      </c>
      <c r="D221" s="268" t="str">
        <f>$D$6</f>
        <v>SE</v>
      </c>
      <c r="E221" s="268" t="str">
        <f>$E$6</f>
        <v>Total</v>
      </c>
      <c r="F221" s="268"/>
      <c r="G221" s="268" t="str">
        <f>$B$6</f>
        <v>FT</v>
      </c>
      <c r="H221" s="268" t="str">
        <f>$C$6</f>
        <v>PT</v>
      </c>
      <c r="I221" s="268" t="str">
        <f>$D$6</f>
        <v>SE</v>
      </c>
      <c r="J221" s="268" t="str">
        <f>$E$6</f>
        <v>Total</v>
      </c>
      <c r="K221" s="268"/>
      <c r="L221" s="268" t="str">
        <f>$L$6</f>
        <v>FT</v>
      </c>
      <c r="M221" s="268" t="str">
        <f>$M$6</f>
        <v>PT</v>
      </c>
      <c r="N221" s="268" t="str">
        <f>$N$6</f>
        <v>SE</v>
      </c>
      <c r="O221" s="268" t="str">
        <f>$O$6</f>
        <v>Total</v>
      </c>
      <c r="P221" s="268"/>
      <c r="Q221" s="268" t="str">
        <f>$L$6</f>
        <v>FT</v>
      </c>
      <c r="R221" s="268" t="str">
        <f>$M$6</f>
        <v>PT</v>
      </c>
      <c r="S221" s="268" t="str">
        <f>$N$6</f>
        <v>SE</v>
      </c>
      <c r="T221" s="268" t="str">
        <f>$O$6</f>
        <v>Total</v>
      </c>
      <c r="U221" s="268"/>
      <c r="V221" s="268" t="str">
        <f>$V$6</f>
        <v>FT</v>
      </c>
      <c r="W221" s="268" t="str">
        <f>$W$6</f>
        <v>PT</v>
      </c>
      <c r="X221" s="268" t="str">
        <f>$X$6</f>
        <v>SE</v>
      </c>
      <c r="Y221" s="268" t="str">
        <f>$Y$6</f>
        <v>Total</v>
      </c>
    </row>
    <row r="222" spans="1:25" ht="12.45" x14ac:dyDescent="0.3">
      <c r="C222" s="319"/>
      <c r="D222" s="319"/>
      <c r="E222" s="319"/>
      <c r="F222" s="319"/>
      <c r="G222" s="319"/>
      <c r="H222" s="319"/>
      <c r="I222" s="319"/>
      <c r="J222" s="319"/>
      <c r="K222" s="319"/>
      <c r="L222" s="319"/>
      <c r="M222" s="319"/>
      <c r="N222" s="319"/>
      <c r="O222" s="319"/>
      <c r="P222" s="319"/>
      <c r="Q222" s="319"/>
      <c r="R222" s="319"/>
      <c r="S222" s="319"/>
      <c r="T222" s="319"/>
      <c r="U222" s="319"/>
      <c r="V222" s="319"/>
      <c r="W222" s="319"/>
      <c r="X222" s="319"/>
      <c r="Y222" s="319"/>
    </row>
    <row r="223" spans="1:25" ht="12.45" x14ac:dyDescent="0.3">
      <c r="A223" s="261" t="str">
        <f>name!A34</f>
        <v>Motor vehicle trade</v>
      </c>
      <c r="C223" s="263"/>
    </row>
    <row r="224" spans="1:25" ht="12.45" x14ac:dyDescent="0.3">
      <c r="A224" s="260" t="s">
        <v>356</v>
      </c>
      <c r="B224" s="300">
        <v>8.7920000000384206</v>
      </c>
      <c r="C224" s="300">
        <v>3.436000000122021</v>
      </c>
      <c r="D224" s="300">
        <v>0.72200000000802544</v>
      </c>
      <c r="E224" s="300">
        <f>SUM(B224:D224)</f>
        <v>12.950000000168467</v>
      </c>
      <c r="F224" s="300"/>
      <c r="G224" s="300">
        <v>8.7230000000235464</v>
      </c>
      <c r="H224" s="300">
        <v>6.0260000001942604</v>
      </c>
      <c r="I224" s="300">
        <v>1.5430000000181163</v>
      </c>
      <c r="J224" s="300">
        <f>SUM(G224:I224)</f>
        <v>16.292000000235923</v>
      </c>
      <c r="K224" s="300"/>
      <c r="L224" s="300">
        <v>8.6399999998375954</v>
      </c>
      <c r="M224" s="300">
        <v>5.6199999999890515</v>
      </c>
      <c r="N224" s="300">
        <v>1.082999999987909</v>
      </c>
      <c r="O224" s="300">
        <f>SUM(L224:N224)</f>
        <v>15.342999999814555</v>
      </c>
      <c r="P224" s="300"/>
      <c r="Q224" s="300">
        <v>9.5670000000683739</v>
      </c>
      <c r="R224" s="300">
        <v>5.6810000001462182</v>
      </c>
      <c r="S224" s="300">
        <v>1.1419999999952113</v>
      </c>
      <c r="T224" s="300">
        <f>SUM(Q224:S224)</f>
        <v>16.390000000209803</v>
      </c>
      <c r="U224" s="300"/>
      <c r="V224" s="300">
        <v>10.929999999884227</v>
      </c>
      <c r="W224" s="300">
        <v>5.3499999999064247</v>
      </c>
      <c r="X224" s="300">
        <v>1.19100000002091</v>
      </c>
      <c r="Y224" s="300">
        <f>SUM(V224:X224)</f>
        <v>17.470999999811564</v>
      </c>
    </row>
    <row r="225" spans="1:25" ht="12.45" x14ac:dyDescent="0.3">
      <c r="A225" s="260" t="s">
        <v>355</v>
      </c>
      <c r="B225" s="300">
        <v>48.969000000072874</v>
      </c>
      <c r="C225" s="300">
        <v>3.8530000000524258</v>
      </c>
      <c r="D225" s="300">
        <v>7.2760000000247773</v>
      </c>
      <c r="E225" s="300">
        <f t="shared" ref="E225:E226" si="571">SUM(B225:D225)</f>
        <v>60.09800000015008</v>
      </c>
      <c r="F225" s="300"/>
      <c r="G225" s="300">
        <v>48.776000000226823</v>
      </c>
      <c r="H225" s="300">
        <v>4.4230000000743157</v>
      </c>
      <c r="I225" s="300">
        <v>8.925000000174423</v>
      </c>
      <c r="J225" s="300">
        <f t="shared" ref="J225:J226" si="572">SUM(G225:I225)</f>
        <v>62.124000000475561</v>
      </c>
      <c r="K225" s="300"/>
      <c r="L225" s="300">
        <v>44.318000000275909</v>
      </c>
      <c r="M225" s="300">
        <v>5.8660000000291204</v>
      </c>
      <c r="N225" s="300">
        <v>4.6880000000116882</v>
      </c>
      <c r="O225" s="300">
        <f t="shared" ref="O225:O226" si="573">SUM(L225:N225)</f>
        <v>54.872000000316717</v>
      </c>
      <c r="P225" s="300"/>
      <c r="Q225" s="300">
        <v>47.639000000495145</v>
      </c>
      <c r="R225" s="300">
        <v>6.2410000000556876</v>
      </c>
      <c r="S225" s="300">
        <v>5.0369999999561523</v>
      </c>
      <c r="T225" s="300">
        <f t="shared" ref="T225:T226" si="574">SUM(Q225:S225)</f>
        <v>58.917000000506981</v>
      </c>
      <c r="U225" s="300"/>
      <c r="V225" s="300">
        <v>51.455000000669664</v>
      </c>
      <c r="W225" s="300">
        <v>6.5890000000717022</v>
      </c>
      <c r="X225" s="300">
        <v>5.4550000000315801</v>
      </c>
      <c r="Y225" s="300">
        <f t="shared" ref="Y225:Y226" si="575">SUM(V225:X225)</f>
        <v>63.499000000772945</v>
      </c>
    </row>
    <row r="226" spans="1:25" ht="12.45" x14ac:dyDescent="0.3">
      <c r="A226" s="260" t="s">
        <v>354</v>
      </c>
      <c r="B226" s="300">
        <f>SUM(B224:B225)</f>
        <v>57.761000000111295</v>
      </c>
      <c r="C226" s="300">
        <f t="shared" ref="C226" si="576">SUM(C224:C225)</f>
        <v>7.2890000001744468</v>
      </c>
      <c r="D226" s="300">
        <f t="shared" ref="D226" si="577">SUM(D224:D225)</f>
        <v>7.9980000000328024</v>
      </c>
      <c r="E226" s="300">
        <f t="shared" si="571"/>
        <v>73.048000000318538</v>
      </c>
      <c r="F226" s="300"/>
      <c r="G226" s="300">
        <f>SUM(G224:G225)</f>
        <v>57.499000000250369</v>
      </c>
      <c r="H226" s="300">
        <f t="shared" ref="H226" si="578">SUM(H224:H225)</f>
        <v>10.449000000268576</v>
      </c>
      <c r="I226" s="300">
        <f t="shared" ref="I226" si="579">SUM(I224:I225)</f>
        <v>10.468000000192539</v>
      </c>
      <c r="J226" s="300">
        <f t="shared" si="572"/>
        <v>78.416000000711477</v>
      </c>
      <c r="K226" s="300"/>
      <c r="L226" s="300">
        <f>SUM(L224:L225)</f>
        <v>52.958000000113501</v>
      </c>
      <c r="M226" s="300">
        <f t="shared" ref="M226" si="580">SUM(M224:M225)</f>
        <v>11.486000000018173</v>
      </c>
      <c r="N226" s="300">
        <f t="shared" ref="N226" si="581">SUM(N224:N225)</f>
        <v>5.7709999999995976</v>
      </c>
      <c r="O226" s="300">
        <f t="shared" si="573"/>
        <v>70.215000000131269</v>
      </c>
      <c r="P226" s="300"/>
      <c r="Q226" s="300">
        <f>SUM(Q224:Q225)</f>
        <v>57.20600000056352</v>
      </c>
      <c r="R226" s="300">
        <f t="shared" ref="R226" si="582">SUM(R224:R225)</f>
        <v>11.922000000201905</v>
      </c>
      <c r="S226" s="300">
        <f t="shared" ref="S226" si="583">SUM(S224:S225)</f>
        <v>6.1789999999513636</v>
      </c>
      <c r="T226" s="300">
        <f t="shared" si="574"/>
        <v>75.307000000716783</v>
      </c>
      <c r="U226" s="300"/>
      <c r="V226" s="300">
        <f>SUM(V224:V225)</f>
        <v>62.385000000553887</v>
      </c>
      <c r="W226" s="300">
        <f t="shared" ref="W226" si="584">SUM(W224:W225)</f>
        <v>11.938999999978126</v>
      </c>
      <c r="X226" s="300">
        <f t="shared" ref="X226" si="585">SUM(X224:X225)</f>
        <v>6.6460000000524904</v>
      </c>
      <c r="Y226" s="300">
        <f t="shared" si="575"/>
        <v>80.970000000584506</v>
      </c>
    </row>
    <row r="227" spans="1:25" ht="12.45" x14ac:dyDescent="0.3">
      <c r="C227" s="319"/>
      <c r="D227" s="319"/>
      <c r="E227" s="319"/>
      <c r="F227" s="319"/>
      <c r="G227" s="319"/>
      <c r="H227" s="319"/>
      <c r="I227" s="319"/>
      <c r="J227" s="319"/>
      <c r="K227" s="319"/>
      <c r="L227" s="319"/>
      <c r="M227" s="319"/>
      <c r="N227" s="319"/>
      <c r="O227" s="319"/>
      <c r="P227" s="319"/>
      <c r="Q227" s="319"/>
      <c r="R227" s="319"/>
      <c r="S227" s="319"/>
      <c r="T227" s="319"/>
      <c r="U227" s="319"/>
      <c r="V227" s="319"/>
      <c r="W227" s="319"/>
      <c r="X227" s="319"/>
      <c r="Y227" s="319"/>
    </row>
    <row r="228" spans="1:25" ht="12.45" x14ac:dyDescent="0.3">
      <c r="A228" s="261" t="str">
        <f>name!A35</f>
        <v>Wholesale trade</v>
      </c>
      <c r="C228" s="263"/>
    </row>
    <row r="229" spans="1:25" ht="12.45" x14ac:dyDescent="0.3">
      <c r="A229" s="260" t="s">
        <v>356</v>
      </c>
      <c r="B229" s="300">
        <v>26.257000000056305</v>
      </c>
      <c r="C229" s="300">
        <v>8.2960000002393652</v>
      </c>
      <c r="D229" s="300">
        <v>2.5440000000401719</v>
      </c>
      <c r="E229" s="300">
        <f>SUM(B229:D229)</f>
        <v>37.097000000335839</v>
      </c>
      <c r="F229" s="300"/>
      <c r="G229" s="300">
        <v>31.588999999914996</v>
      </c>
      <c r="H229" s="300">
        <v>9.3390000002486531</v>
      </c>
      <c r="I229" s="300">
        <v>2.6360000000412294</v>
      </c>
      <c r="J229" s="300">
        <f>SUM(G229:I229)</f>
        <v>43.564000000204878</v>
      </c>
      <c r="K229" s="300"/>
      <c r="L229" s="300">
        <v>31.514999999191719</v>
      </c>
      <c r="M229" s="300">
        <v>9.6439999999458301</v>
      </c>
      <c r="N229" s="300">
        <v>1.8349999999713182</v>
      </c>
      <c r="O229" s="300">
        <f>SUM(L229:N229)</f>
        <v>42.993999999108865</v>
      </c>
      <c r="P229" s="300"/>
      <c r="Q229" s="300">
        <v>33.796000000707458</v>
      </c>
      <c r="R229" s="300">
        <v>9.4460000001750579</v>
      </c>
      <c r="S229" s="300">
        <v>1.8649999999931874</v>
      </c>
      <c r="T229" s="300">
        <f>SUM(Q229:S229)</f>
        <v>45.107000000875701</v>
      </c>
      <c r="U229" s="300"/>
      <c r="V229" s="300">
        <v>37.430999999514157</v>
      </c>
      <c r="W229" s="300">
        <v>8.7069999998625107</v>
      </c>
      <c r="X229" s="300">
        <v>1.8719999999949444</v>
      </c>
      <c r="Y229" s="300">
        <f>SUM(V229:X229)</f>
        <v>48.009999999371615</v>
      </c>
    </row>
    <row r="230" spans="1:25" ht="12.45" x14ac:dyDescent="0.3">
      <c r="A230" s="260" t="s">
        <v>355</v>
      </c>
      <c r="B230" s="300">
        <v>74.068000000114694</v>
      </c>
      <c r="C230" s="300">
        <v>4.7300000000523177</v>
      </c>
      <c r="D230" s="300">
        <v>5.632000000108297</v>
      </c>
      <c r="E230" s="300">
        <f t="shared" ref="E230:E231" si="586">SUM(B230:D230)</f>
        <v>84.430000000275299</v>
      </c>
      <c r="F230" s="300"/>
      <c r="G230" s="300">
        <v>75.959000000332296</v>
      </c>
      <c r="H230" s="300">
        <v>5.1860000000678221</v>
      </c>
      <c r="I230" s="300">
        <v>4.6350000000472065</v>
      </c>
      <c r="J230" s="300">
        <f t="shared" ref="J230:J231" si="587">SUM(G230:I230)</f>
        <v>85.78000000044733</v>
      </c>
      <c r="K230" s="300"/>
      <c r="L230" s="300">
        <v>72.147000000401789</v>
      </c>
      <c r="M230" s="300">
        <v>5.4640000000350843</v>
      </c>
      <c r="N230" s="300">
        <v>4.5390000000705069</v>
      </c>
      <c r="O230" s="300">
        <f t="shared" ref="O230:O231" si="588">SUM(L230:N230)</f>
        <v>82.150000000507376</v>
      </c>
      <c r="P230" s="300"/>
      <c r="Q230" s="300">
        <v>72.470000000659525</v>
      </c>
      <c r="R230" s="300">
        <v>5.525000000041941</v>
      </c>
      <c r="S230" s="300">
        <v>4.6520000001340689</v>
      </c>
      <c r="T230" s="300">
        <f t="shared" ref="T230:T231" si="589">SUM(Q230:S230)</f>
        <v>82.647000000835533</v>
      </c>
      <c r="U230" s="300"/>
      <c r="V230" s="300">
        <v>70.867000000739125</v>
      </c>
      <c r="W230" s="300">
        <v>5.4730000000390424</v>
      </c>
      <c r="X230" s="300">
        <v>4.7460000001023639</v>
      </c>
      <c r="Y230" s="300">
        <f t="shared" ref="Y230:Y231" si="590">SUM(V230:X230)</f>
        <v>81.086000000880532</v>
      </c>
    </row>
    <row r="231" spans="1:25" ht="12.45" x14ac:dyDescent="0.3">
      <c r="A231" s="260" t="s">
        <v>354</v>
      </c>
      <c r="B231" s="300">
        <f>SUM(B229:B230)</f>
        <v>100.325000000171</v>
      </c>
      <c r="C231" s="300">
        <f t="shared" ref="C231" si="591">SUM(C229:C230)</f>
        <v>13.026000000291683</v>
      </c>
      <c r="D231" s="300">
        <f t="shared" ref="D231" si="592">SUM(D229:D230)</f>
        <v>8.1760000001484698</v>
      </c>
      <c r="E231" s="300">
        <f t="shared" si="586"/>
        <v>121.52700000061117</v>
      </c>
      <c r="F231" s="300"/>
      <c r="G231" s="300">
        <f>SUM(G229:G230)</f>
        <v>107.5480000002473</v>
      </c>
      <c r="H231" s="300">
        <f t="shared" ref="H231" si="593">SUM(H229:H230)</f>
        <v>14.525000000316474</v>
      </c>
      <c r="I231" s="300">
        <f t="shared" ref="I231" si="594">SUM(I229:I230)</f>
        <v>7.2710000000884358</v>
      </c>
      <c r="J231" s="300">
        <f t="shared" si="587"/>
        <v>129.34400000065222</v>
      </c>
      <c r="K231" s="300"/>
      <c r="L231" s="300">
        <f>SUM(L229:L230)</f>
        <v>103.6619999995935</v>
      </c>
      <c r="M231" s="300">
        <f t="shared" ref="M231" si="595">SUM(M229:M230)</f>
        <v>15.107999999980915</v>
      </c>
      <c r="N231" s="300">
        <f t="shared" ref="N231" si="596">SUM(N229:N230)</f>
        <v>6.3740000000418249</v>
      </c>
      <c r="O231" s="300">
        <f t="shared" si="588"/>
        <v>125.14399999961626</v>
      </c>
      <c r="P231" s="300"/>
      <c r="Q231" s="300">
        <f>SUM(Q229:Q230)</f>
        <v>106.26600000136699</v>
      </c>
      <c r="R231" s="300">
        <f t="shared" ref="R231" si="597">SUM(R229:R230)</f>
        <v>14.971000000217</v>
      </c>
      <c r="S231" s="300">
        <f t="shared" ref="S231" si="598">SUM(S229:S230)</f>
        <v>6.5170000001272559</v>
      </c>
      <c r="T231" s="300">
        <f t="shared" si="589"/>
        <v>127.75400000171125</v>
      </c>
      <c r="U231" s="300"/>
      <c r="V231" s="300">
        <f>SUM(V229:V230)</f>
        <v>108.29800000025328</v>
      </c>
      <c r="W231" s="300">
        <f t="shared" ref="W231" si="599">SUM(W229:W230)</f>
        <v>14.179999999901554</v>
      </c>
      <c r="X231" s="300">
        <f t="shared" ref="X231" si="600">SUM(X229:X230)</f>
        <v>6.6180000000973083</v>
      </c>
      <c r="Y231" s="300">
        <f t="shared" si="590"/>
        <v>129.09600000025213</v>
      </c>
    </row>
    <row r="232" spans="1:25" ht="12.45" x14ac:dyDescent="0.3">
      <c r="C232" s="319"/>
      <c r="D232" s="319"/>
      <c r="E232" s="319"/>
      <c r="F232" s="319"/>
      <c r="G232" s="319"/>
      <c r="H232" s="319"/>
      <c r="I232" s="319"/>
      <c r="J232" s="319"/>
      <c r="K232" s="319"/>
      <c r="L232" s="319"/>
      <c r="M232" s="319"/>
      <c r="N232" s="319"/>
      <c r="O232" s="319"/>
      <c r="P232" s="319"/>
      <c r="Q232" s="319"/>
      <c r="R232" s="319"/>
      <c r="S232" s="319"/>
      <c r="T232" s="319"/>
      <c r="U232" s="319"/>
      <c r="V232" s="319"/>
      <c r="W232" s="319"/>
      <c r="X232" s="319"/>
      <c r="Y232" s="319"/>
    </row>
    <row r="233" spans="1:25" ht="12.45" x14ac:dyDescent="0.3">
      <c r="A233" s="261" t="str">
        <f>name!A36</f>
        <v>Retail trade</v>
      </c>
      <c r="C233" s="263"/>
    </row>
    <row r="234" spans="1:25" ht="12.45" x14ac:dyDescent="0.3">
      <c r="A234" s="260" t="s">
        <v>356</v>
      </c>
      <c r="B234" s="300">
        <v>48.139000000103721</v>
      </c>
      <c r="C234" s="300">
        <v>115.03000000629537</v>
      </c>
      <c r="D234" s="300">
        <v>10.472000000205396</v>
      </c>
      <c r="E234" s="300">
        <f>SUM(B234:D234)</f>
        <v>173.64100000660446</v>
      </c>
      <c r="F234" s="300"/>
      <c r="G234" s="300">
        <v>49.127999999916923</v>
      </c>
      <c r="H234" s="300">
        <v>100.38200000465731</v>
      </c>
      <c r="I234" s="300">
        <v>11.231000000211454</v>
      </c>
      <c r="J234" s="300">
        <f>SUM(G234:I234)</f>
        <v>160.74100000478569</v>
      </c>
      <c r="K234" s="300"/>
      <c r="L234" s="300">
        <v>48.137999998929537</v>
      </c>
      <c r="M234" s="300">
        <v>103.16300000165867</v>
      </c>
      <c r="N234" s="300">
        <v>10.047999999801668</v>
      </c>
      <c r="O234" s="300">
        <f>SUM(L234:N234)</f>
        <v>161.34900000038988</v>
      </c>
      <c r="P234" s="300"/>
      <c r="Q234" s="300">
        <v>49.400000000843008</v>
      </c>
      <c r="R234" s="300">
        <v>99.500000005489966</v>
      </c>
      <c r="S234" s="300">
        <v>10.442999999961687</v>
      </c>
      <c r="T234" s="300">
        <f>SUM(Q234:S234)</f>
        <v>159.34300000629466</v>
      </c>
      <c r="U234" s="300"/>
      <c r="V234" s="300">
        <v>52.138999999384808</v>
      </c>
      <c r="W234" s="300">
        <v>92.60999999839936</v>
      </c>
      <c r="X234" s="300">
        <v>11.286999999963413</v>
      </c>
      <c r="Y234" s="300">
        <f>SUM(V234:X234)</f>
        <v>156.03599999774758</v>
      </c>
    </row>
    <row r="235" spans="1:25" ht="12.45" x14ac:dyDescent="0.3">
      <c r="A235" s="260" t="s">
        <v>355</v>
      </c>
      <c r="B235" s="300">
        <v>69.581000000118777</v>
      </c>
      <c r="C235" s="300">
        <v>47.687000000725831</v>
      </c>
      <c r="D235" s="300">
        <v>12.960000000234897</v>
      </c>
      <c r="E235" s="300">
        <f t="shared" ref="E235:E236" si="601">SUM(B235:D235)</f>
        <v>130.22800000107949</v>
      </c>
      <c r="F235" s="300"/>
      <c r="G235" s="300">
        <v>65.48800000029199</v>
      </c>
      <c r="H235" s="300">
        <v>39.68500000071932</v>
      </c>
      <c r="I235" s="300">
        <v>10.032000000138142</v>
      </c>
      <c r="J235" s="300">
        <f t="shared" ref="J235:J236" si="602">SUM(G235:I235)</f>
        <v>115.20500000114944</v>
      </c>
      <c r="K235" s="300"/>
      <c r="L235" s="300">
        <v>61.50800000033982</v>
      </c>
      <c r="M235" s="300">
        <v>46.283000000067965</v>
      </c>
      <c r="N235" s="300">
        <v>7.4040000001083621</v>
      </c>
      <c r="O235" s="300">
        <f t="shared" ref="O235:O236" si="603">SUM(L235:N235)</f>
        <v>115.19500000051616</v>
      </c>
      <c r="P235" s="300"/>
      <c r="Q235" s="300">
        <v>63.191000000544065</v>
      </c>
      <c r="R235" s="300">
        <v>46.350000000337587</v>
      </c>
      <c r="S235" s="300">
        <v>7.4290000001826382</v>
      </c>
      <c r="T235" s="300">
        <f t="shared" ref="T235:T236" si="604">SUM(Q235:S235)</f>
        <v>116.97000000106429</v>
      </c>
      <c r="U235" s="300"/>
      <c r="V235" s="300">
        <v>66.818000000613893</v>
      </c>
      <c r="W235" s="300">
        <v>46.693000000346998</v>
      </c>
      <c r="X235" s="300">
        <v>7.5200000001824687</v>
      </c>
      <c r="Y235" s="300">
        <f t="shared" ref="Y235:Y236" si="605">SUM(V235:X235)</f>
        <v>121.03100000114335</v>
      </c>
    </row>
    <row r="236" spans="1:25" ht="12.45" x14ac:dyDescent="0.3">
      <c r="A236" s="260" t="s">
        <v>354</v>
      </c>
      <c r="B236" s="300">
        <f>SUM(B234:B235)</f>
        <v>117.7200000002225</v>
      </c>
      <c r="C236" s="300">
        <f t="shared" ref="C236" si="606">SUM(C234:C235)</f>
        <v>162.7170000070212</v>
      </c>
      <c r="D236" s="300">
        <f t="shared" ref="D236" si="607">SUM(D234:D235)</f>
        <v>23.432000000440294</v>
      </c>
      <c r="E236" s="300">
        <f t="shared" si="601"/>
        <v>303.86900000768395</v>
      </c>
      <c r="F236" s="300"/>
      <c r="G236" s="300">
        <f>SUM(G234:G235)</f>
        <v>114.61600000020891</v>
      </c>
      <c r="H236" s="300">
        <f t="shared" ref="H236" si="608">SUM(H234:H235)</f>
        <v>140.06700000537663</v>
      </c>
      <c r="I236" s="300">
        <f t="shared" ref="I236" si="609">SUM(I234:I235)</f>
        <v>21.263000000349596</v>
      </c>
      <c r="J236" s="300">
        <f t="shared" si="602"/>
        <v>275.94600000593516</v>
      </c>
      <c r="K236" s="300"/>
      <c r="L236" s="300">
        <f>SUM(L234:L235)</f>
        <v>109.64599999926935</v>
      </c>
      <c r="M236" s="300">
        <f t="shared" ref="M236" si="610">SUM(M234:M235)</f>
        <v>149.44600000172665</v>
      </c>
      <c r="N236" s="300">
        <f t="shared" ref="N236" si="611">SUM(N234:N235)</f>
        <v>17.451999999910029</v>
      </c>
      <c r="O236" s="300">
        <f t="shared" si="603"/>
        <v>276.54400000090601</v>
      </c>
      <c r="P236" s="300"/>
      <c r="Q236" s="300">
        <f>SUM(Q234:Q235)</f>
        <v>112.59100000138707</v>
      </c>
      <c r="R236" s="300">
        <f t="shared" ref="R236" si="612">SUM(R234:R235)</f>
        <v>145.85000000582755</v>
      </c>
      <c r="S236" s="300">
        <f t="shared" ref="S236" si="613">SUM(S234:S235)</f>
        <v>17.872000000144325</v>
      </c>
      <c r="T236" s="300">
        <f t="shared" si="604"/>
        <v>276.31300000735894</v>
      </c>
      <c r="U236" s="300"/>
      <c r="V236" s="300">
        <f>SUM(V234:V235)</f>
        <v>118.9569999999987</v>
      </c>
      <c r="W236" s="300">
        <f t="shared" ref="W236" si="614">SUM(W234:W235)</f>
        <v>139.30299999874637</v>
      </c>
      <c r="X236" s="300">
        <f t="shared" ref="X236" si="615">SUM(X234:X235)</f>
        <v>18.807000000145884</v>
      </c>
      <c r="Y236" s="300">
        <f t="shared" si="605"/>
        <v>277.06699999889094</v>
      </c>
    </row>
    <row r="237" spans="1:25" ht="12.45" x14ac:dyDescent="0.3">
      <c r="C237" s="263"/>
    </row>
    <row r="238" spans="1:25" ht="12.45" x14ac:dyDescent="0.3">
      <c r="A238" s="261" t="s">
        <v>367</v>
      </c>
      <c r="C238" s="263"/>
    </row>
    <row r="239" spans="1:25" ht="12.45" x14ac:dyDescent="0.3">
      <c r="A239" s="260" t="s">
        <v>356</v>
      </c>
      <c r="B239" s="300">
        <f>SUM(B224,B229,B234)</f>
        <v>83.188000000198443</v>
      </c>
      <c r="C239" s="300">
        <f t="shared" ref="C239:D239" si="616">SUM(C224,C229,C234)</f>
        <v>126.76200000665675</v>
      </c>
      <c r="D239" s="300">
        <f t="shared" si="616"/>
        <v>13.738000000253594</v>
      </c>
      <c r="E239" s="300">
        <f>SUM(B239:D239)</f>
        <v>223.6880000071088</v>
      </c>
      <c r="F239" s="300"/>
      <c r="G239" s="300">
        <f>SUM(G224,G229,G234)</f>
        <v>89.439999999855473</v>
      </c>
      <c r="H239" s="300">
        <f t="shared" ref="H239:I239" si="617">SUM(H224,H229,H234)</f>
        <v>115.74700000510023</v>
      </c>
      <c r="I239" s="300">
        <f t="shared" si="617"/>
        <v>15.410000000270799</v>
      </c>
      <c r="J239" s="300">
        <f>SUM(G239:I239)</f>
        <v>220.5970000052265</v>
      </c>
      <c r="K239" s="300"/>
      <c r="L239" s="300">
        <f>SUM(L224,L229,L234)</f>
        <v>88.292999997958844</v>
      </c>
      <c r="M239" s="300">
        <f t="shared" ref="M239:N239" si="618">SUM(M224,M229,M234)</f>
        <v>118.42700000159356</v>
      </c>
      <c r="N239" s="300">
        <f t="shared" si="618"/>
        <v>12.965999999760896</v>
      </c>
      <c r="O239" s="300">
        <f>SUM(L239:N239)</f>
        <v>219.68599999931328</v>
      </c>
      <c r="P239" s="300"/>
      <c r="Q239" s="300">
        <f>SUM(Q224,Q229,Q234)</f>
        <v>92.763000001618849</v>
      </c>
      <c r="R239" s="300">
        <f t="shared" ref="R239:S239" si="619">SUM(R224,R229,R234)</f>
        <v>114.62700000581124</v>
      </c>
      <c r="S239" s="300">
        <f t="shared" si="619"/>
        <v>13.449999999950085</v>
      </c>
      <c r="T239" s="300">
        <f>SUM(Q239:S239)</f>
        <v>220.84000000738018</v>
      </c>
      <c r="U239" s="300"/>
      <c r="V239" s="300">
        <f>SUM(V224,V229,V234)</f>
        <v>100.4999999987832</v>
      </c>
      <c r="W239" s="300">
        <f t="shared" ref="W239:X239" si="620">SUM(W224,W229,W234)</f>
        <v>106.66699999816829</v>
      </c>
      <c r="X239" s="300">
        <f t="shared" si="620"/>
        <v>14.349999999979268</v>
      </c>
      <c r="Y239" s="300">
        <f>SUM(V239:X239)</f>
        <v>221.51699999693076</v>
      </c>
    </row>
    <row r="240" spans="1:25" ht="12.45" x14ac:dyDescent="0.3">
      <c r="A240" s="260" t="s">
        <v>355</v>
      </c>
      <c r="B240" s="300">
        <f>SUM(B225,B230,B235)</f>
        <v>192.61800000030632</v>
      </c>
      <c r="C240" s="300">
        <f t="shared" ref="C240:D240" si="621">SUM(C225,C230,C235)</f>
        <v>56.270000000830578</v>
      </c>
      <c r="D240" s="300">
        <f t="shared" si="621"/>
        <v>25.868000000367971</v>
      </c>
      <c r="E240" s="300">
        <f t="shared" ref="E240:E241" si="622">SUM(B240:D240)</f>
        <v>274.75600000150484</v>
      </c>
      <c r="F240" s="300"/>
      <c r="G240" s="300">
        <f>SUM(G225,G230,G235)</f>
        <v>190.22300000085113</v>
      </c>
      <c r="H240" s="300">
        <f t="shared" ref="H240:I240" si="623">SUM(H225,H230,H235)</f>
        <v>49.294000000861459</v>
      </c>
      <c r="I240" s="300">
        <f t="shared" si="623"/>
        <v>23.592000000359771</v>
      </c>
      <c r="J240" s="300">
        <f t="shared" ref="J240:J241" si="624">SUM(G240:I240)</f>
        <v>263.10900000207232</v>
      </c>
      <c r="K240" s="300"/>
      <c r="L240" s="300">
        <f>SUM(L225,L230,L235)</f>
        <v>177.97300000101751</v>
      </c>
      <c r="M240" s="300">
        <f t="shared" ref="M240:N240" si="625">SUM(M225,M230,M235)</f>
        <v>57.613000000132168</v>
      </c>
      <c r="N240" s="300">
        <f t="shared" si="625"/>
        <v>16.631000000190557</v>
      </c>
      <c r="O240" s="300">
        <f t="shared" ref="O240:O241" si="626">SUM(L240:N240)</f>
        <v>252.21700000134024</v>
      </c>
      <c r="P240" s="300"/>
      <c r="Q240" s="300">
        <f>SUM(Q225,Q230,Q235)</f>
        <v>183.30000000169872</v>
      </c>
      <c r="R240" s="300">
        <f t="shared" ref="R240:S240" si="627">SUM(R225,R230,R235)</f>
        <v>58.116000000435214</v>
      </c>
      <c r="S240" s="300">
        <f t="shared" si="627"/>
        <v>17.118000000272858</v>
      </c>
      <c r="T240" s="300">
        <f t="shared" ref="T240:T241" si="628">SUM(Q240:S240)</f>
        <v>258.5340000024068</v>
      </c>
      <c r="U240" s="300"/>
      <c r="V240" s="300">
        <f>SUM(V225,V230,V235)</f>
        <v>189.14000000202267</v>
      </c>
      <c r="W240" s="300">
        <f t="shared" ref="W240:X240" si="629">SUM(W225,W230,W235)</f>
        <v>58.755000000457741</v>
      </c>
      <c r="X240" s="300">
        <f t="shared" si="629"/>
        <v>17.721000000316415</v>
      </c>
      <c r="Y240" s="300">
        <f t="shared" ref="Y240:Y241" si="630">SUM(V240:X240)</f>
        <v>265.6160000027968</v>
      </c>
    </row>
    <row r="241" spans="1:25" ht="12.45" x14ac:dyDescent="0.3">
      <c r="A241" s="264" t="s">
        <v>354</v>
      </c>
      <c r="B241" s="301">
        <f>SUM(B239:B240)</f>
        <v>275.80600000050475</v>
      </c>
      <c r="C241" s="301">
        <f t="shared" ref="C241" si="631">SUM(C239:C240)</f>
        <v>183.03200000748734</v>
      </c>
      <c r="D241" s="301">
        <f t="shared" ref="D241" si="632">SUM(D239:D240)</f>
        <v>39.606000000621563</v>
      </c>
      <c r="E241" s="301">
        <f t="shared" si="622"/>
        <v>498.44400000861367</v>
      </c>
      <c r="F241" s="301"/>
      <c r="G241" s="301">
        <f>SUM(G239:G240)</f>
        <v>279.66300000070657</v>
      </c>
      <c r="H241" s="301">
        <f t="shared" ref="H241" si="633">SUM(H239:H240)</f>
        <v>165.04100000596168</v>
      </c>
      <c r="I241" s="301">
        <f t="shared" ref="I241" si="634">SUM(I239:I240)</f>
        <v>39.002000000630574</v>
      </c>
      <c r="J241" s="301">
        <f t="shared" si="624"/>
        <v>483.70600000729883</v>
      </c>
      <c r="K241" s="301"/>
      <c r="L241" s="301">
        <f>SUM(L239:L240)</f>
        <v>266.26599999897633</v>
      </c>
      <c r="M241" s="301">
        <f t="shared" ref="M241" si="635">SUM(M239:M240)</f>
        <v>176.04000000172573</v>
      </c>
      <c r="N241" s="301">
        <f t="shared" ref="N241" si="636">SUM(N239:N240)</f>
        <v>29.596999999951453</v>
      </c>
      <c r="O241" s="301">
        <f t="shared" si="626"/>
        <v>471.90300000065349</v>
      </c>
      <c r="P241" s="301"/>
      <c r="Q241" s="301">
        <f>SUM(Q239:Q240)</f>
        <v>276.0630000033176</v>
      </c>
      <c r="R241" s="301">
        <f t="shared" ref="R241" si="637">SUM(R239:R240)</f>
        <v>172.74300000624646</v>
      </c>
      <c r="S241" s="301">
        <f t="shared" ref="S241" si="638">SUM(S239:S240)</f>
        <v>30.568000000222945</v>
      </c>
      <c r="T241" s="301">
        <f t="shared" si="628"/>
        <v>479.37400000978698</v>
      </c>
      <c r="U241" s="301"/>
      <c r="V241" s="301">
        <f>SUM(V239:V240)</f>
        <v>289.64000000080586</v>
      </c>
      <c r="W241" s="301">
        <f t="shared" ref="W241" si="639">SUM(W239:W240)</f>
        <v>165.42199999862603</v>
      </c>
      <c r="X241" s="301">
        <f t="shared" ref="X241" si="640">SUM(X239:X240)</f>
        <v>32.071000000295683</v>
      </c>
      <c r="Y241" s="301">
        <f t="shared" si="630"/>
        <v>487.13299999972759</v>
      </c>
    </row>
    <row r="242" spans="1:25" ht="12.45" x14ac:dyDescent="0.3">
      <c r="A242" s="266"/>
      <c r="B242" s="320"/>
      <c r="C242" s="320"/>
      <c r="D242" s="320"/>
      <c r="E242" s="320"/>
      <c r="F242" s="320"/>
      <c r="G242" s="320"/>
      <c r="H242" s="320"/>
      <c r="I242" s="320"/>
      <c r="J242" s="320"/>
      <c r="K242" s="320"/>
      <c r="L242" s="320"/>
      <c r="M242" s="320"/>
      <c r="N242" s="320"/>
      <c r="O242" s="320"/>
      <c r="P242" s="320"/>
      <c r="Q242" s="320"/>
      <c r="R242" s="320"/>
      <c r="S242" s="320"/>
      <c r="T242" s="320"/>
      <c r="U242" s="320"/>
      <c r="V242" s="320"/>
      <c r="W242" s="320"/>
      <c r="X242" s="320"/>
      <c r="Y242" s="320"/>
    </row>
    <row r="243" spans="1:25" ht="12.45" x14ac:dyDescent="0.3">
      <c r="C243" s="263"/>
    </row>
    <row r="244" spans="1:25" x14ac:dyDescent="0.35">
      <c r="A244" s="261"/>
    </row>
    <row r="245" spans="1:25" ht="14.15" x14ac:dyDescent="0.35">
      <c r="A245" s="265" t="str">
        <f>"Industry 10 : "&amp; name!B13</f>
        <v>Industry 10 : Transport and storage</v>
      </c>
      <c r="B245" s="372">
        <f>$B$5</f>
        <v>2015</v>
      </c>
      <c r="C245" s="372"/>
      <c r="D245" s="372"/>
      <c r="E245" s="372"/>
      <c r="F245" s="320"/>
      <c r="G245" s="372">
        <f>$G$5</f>
        <v>2019</v>
      </c>
      <c r="H245" s="372"/>
      <c r="I245" s="372"/>
      <c r="J245" s="372"/>
      <c r="K245" s="320"/>
      <c r="L245" s="372">
        <f>$L$5</f>
        <v>2020</v>
      </c>
      <c r="M245" s="372"/>
      <c r="N245" s="372"/>
      <c r="O245" s="372"/>
      <c r="P245" s="318"/>
      <c r="Q245" s="372">
        <f>$Q$5</f>
        <v>2025</v>
      </c>
      <c r="R245" s="372"/>
      <c r="S245" s="372"/>
      <c r="T245" s="372"/>
      <c r="U245" s="320"/>
      <c r="V245" s="372">
        <f>$V$5</f>
        <v>2035</v>
      </c>
      <c r="W245" s="372"/>
      <c r="X245" s="372"/>
      <c r="Y245" s="372"/>
    </row>
    <row r="246" spans="1:25" ht="12.45" x14ac:dyDescent="0.3">
      <c r="A246" s="264"/>
      <c r="B246" s="268" t="str">
        <f>$B$6</f>
        <v>FT</v>
      </c>
      <c r="C246" s="268" t="str">
        <f>$C$6</f>
        <v>PT</v>
      </c>
      <c r="D246" s="268" t="str">
        <f>$D$6</f>
        <v>SE</v>
      </c>
      <c r="E246" s="268" t="str">
        <f>$E$6</f>
        <v>Total</v>
      </c>
      <c r="F246" s="268"/>
      <c r="G246" s="268" t="str">
        <f>$B$6</f>
        <v>FT</v>
      </c>
      <c r="H246" s="268" t="str">
        <f>$C$6</f>
        <v>PT</v>
      </c>
      <c r="I246" s="268" t="str">
        <f>$D$6</f>
        <v>SE</v>
      </c>
      <c r="J246" s="268" t="str">
        <f>$E$6</f>
        <v>Total</v>
      </c>
      <c r="K246" s="268"/>
      <c r="L246" s="268" t="str">
        <f>$L$6</f>
        <v>FT</v>
      </c>
      <c r="M246" s="268" t="str">
        <f>$M$6</f>
        <v>PT</v>
      </c>
      <c r="N246" s="268" t="str">
        <f>$N$6</f>
        <v>SE</v>
      </c>
      <c r="O246" s="268" t="str">
        <f>$O$6</f>
        <v>Total</v>
      </c>
      <c r="P246" s="268"/>
      <c r="Q246" s="268" t="str">
        <f>$L$6</f>
        <v>FT</v>
      </c>
      <c r="R246" s="268" t="str">
        <f>$M$6</f>
        <v>PT</v>
      </c>
      <c r="S246" s="268" t="str">
        <f>$N$6</f>
        <v>SE</v>
      </c>
      <c r="T246" s="268" t="str">
        <f>$O$6</f>
        <v>Total</v>
      </c>
      <c r="U246" s="268"/>
      <c r="V246" s="268" t="str">
        <f>$V$6</f>
        <v>FT</v>
      </c>
      <c r="W246" s="268" t="str">
        <f>$W$6</f>
        <v>PT</v>
      </c>
      <c r="X246" s="268" t="str">
        <f>$X$6</f>
        <v>SE</v>
      </c>
      <c r="Y246" s="268" t="str">
        <f>$Y$6</f>
        <v>Total</v>
      </c>
    </row>
    <row r="247" spans="1:25" ht="12.45" x14ac:dyDescent="0.3">
      <c r="C247" s="319"/>
      <c r="D247" s="319"/>
      <c r="E247" s="319"/>
      <c r="F247" s="319"/>
      <c r="G247" s="319"/>
      <c r="H247" s="319"/>
      <c r="I247" s="319"/>
      <c r="J247" s="319"/>
      <c r="K247" s="319"/>
      <c r="L247" s="319"/>
      <c r="M247" s="319"/>
      <c r="N247" s="319"/>
      <c r="O247" s="319"/>
      <c r="P247" s="319"/>
      <c r="Q247" s="319"/>
      <c r="R247" s="319"/>
      <c r="S247" s="319"/>
      <c r="T247" s="319"/>
      <c r="U247" s="319"/>
      <c r="V247" s="319"/>
      <c r="W247" s="319"/>
      <c r="X247" s="319"/>
      <c r="Y247" s="319"/>
    </row>
    <row r="248" spans="1:25" ht="12.45" x14ac:dyDescent="0.3">
      <c r="A248" s="261" t="str">
        <f>name!A37</f>
        <v>Land transport, etc</v>
      </c>
      <c r="C248" s="263"/>
    </row>
    <row r="249" spans="1:25" ht="12.45" x14ac:dyDescent="0.3">
      <c r="A249" s="260" t="s">
        <v>356</v>
      </c>
      <c r="B249" s="300">
        <v>4.7589999999758499</v>
      </c>
      <c r="C249" s="300">
        <v>3.9380000001020381</v>
      </c>
      <c r="D249" s="300">
        <v>0.27800000000791963</v>
      </c>
      <c r="E249" s="300">
        <f>SUM(B249:D249)</f>
        <v>8.9750000000858083</v>
      </c>
      <c r="F249" s="300"/>
      <c r="G249" s="300">
        <v>6.270999999944431</v>
      </c>
      <c r="H249" s="300">
        <v>5.4420000001326549</v>
      </c>
      <c r="I249" s="300">
        <v>1.1230000000339768</v>
      </c>
      <c r="J249" s="300">
        <f>SUM(G249:I249)</f>
        <v>12.836000000111063</v>
      </c>
      <c r="K249" s="300"/>
      <c r="L249" s="300">
        <v>6.3719999999177395</v>
      </c>
      <c r="M249" s="300">
        <v>4.7699999999274372</v>
      </c>
      <c r="N249" s="300">
        <v>3.2699999999017613</v>
      </c>
      <c r="O249" s="300">
        <f>SUM(L249:N249)</f>
        <v>14.411999999746937</v>
      </c>
      <c r="P249" s="300"/>
      <c r="Q249" s="300">
        <v>7.2020000001663274</v>
      </c>
      <c r="R249" s="300">
        <v>5.4600000000366773</v>
      </c>
      <c r="S249" s="300">
        <v>3.6749999999636511</v>
      </c>
      <c r="T249" s="300">
        <f>SUM(Q249:S249)</f>
        <v>16.337000000166654</v>
      </c>
      <c r="U249" s="300"/>
      <c r="V249" s="300">
        <v>7.7589999999658916</v>
      </c>
      <c r="W249" s="300">
        <v>5.9419999999073596</v>
      </c>
      <c r="X249" s="300">
        <v>3.7959999999641014</v>
      </c>
      <c r="Y249" s="300">
        <f>SUM(V249:X249)</f>
        <v>17.496999999837353</v>
      </c>
    </row>
    <row r="250" spans="1:25" ht="12.45" x14ac:dyDescent="0.3">
      <c r="A250" s="260" t="s">
        <v>355</v>
      </c>
      <c r="B250" s="300">
        <v>34.890000000061164</v>
      </c>
      <c r="C250" s="300">
        <v>3.3000000000448781</v>
      </c>
      <c r="D250" s="300">
        <v>16.66600000008966</v>
      </c>
      <c r="E250" s="300">
        <f t="shared" ref="E250:E251" si="641">SUM(B250:D250)</f>
        <v>54.856000000195699</v>
      </c>
      <c r="F250" s="300"/>
      <c r="G250" s="300">
        <v>40.002000000242298</v>
      </c>
      <c r="H250" s="300">
        <v>3.8850000000644327</v>
      </c>
      <c r="I250" s="300">
        <v>26.631999998352352</v>
      </c>
      <c r="J250" s="300">
        <f t="shared" ref="J250:J251" si="642">SUM(G250:I250)</f>
        <v>70.518999998659083</v>
      </c>
      <c r="K250" s="300"/>
      <c r="L250" s="300">
        <v>36.588000000313905</v>
      </c>
      <c r="M250" s="300">
        <v>5.0020000000462428</v>
      </c>
      <c r="N250" s="300">
        <v>21.320000000688847</v>
      </c>
      <c r="O250" s="300">
        <f t="shared" ref="O250:O251" si="643">SUM(L250:N250)</f>
        <v>62.910000001048999</v>
      </c>
      <c r="P250" s="300"/>
      <c r="Q250" s="300">
        <v>39.655000000547602</v>
      </c>
      <c r="R250" s="300">
        <v>5.5910000000660194</v>
      </c>
      <c r="S250" s="300">
        <v>24.293000002077829</v>
      </c>
      <c r="T250" s="300">
        <f t="shared" ref="T250:T251" si="644">SUM(Q250:S250)</f>
        <v>69.539000002691452</v>
      </c>
      <c r="U250" s="300"/>
      <c r="V250" s="300">
        <v>38.724000000674252</v>
      </c>
      <c r="W250" s="300">
        <v>5.8930000001070679</v>
      </c>
      <c r="X250" s="300">
        <v>26.401000001973337</v>
      </c>
      <c r="Y250" s="300">
        <f t="shared" ref="Y250:Y251" si="645">SUM(V250:X250)</f>
        <v>71.018000002754661</v>
      </c>
    </row>
    <row r="251" spans="1:25" ht="12.45" x14ac:dyDescent="0.3">
      <c r="A251" s="260" t="s">
        <v>354</v>
      </c>
      <c r="B251" s="300">
        <f>SUM(B249:B250)</f>
        <v>39.649000000037013</v>
      </c>
      <c r="C251" s="300">
        <f t="shared" ref="C251" si="646">SUM(C249:C250)</f>
        <v>7.2380000001469167</v>
      </c>
      <c r="D251" s="300">
        <f t="shared" ref="D251" si="647">SUM(D249:D250)</f>
        <v>16.944000000097581</v>
      </c>
      <c r="E251" s="300">
        <f t="shared" si="641"/>
        <v>63.831000000281513</v>
      </c>
      <c r="F251" s="300"/>
      <c r="G251" s="300">
        <f>SUM(G249:G250)</f>
        <v>46.273000000186727</v>
      </c>
      <c r="H251" s="300">
        <f t="shared" ref="H251" si="648">SUM(H249:H250)</f>
        <v>9.3270000001970885</v>
      </c>
      <c r="I251" s="300">
        <f t="shared" ref="I251" si="649">SUM(I249:I250)</f>
        <v>27.754999998386328</v>
      </c>
      <c r="J251" s="300">
        <f t="shared" si="642"/>
        <v>83.35499999877014</v>
      </c>
      <c r="K251" s="300"/>
      <c r="L251" s="300">
        <f>SUM(L249:L250)</f>
        <v>42.960000000231645</v>
      </c>
      <c r="M251" s="300">
        <f t="shared" ref="M251" si="650">SUM(M249:M250)</f>
        <v>9.77199999997368</v>
      </c>
      <c r="N251" s="300">
        <f t="shared" ref="N251" si="651">SUM(N249:N250)</f>
        <v>24.590000000590607</v>
      </c>
      <c r="O251" s="300">
        <f t="shared" si="643"/>
        <v>77.322000000795924</v>
      </c>
      <c r="P251" s="300"/>
      <c r="Q251" s="300">
        <f>SUM(Q249:Q250)</f>
        <v>46.857000000713931</v>
      </c>
      <c r="R251" s="300">
        <f t="shared" ref="R251" si="652">SUM(R249:R250)</f>
        <v>11.051000000102697</v>
      </c>
      <c r="S251" s="300">
        <f t="shared" ref="S251" si="653">SUM(S249:S250)</f>
        <v>27.968000002041478</v>
      </c>
      <c r="T251" s="300">
        <f t="shared" si="644"/>
        <v>85.876000002858106</v>
      </c>
      <c r="U251" s="300"/>
      <c r="V251" s="300">
        <f>SUM(V249:V250)</f>
        <v>46.483000000640146</v>
      </c>
      <c r="W251" s="300">
        <f t="shared" ref="W251" si="654">SUM(W249:W250)</f>
        <v>11.835000000014428</v>
      </c>
      <c r="X251" s="300">
        <f t="shared" ref="X251" si="655">SUM(X249:X250)</f>
        <v>30.19700000193744</v>
      </c>
      <c r="Y251" s="300">
        <f t="shared" si="645"/>
        <v>88.515000002592018</v>
      </c>
    </row>
    <row r="252" spans="1:25" ht="12.45" x14ac:dyDescent="0.3">
      <c r="C252" s="319"/>
      <c r="D252" s="319"/>
      <c r="E252" s="319"/>
      <c r="F252" s="319"/>
      <c r="G252" s="319"/>
      <c r="H252" s="319"/>
      <c r="I252" s="319"/>
      <c r="J252" s="319"/>
      <c r="K252" s="319"/>
      <c r="L252" s="319"/>
      <c r="M252" s="319"/>
      <c r="N252" s="319"/>
      <c r="O252" s="319"/>
      <c r="P252" s="319"/>
      <c r="Q252" s="319"/>
      <c r="R252" s="319"/>
      <c r="S252" s="319"/>
      <c r="T252" s="319"/>
      <c r="U252" s="319"/>
      <c r="V252" s="319"/>
      <c r="W252" s="319"/>
      <c r="X252" s="319"/>
      <c r="Y252" s="319"/>
    </row>
    <row r="253" spans="1:25" ht="12.45" x14ac:dyDescent="0.3">
      <c r="A253" s="261" t="str">
        <f>name!A38</f>
        <v>Water transport</v>
      </c>
      <c r="C253" s="263"/>
    </row>
    <row r="254" spans="1:25" ht="12.45" x14ac:dyDescent="0.3">
      <c r="A254" s="260" t="s">
        <v>356</v>
      </c>
      <c r="B254" s="300">
        <v>0.14899999999910862</v>
      </c>
      <c r="C254" s="300">
        <v>0.19000000000376138</v>
      </c>
      <c r="D254" s="300">
        <v>7.0000000001512836E-3</v>
      </c>
      <c r="E254" s="300">
        <f>SUM(B254:D254)</f>
        <v>0.34600000000302128</v>
      </c>
      <c r="F254" s="300"/>
      <c r="G254" s="300">
        <v>0.14999999999862618</v>
      </c>
      <c r="H254" s="300">
        <v>9.2000000001913898E-2</v>
      </c>
      <c r="I254" s="300">
        <v>1.600000000036509E-2</v>
      </c>
      <c r="J254" s="300">
        <f>SUM(G254:I254)</f>
        <v>0.25800000000090517</v>
      </c>
      <c r="K254" s="300"/>
      <c r="L254" s="300">
        <v>0.13399999999901846</v>
      </c>
      <c r="M254" s="300">
        <v>8.3999999998563488E-2</v>
      </c>
      <c r="N254" s="300">
        <v>3.3999999999254932E-2</v>
      </c>
      <c r="O254" s="300">
        <f>SUM(L254:N254)</f>
        <v>0.25199999999683687</v>
      </c>
      <c r="P254" s="300"/>
      <c r="Q254" s="300">
        <v>0.11400000000222246</v>
      </c>
      <c r="R254" s="300">
        <v>7.2000000000015177E-2</v>
      </c>
      <c r="S254" s="300">
        <v>2.8999999999801733E-2</v>
      </c>
      <c r="T254" s="300">
        <f>SUM(Q254:S254)</f>
        <v>0.21500000000203939</v>
      </c>
      <c r="U254" s="300"/>
      <c r="V254" s="300">
        <v>0.1109999999999534</v>
      </c>
      <c r="W254" s="300">
        <v>6.9999999998914236E-2</v>
      </c>
      <c r="X254" s="300">
        <v>2.8999999999779043E-2</v>
      </c>
      <c r="Y254" s="300">
        <f>SUM(V254:X254)</f>
        <v>0.20999999999864666</v>
      </c>
    </row>
    <row r="255" spans="1:25" ht="12.45" x14ac:dyDescent="0.3">
      <c r="A255" s="260" t="s">
        <v>355</v>
      </c>
      <c r="B255" s="300">
        <v>0.36899999999993444</v>
      </c>
      <c r="C255" s="300">
        <v>7.7000000000116489E-2</v>
      </c>
      <c r="D255" s="300">
        <v>1.1000000000203023E-2</v>
      </c>
      <c r="E255" s="300">
        <f t="shared" ref="E255:E256" si="656">SUM(B255:D255)</f>
        <v>0.45700000000025393</v>
      </c>
      <c r="F255" s="300"/>
      <c r="G255" s="300">
        <v>0.36900000000020311</v>
      </c>
      <c r="H255" s="300">
        <v>4.3000000000070045E-2</v>
      </c>
      <c r="I255" s="300">
        <v>0.18700000000183811</v>
      </c>
      <c r="J255" s="300">
        <f t="shared" ref="J255:J256" si="657">SUM(G255:I255)</f>
        <v>0.59900000000211129</v>
      </c>
      <c r="K255" s="300"/>
      <c r="L255" s="300">
        <v>0.34000000000009012</v>
      </c>
      <c r="M255" s="300">
        <v>4.300000000000348E-2</v>
      </c>
      <c r="N255" s="300">
        <v>0.29200000000519227</v>
      </c>
      <c r="O255" s="300">
        <f t="shared" ref="O255:O256" si="658">SUM(L255:N255)</f>
        <v>0.67500000000528582</v>
      </c>
      <c r="P255" s="300"/>
      <c r="Q255" s="300">
        <v>0.29500000000029891</v>
      </c>
      <c r="R255" s="300">
        <v>3.5999999999934709E-2</v>
      </c>
      <c r="S255" s="300">
        <v>0.24200000000884589</v>
      </c>
      <c r="T255" s="300">
        <f t="shared" ref="T255:T256" si="659">SUM(Q255:S255)</f>
        <v>0.57300000000907947</v>
      </c>
      <c r="U255" s="300"/>
      <c r="V255" s="300">
        <v>0.29499999999970822</v>
      </c>
      <c r="W255" s="300">
        <v>3.4999999999636142E-2</v>
      </c>
      <c r="X255" s="300">
        <v>0.22200000000698897</v>
      </c>
      <c r="Y255" s="300">
        <f t="shared" ref="Y255:Y256" si="660">SUM(V255:X255)</f>
        <v>0.55200000000633331</v>
      </c>
    </row>
    <row r="256" spans="1:25" ht="12.45" x14ac:dyDescent="0.3">
      <c r="A256" s="260" t="s">
        <v>354</v>
      </c>
      <c r="B256" s="300">
        <f>SUM(B254:B255)</f>
        <v>0.517999999999043</v>
      </c>
      <c r="C256" s="300">
        <f t="shared" ref="C256" si="661">SUM(C254:C255)</f>
        <v>0.26700000000387786</v>
      </c>
      <c r="D256" s="300">
        <f t="shared" ref="D256" si="662">SUM(D254:D255)</f>
        <v>1.8000000000354306E-2</v>
      </c>
      <c r="E256" s="300">
        <f t="shared" si="656"/>
        <v>0.8030000000032752</v>
      </c>
      <c r="F256" s="300"/>
      <c r="G256" s="300">
        <f>SUM(G254:G255)</f>
        <v>0.51899999999882929</v>
      </c>
      <c r="H256" s="300">
        <f t="shared" ref="H256" si="663">SUM(H254:H255)</f>
        <v>0.13500000000198395</v>
      </c>
      <c r="I256" s="300">
        <f t="shared" ref="I256" si="664">SUM(I254:I255)</f>
        <v>0.2030000000022032</v>
      </c>
      <c r="J256" s="300">
        <f t="shared" si="657"/>
        <v>0.85700000000301646</v>
      </c>
      <c r="K256" s="300"/>
      <c r="L256" s="300">
        <f>SUM(L254:L255)</f>
        <v>0.47399999999910858</v>
      </c>
      <c r="M256" s="300">
        <f t="shared" ref="M256" si="665">SUM(M254:M255)</f>
        <v>0.12699999999856698</v>
      </c>
      <c r="N256" s="300">
        <f t="shared" ref="N256" si="666">SUM(N254:N255)</f>
        <v>0.32600000000444718</v>
      </c>
      <c r="O256" s="300">
        <f t="shared" si="658"/>
        <v>0.92700000000212279</v>
      </c>
      <c r="P256" s="300"/>
      <c r="Q256" s="300">
        <f>SUM(Q254:Q255)</f>
        <v>0.40900000000252135</v>
      </c>
      <c r="R256" s="300">
        <f t="shared" ref="R256" si="667">SUM(R254:R255)</f>
        <v>0.10799999999994989</v>
      </c>
      <c r="S256" s="300">
        <f t="shared" ref="S256" si="668">SUM(S254:S255)</f>
        <v>0.2710000000086476</v>
      </c>
      <c r="T256" s="300">
        <f t="shared" si="659"/>
        <v>0.78800000001111892</v>
      </c>
      <c r="U256" s="300"/>
      <c r="V256" s="300">
        <f>SUM(V254:V255)</f>
        <v>0.40599999999966163</v>
      </c>
      <c r="W256" s="300">
        <f t="shared" ref="W256" si="669">SUM(W254:W255)</f>
        <v>0.10499999999855038</v>
      </c>
      <c r="X256" s="300">
        <f t="shared" ref="X256" si="670">SUM(X254:X255)</f>
        <v>0.25100000000676803</v>
      </c>
      <c r="Y256" s="300">
        <f t="shared" si="660"/>
        <v>0.76200000000498003</v>
      </c>
    </row>
    <row r="257" spans="1:25" ht="12.45" x14ac:dyDescent="0.3">
      <c r="C257" s="319"/>
      <c r="D257" s="319"/>
      <c r="E257" s="319"/>
      <c r="F257" s="319"/>
      <c r="G257" s="319"/>
      <c r="H257" s="319"/>
      <c r="I257" s="319"/>
      <c r="J257" s="319"/>
      <c r="K257" s="319"/>
      <c r="L257" s="319"/>
      <c r="M257" s="319"/>
      <c r="N257" s="319"/>
      <c r="O257" s="319"/>
      <c r="P257" s="319"/>
      <c r="Q257" s="319"/>
      <c r="R257" s="319"/>
      <c r="S257" s="319"/>
      <c r="T257" s="319"/>
      <c r="U257" s="319"/>
      <c r="V257" s="319"/>
      <c r="W257" s="319"/>
      <c r="X257" s="319"/>
      <c r="Y257" s="319"/>
    </row>
    <row r="258" spans="1:25" ht="12.45" x14ac:dyDescent="0.3">
      <c r="A258" s="261" t="str">
        <f>name!A39</f>
        <v>Air transport</v>
      </c>
      <c r="C258" s="263"/>
    </row>
    <row r="259" spans="1:25" ht="12.45" x14ac:dyDescent="0.3">
      <c r="A259" s="260" t="s">
        <v>356</v>
      </c>
      <c r="B259" s="300">
        <v>1.8159999999887526</v>
      </c>
      <c r="C259" s="300">
        <v>0.31100000000651956</v>
      </c>
      <c r="D259" s="300">
        <v>6.0000000000580232E-3</v>
      </c>
      <c r="E259" s="300">
        <f>SUM(B259:D259)</f>
        <v>2.13299999999533</v>
      </c>
      <c r="F259" s="300"/>
      <c r="G259" s="300">
        <v>2.4389999999735315</v>
      </c>
      <c r="H259" s="300">
        <v>0.99100000002090682</v>
      </c>
      <c r="I259" s="300">
        <v>7.4000000000864291E-2</v>
      </c>
      <c r="J259" s="300">
        <f>SUM(G259:I259)</f>
        <v>3.5039999999953029</v>
      </c>
      <c r="K259" s="300"/>
      <c r="L259" s="300">
        <v>1.9559999999761424</v>
      </c>
      <c r="M259" s="300">
        <v>0.61099999999639376</v>
      </c>
      <c r="N259" s="300">
        <v>5.2999999999563792E-2</v>
      </c>
      <c r="O259" s="300">
        <f>SUM(L259:N259)</f>
        <v>2.6199999999720998</v>
      </c>
      <c r="P259" s="300"/>
      <c r="Q259" s="300">
        <v>2.6650000000691527</v>
      </c>
      <c r="R259" s="300">
        <v>0.91200000001077175</v>
      </c>
      <c r="S259" s="300">
        <v>6.6999999999820023E-2</v>
      </c>
      <c r="T259" s="300">
        <f>SUM(Q259:S259)</f>
        <v>3.6440000000797443</v>
      </c>
      <c r="U259" s="300"/>
      <c r="V259" s="300">
        <v>2.8929999999973042</v>
      </c>
      <c r="W259" s="300">
        <v>1.0269999999850157</v>
      </c>
      <c r="X259" s="300">
        <v>7.1999999999593153E-2</v>
      </c>
      <c r="Y259" s="300">
        <f>SUM(V259:X259)</f>
        <v>3.9919999999819131</v>
      </c>
    </row>
    <row r="260" spans="1:25" ht="12.45" x14ac:dyDescent="0.3">
      <c r="A260" s="260" t="s">
        <v>355</v>
      </c>
      <c r="B260" s="300">
        <v>2.2200000000014772</v>
      </c>
      <c r="C260" s="300">
        <v>0.21200000000114982</v>
      </c>
      <c r="D260" s="300">
        <v>1.500000000020432E-2</v>
      </c>
      <c r="E260" s="300">
        <f t="shared" ref="E260:E261" si="671">SUM(B260:D260)</f>
        <v>2.4470000000028316</v>
      </c>
      <c r="F260" s="300"/>
      <c r="G260" s="300">
        <v>2.8410000000060691</v>
      </c>
      <c r="H260" s="300">
        <v>0.45300000000323293</v>
      </c>
      <c r="I260" s="300">
        <v>7.0000000000689398E-3</v>
      </c>
      <c r="J260" s="300">
        <f t="shared" ref="J260:J261" si="672">SUM(G260:I260)</f>
        <v>3.3010000000093709</v>
      </c>
      <c r="K260" s="300"/>
      <c r="L260" s="300">
        <v>2.3370000000063871</v>
      </c>
      <c r="M260" s="300">
        <v>0.36100000000221194</v>
      </c>
      <c r="N260" s="300">
        <v>0.2840000000039225</v>
      </c>
      <c r="O260" s="300">
        <f t="shared" ref="O260:O261" si="673">SUM(L260:N260)</f>
        <v>2.9820000000125213</v>
      </c>
      <c r="P260" s="300"/>
      <c r="Q260" s="300">
        <v>3.171000000014744</v>
      </c>
      <c r="R260" s="300">
        <v>0.50800000000360745</v>
      </c>
      <c r="S260" s="300">
        <v>0.3980000000096619</v>
      </c>
      <c r="T260" s="300">
        <f t="shared" ref="T260:T261" si="674">SUM(Q260:S260)</f>
        <v>4.0770000000280131</v>
      </c>
      <c r="U260" s="300"/>
      <c r="V260" s="300">
        <v>3.2830000000135255</v>
      </c>
      <c r="W260" s="300">
        <v>0.54300000000566107</v>
      </c>
      <c r="X260" s="300">
        <v>0.42800000001010008</v>
      </c>
      <c r="Y260" s="300">
        <f t="shared" ref="Y260:Y261" si="675">SUM(V260:X260)</f>
        <v>4.2540000000292864</v>
      </c>
    </row>
    <row r="261" spans="1:25" ht="12.45" x14ac:dyDescent="0.3">
      <c r="A261" s="260" t="s">
        <v>354</v>
      </c>
      <c r="B261" s="300">
        <f>SUM(B259:B260)</f>
        <v>4.0359999999902296</v>
      </c>
      <c r="C261" s="300">
        <f t="shared" ref="C261" si="676">SUM(C259:C260)</f>
        <v>0.52300000000766933</v>
      </c>
      <c r="D261" s="300">
        <f t="shared" ref="D261" si="677">SUM(D259:D260)</f>
        <v>2.1000000000262344E-2</v>
      </c>
      <c r="E261" s="300">
        <f t="shared" si="671"/>
        <v>4.5799999999981607</v>
      </c>
      <c r="F261" s="300"/>
      <c r="G261" s="300">
        <f>SUM(G259:G260)</f>
        <v>5.2799999999796006</v>
      </c>
      <c r="H261" s="300">
        <f t="shared" ref="H261" si="678">SUM(H259:H260)</f>
        <v>1.4440000000241398</v>
      </c>
      <c r="I261" s="300">
        <f t="shared" ref="I261" si="679">SUM(I259:I260)</f>
        <v>8.1000000000933228E-2</v>
      </c>
      <c r="J261" s="300">
        <f t="shared" si="672"/>
        <v>6.8050000000046733</v>
      </c>
      <c r="K261" s="300"/>
      <c r="L261" s="300">
        <f>SUM(L259:L260)</f>
        <v>4.2929999999825297</v>
      </c>
      <c r="M261" s="300">
        <f t="shared" ref="M261" si="680">SUM(M259:M260)</f>
        <v>0.97199999999860576</v>
      </c>
      <c r="N261" s="300">
        <f t="shared" ref="N261" si="681">SUM(N259:N260)</f>
        <v>0.33700000000348629</v>
      </c>
      <c r="O261" s="300">
        <f t="shared" si="673"/>
        <v>5.6019999999846224</v>
      </c>
      <c r="P261" s="300"/>
      <c r="Q261" s="300">
        <f>SUM(Q259:Q260)</f>
        <v>5.8360000000838967</v>
      </c>
      <c r="R261" s="300">
        <f t="shared" ref="R261" si="682">SUM(R259:R260)</f>
        <v>1.4200000000143791</v>
      </c>
      <c r="S261" s="300">
        <f t="shared" ref="S261" si="683">SUM(S259:S260)</f>
        <v>0.46500000000948194</v>
      </c>
      <c r="T261" s="300">
        <f t="shared" si="674"/>
        <v>7.7210000001077574</v>
      </c>
      <c r="U261" s="300"/>
      <c r="V261" s="300">
        <f>SUM(V259:V260)</f>
        <v>6.1760000000108297</v>
      </c>
      <c r="W261" s="300">
        <f t="shared" ref="W261" si="684">SUM(W259:W260)</f>
        <v>1.5699999999906766</v>
      </c>
      <c r="X261" s="300">
        <f t="shared" ref="X261" si="685">SUM(X259:X260)</f>
        <v>0.50000000000969325</v>
      </c>
      <c r="Y261" s="300">
        <f t="shared" si="675"/>
        <v>8.2460000000112004</v>
      </c>
    </row>
    <row r="262" spans="1:25" ht="12.45" x14ac:dyDescent="0.3">
      <c r="C262" s="319"/>
      <c r="D262" s="319"/>
      <c r="E262" s="319"/>
      <c r="F262" s="319"/>
      <c r="G262" s="319"/>
      <c r="H262" s="319"/>
      <c r="I262" s="319"/>
      <c r="J262" s="319"/>
      <c r="K262" s="319"/>
      <c r="L262" s="319"/>
      <c r="M262" s="319"/>
      <c r="N262" s="319"/>
      <c r="O262" s="319"/>
      <c r="P262" s="319"/>
      <c r="Q262" s="319"/>
      <c r="R262" s="319"/>
      <c r="S262" s="319"/>
      <c r="T262" s="319"/>
      <c r="U262" s="319"/>
      <c r="V262" s="319"/>
      <c r="W262" s="319"/>
      <c r="X262" s="319"/>
      <c r="Y262" s="319"/>
    </row>
    <row r="263" spans="1:25" ht="12.45" x14ac:dyDescent="0.3">
      <c r="A263" s="261" t="str">
        <f>name!A40</f>
        <v>Warehousing, etc</v>
      </c>
      <c r="C263" s="263"/>
    </row>
    <row r="264" spans="1:25" ht="12.45" x14ac:dyDescent="0.3">
      <c r="A264" s="260" t="s">
        <v>356</v>
      </c>
      <c r="B264" s="300">
        <v>3.6899999999853734</v>
      </c>
      <c r="C264" s="300">
        <v>2.8550000000628679</v>
      </c>
      <c r="D264" s="300">
        <v>0.20400000000517982</v>
      </c>
      <c r="E264" s="300">
        <f>SUM(B264:D264)</f>
        <v>6.7490000000534209</v>
      </c>
      <c r="F264" s="300"/>
      <c r="G264" s="300">
        <v>6.0189999999472761</v>
      </c>
      <c r="H264" s="300">
        <v>3.5750000000783646</v>
      </c>
      <c r="I264" s="300">
        <v>1.1660000000338069</v>
      </c>
      <c r="J264" s="300">
        <f>SUM(G264:I264)</f>
        <v>10.760000000059447</v>
      </c>
      <c r="K264" s="300"/>
      <c r="L264" s="300">
        <v>5.9089999998929947</v>
      </c>
      <c r="M264" s="300">
        <v>3.1129999999746638</v>
      </c>
      <c r="N264" s="300">
        <v>6.2999999998082604E-2</v>
      </c>
      <c r="O264" s="300">
        <f>SUM(L264:N264)</f>
        <v>9.0849999998657403</v>
      </c>
      <c r="P264" s="300"/>
      <c r="Q264" s="300">
        <v>6.3120000001594496</v>
      </c>
      <c r="R264" s="300">
        <v>3.3880000000354893</v>
      </c>
      <c r="S264" s="300">
        <v>7.2999999999577528E-2</v>
      </c>
      <c r="T264" s="300">
        <f>SUM(Q264:S264)</f>
        <v>9.7730000001945161</v>
      </c>
      <c r="U264" s="300"/>
      <c r="V264" s="300">
        <v>6.5799999999554757</v>
      </c>
      <c r="W264" s="300">
        <v>3.7289999999491492</v>
      </c>
      <c r="X264" s="300">
        <v>7.8999999999527809E-2</v>
      </c>
      <c r="Y264" s="300">
        <f>SUM(V264:X264)</f>
        <v>10.387999999904153</v>
      </c>
    </row>
    <row r="265" spans="1:25" ht="12.45" x14ac:dyDescent="0.3">
      <c r="A265" s="260" t="s">
        <v>355</v>
      </c>
      <c r="B265" s="300">
        <v>31.310000000048753</v>
      </c>
      <c r="C265" s="300">
        <v>3.4320000000349595</v>
      </c>
      <c r="D265" s="300">
        <v>2.1990000000373415</v>
      </c>
      <c r="E265" s="300">
        <f t="shared" ref="E265:E266" si="686">SUM(B265:D265)</f>
        <v>36.941000000121058</v>
      </c>
      <c r="F265" s="300"/>
      <c r="G265" s="300">
        <v>39.722000000188018</v>
      </c>
      <c r="H265" s="300">
        <v>4.1490000000528688</v>
      </c>
      <c r="I265" s="300">
        <v>2.5460000000012992</v>
      </c>
      <c r="J265" s="300">
        <f t="shared" ref="J265:J266" si="687">SUM(G265:I265)</f>
        <v>46.417000000242183</v>
      </c>
      <c r="K265" s="300"/>
      <c r="L265" s="300">
        <v>37.466000000239504</v>
      </c>
      <c r="M265" s="300">
        <v>4.9380000000364594</v>
      </c>
      <c r="N265" s="300">
        <v>4.3580000000794215</v>
      </c>
      <c r="O265" s="300">
        <f t="shared" ref="O265:O266" si="688">SUM(L265:N265)</f>
        <v>46.762000000355386</v>
      </c>
      <c r="P265" s="300"/>
      <c r="Q265" s="300">
        <v>38.81100000039217</v>
      </c>
      <c r="R265" s="300">
        <v>5.0620000000462859</v>
      </c>
      <c r="S265" s="300">
        <v>4.1740000001774957</v>
      </c>
      <c r="T265" s="300">
        <f t="shared" ref="T265:T266" si="689">SUM(Q265:S265)</f>
        <v>48.047000000615945</v>
      </c>
      <c r="U265" s="300"/>
      <c r="V265" s="300">
        <v>38.937000000486016</v>
      </c>
      <c r="W265" s="300">
        <v>5.27200000006804</v>
      </c>
      <c r="X265" s="300">
        <v>4.099000000152369</v>
      </c>
      <c r="Y265" s="300">
        <f t="shared" ref="Y265:Y266" si="690">SUM(V265:X265)</f>
        <v>48.308000000706429</v>
      </c>
    </row>
    <row r="266" spans="1:25" ht="12.45" x14ac:dyDescent="0.3">
      <c r="A266" s="260" t="s">
        <v>354</v>
      </c>
      <c r="B266" s="300">
        <f>SUM(B264:B265)</f>
        <v>35.000000000034127</v>
      </c>
      <c r="C266" s="300">
        <f t="shared" ref="C266" si="691">SUM(C264:C265)</f>
        <v>6.2870000000978274</v>
      </c>
      <c r="D266" s="300">
        <f t="shared" ref="D266" si="692">SUM(D264:D265)</f>
        <v>2.4030000000425211</v>
      </c>
      <c r="E266" s="300">
        <f t="shared" si="686"/>
        <v>43.690000000174479</v>
      </c>
      <c r="F266" s="300"/>
      <c r="G266" s="300">
        <f>SUM(G264:G265)</f>
        <v>45.741000000135294</v>
      </c>
      <c r="H266" s="300">
        <f t="shared" ref="H266" si="693">SUM(H264:H265)</f>
        <v>7.7240000001312339</v>
      </c>
      <c r="I266" s="300">
        <f t="shared" ref="I266" si="694">SUM(I264:I265)</f>
        <v>3.7120000000351059</v>
      </c>
      <c r="J266" s="300">
        <f t="shared" si="687"/>
        <v>57.177000000301632</v>
      </c>
      <c r="K266" s="300"/>
      <c r="L266" s="300">
        <f>SUM(L264:L265)</f>
        <v>43.375000000132502</v>
      </c>
      <c r="M266" s="300">
        <f t="shared" ref="M266" si="695">SUM(M264:M265)</f>
        <v>8.0510000000111237</v>
      </c>
      <c r="N266" s="300">
        <f t="shared" ref="N266" si="696">SUM(N264:N265)</f>
        <v>4.4210000000775045</v>
      </c>
      <c r="O266" s="300">
        <f t="shared" si="688"/>
        <v>55.847000000221129</v>
      </c>
      <c r="P266" s="300"/>
      <c r="Q266" s="300">
        <f>SUM(Q264:Q265)</f>
        <v>45.12300000055162</v>
      </c>
      <c r="R266" s="300">
        <f t="shared" ref="R266" si="697">SUM(R264:R265)</f>
        <v>8.4500000000817757</v>
      </c>
      <c r="S266" s="300">
        <f t="shared" ref="S266" si="698">SUM(S264:S265)</f>
        <v>4.2470000001770734</v>
      </c>
      <c r="T266" s="300">
        <f t="shared" si="689"/>
        <v>57.820000000810474</v>
      </c>
      <c r="U266" s="300"/>
      <c r="V266" s="300">
        <f>SUM(V264:V265)</f>
        <v>45.517000000441492</v>
      </c>
      <c r="W266" s="300">
        <f t="shared" ref="W266" si="699">SUM(W264:W265)</f>
        <v>9.0010000000171893</v>
      </c>
      <c r="X266" s="300">
        <f t="shared" ref="X266" si="700">SUM(X264:X265)</f>
        <v>4.1780000001518971</v>
      </c>
      <c r="Y266" s="300">
        <f t="shared" si="690"/>
        <v>58.696000000610582</v>
      </c>
    </row>
    <row r="267" spans="1:25" ht="12.45" x14ac:dyDescent="0.3">
      <c r="C267" s="319"/>
      <c r="D267" s="319"/>
      <c r="E267" s="319"/>
      <c r="F267" s="319"/>
      <c r="G267" s="319"/>
      <c r="H267" s="319"/>
      <c r="I267" s="319"/>
      <c r="J267" s="319"/>
      <c r="K267" s="319"/>
      <c r="L267" s="319"/>
      <c r="M267" s="319"/>
      <c r="N267" s="319"/>
      <c r="O267" s="319"/>
      <c r="P267" s="319"/>
      <c r="Q267" s="319"/>
      <c r="R267" s="319"/>
      <c r="S267" s="319"/>
      <c r="T267" s="319"/>
      <c r="U267" s="319"/>
      <c r="V267" s="319"/>
      <c r="W267" s="319"/>
      <c r="X267" s="319"/>
      <c r="Y267" s="319"/>
    </row>
    <row r="268" spans="1:25" ht="12.45" x14ac:dyDescent="0.3">
      <c r="A268" s="261" t="str">
        <f>name!A41</f>
        <v>Postal and courier</v>
      </c>
      <c r="C268" s="263"/>
    </row>
    <row r="269" spans="1:25" ht="12.45" x14ac:dyDescent="0.3">
      <c r="A269" s="260" t="s">
        <v>356</v>
      </c>
      <c r="B269" s="300">
        <v>6.9410000000069267</v>
      </c>
      <c r="C269" s="300">
        <v>3.5760000000992069</v>
      </c>
      <c r="D269" s="300">
        <v>7.2000000001885708E-2</v>
      </c>
      <c r="E269" s="300">
        <f>SUM(B269:D269)</f>
        <v>10.589000000108019</v>
      </c>
      <c r="F269" s="300"/>
      <c r="G269" s="300">
        <v>8.4549999999635883</v>
      </c>
      <c r="H269" s="300">
        <v>3.5370000000955581</v>
      </c>
      <c r="I269" s="300">
        <v>0.31700000000847556</v>
      </c>
      <c r="J269" s="300">
        <f>SUM(G269:I269)</f>
        <v>12.309000000067622</v>
      </c>
      <c r="K269" s="300"/>
      <c r="L269" s="300">
        <v>8.2999999998179312</v>
      </c>
      <c r="M269" s="300">
        <v>3.0799999999754695</v>
      </c>
      <c r="N269" s="300">
        <v>1.1099999999689236</v>
      </c>
      <c r="O269" s="300">
        <f>SUM(L269:N269)</f>
        <v>12.489999999762325</v>
      </c>
      <c r="P269" s="300"/>
      <c r="Q269" s="300">
        <v>8.8660000001822965</v>
      </c>
      <c r="R269" s="300">
        <v>3.3520000000565147</v>
      </c>
      <c r="S269" s="300">
        <v>1.0109999999912918</v>
      </c>
      <c r="T269" s="300">
        <f>SUM(Q269:S269)</f>
        <v>13.229000000230103</v>
      </c>
      <c r="U269" s="300"/>
      <c r="V269" s="300">
        <v>9.2429999999123389</v>
      </c>
      <c r="W269" s="300">
        <v>3.6899999999385718</v>
      </c>
      <c r="X269" s="300">
        <v>0.94299999999190287</v>
      </c>
      <c r="Y269" s="300">
        <f>SUM(V269:X269)</f>
        <v>13.875999999842813</v>
      </c>
    </row>
    <row r="270" spans="1:25" ht="12.45" x14ac:dyDescent="0.3">
      <c r="A270" s="260" t="s">
        <v>355</v>
      </c>
      <c r="B270" s="300">
        <v>11.469000000040133</v>
      </c>
      <c r="C270" s="300">
        <v>1.639000000023338</v>
      </c>
      <c r="D270" s="300">
        <v>1.1010000000045612</v>
      </c>
      <c r="E270" s="300">
        <f t="shared" ref="E270:E271" si="701">SUM(B270:D270)</f>
        <v>14.209000000068031</v>
      </c>
      <c r="F270" s="300"/>
      <c r="G270" s="300">
        <v>10.866000000083774</v>
      </c>
      <c r="H270" s="300">
        <v>1.5650000000272577</v>
      </c>
      <c r="I270" s="300">
        <v>0.97699999998743414</v>
      </c>
      <c r="J270" s="300">
        <f t="shared" ref="J270:J271" si="702">SUM(G270:I270)</f>
        <v>13.408000000098466</v>
      </c>
      <c r="K270" s="300"/>
      <c r="L270" s="300">
        <v>10.249000000107936</v>
      </c>
      <c r="M270" s="300">
        <v>1.8620000000154113</v>
      </c>
      <c r="N270" s="300">
        <v>1.6730000000275609</v>
      </c>
      <c r="O270" s="300">
        <f t="shared" ref="O270:O271" si="703">SUM(L270:N270)</f>
        <v>13.784000000150908</v>
      </c>
      <c r="P270" s="300"/>
      <c r="Q270" s="300">
        <v>10.617000000160813</v>
      </c>
      <c r="R270" s="300">
        <v>1.9090000000230758</v>
      </c>
      <c r="S270" s="300">
        <v>1.6020000000556103</v>
      </c>
      <c r="T270" s="300">
        <f t="shared" ref="T270:T271" si="704">SUM(Q270:S270)</f>
        <v>14.128000000239499</v>
      </c>
      <c r="U270" s="300"/>
      <c r="V270" s="300">
        <v>10.651000000226478</v>
      </c>
      <c r="W270" s="300">
        <v>1.9890000000384076</v>
      </c>
      <c r="X270" s="300">
        <v>1.5730000000566362</v>
      </c>
      <c r="Y270" s="300">
        <f t="shared" ref="Y270:Y271" si="705">SUM(V270:X270)</f>
        <v>14.213000000321522</v>
      </c>
    </row>
    <row r="271" spans="1:25" ht="12.45" x14ac:dyDescent="0.3">
      <c r="A271" s="260" t="s">
        <v>354</v>
      </c>
      <c r="B271" s="300">
        <f>SUM(B269:B270)</f>
        <v>18.410000000047059</v>
      </c>
      <c r="C271" s="300">
        <f t="shared" ref="C271" si="706">SUM(C269:C270)</f>
        <v>5.2150000001225454</v>
      </c>
      <c r="D271" s="300">
        <f t="shared" ref="D271" si="707">SUM(D269:D270)</f>
        <v>1.1730000000064469</v>
      </c>
      <c r="E271" s="300">
        <f t="shared" si="701"/>
        <v>24.798000000176053</v>
      </c>
      <c r="F271" s="300"/>
      <c r="G271" s="300">
        <f>SUM(G269:G270)</f>
        <v>19.321000000047363</v>
      </c>
      <c r="H271" s="300">
        <f t="shared" ref="H271" si="708">SUM(H269:H270)</f>
        <v>5.1020000001228158</v>
      </c>
      <c r="I271" s="300">
        <f t="shared" ref="I271" si="709">SUM(I269:I270)</f>
        <v>1.2939999999959098</v>
      </c>
      <c r="J271" s="300">
        <f t="shared" si="702"/>
        <v>25.717000000166088</v>
      </c>
      <c r="K271" s="300"/>
      <c r="L271" s="300">
        <f>SUM(L269:L270)</f>
        <v>18.548999999925869</v>
      </c>
      <c r="M271" s="300">
        <f t="shared" ref="M271" si="710">SUM(M269:M270)</f>
        <v>4.9419999999908804</v>
      </c>
      <c r="N271" s="300">
        <f t="shared" ref="N271" si="711">SUM(N269:N270)</f>
        <v>2.7829999999964845</v>
      </c>
      <c r="O271" s="300">
        <f t="shared" si="703"/>
        <v>26.273999999913233</v>
      </c>
      <c r="P271" s="300"/>
      <c r="Q271" s="300">
        <f>SUM(Q269:Q270)</f>
        <v>19.483000000343111</v>
      </c>
      <c r="R271" s="300">
        <f t="shared" ref="R271" si="712">SUM(R269:R270)</f>
        <v>5.2610000000795907</v>
      </c>
      <c r="S271" s="300">
        <f t="shared" ref="S271" si="713">SUM(S269:S270)</f>
        <v>2.613000000046902</v>
      </c>
      <c r="T271" s="300">
        <f t="shared" si="704"/>
        <v>27.357000000469604</v>
      </c>
      <c r="U271" s="300"/>
      <c r="V271" s="300">
        <f>SUM(V269:V270)</f>
        <v>19.894000000138817</v>
      </c>
      <c r="W271" s="300">
        <f t="shared" ref="W271" si="714">SUM(W269:W270)</f>
        <v>5.6789999999769796</v>
      </c>
      <c r="X271" s="300">
        <f t="shared" ref="X271" si="715">SUM(X269:X270)</f>
        <v>2.516000000048539</v>
      </c>
      <c r="Y271" s="300">
        <f t="shared" si="705"/>
        <v>28.089000000164337</v>
      </c>
    </row>
    <row r="272" spans="1:25" ht="12.45" x14ac:dyDescent="0.3">
      <c r="C272" s="263"/>
    </row>
    <row r="273" spans="1:25" x14ac:dyDescent="0.35">
      <c r="A273" s="261" t="s">
        <v>366</v>
      </c>
    </row>
    <row r="274" spans="1:25" ht="12.45" x14ac:dyDescent="0.3">
      <c r="A274" s="260" t="s">
        <v>356</v>
      </c>
      <c r="B274" s="300">
        <f>SUM(B249,B254,B259,B264,B269)</f>
        <v>17.354999999956011</v>
      </c>
      <c r="C274" s="300">
        <f t="shared" ref="C274:D275" si="716">SUM(C249,C254,C259,C264,C269)</f>
        <v>10.870000000274393</v>
      </c>
      <c r="D274" s="300">
        <f t="shared" si="716"/>
        <v>0.56700000001519446</v>
      </c>
      <c r="E274" s="300">
        <f>SUM(B274:D274)</f>
        <v>28.792000000245597</v>
      </c>
      <c r="F274" s="300"/>
      <c r="G274" s="300">
        <f>SUM(G249,G254,G259,G264,G269)</f>
        <v>23.333999999827455</v>
      </c>
      <c r="H274" s="300">
        <f t="shared" ref="H274:I274" si="717">SUM(H249,H254,H259,H264,H269)</f>
        <v>13.637000000329397</v>
      </c>
      <c r="I274" s="300">
        <f t="shared" si="717"/>
        <v>2.6960000000774884</v>
      </c>
      <c r="J274" s="300">
        <f>SUM(G274:I274)</f>
        <v>39.667000000234339</v>
      </c>
      <c r="K274" s="300"/>
      <c r="L274" s="300">
        <f>SUM(L249,L254,L259,L264,L269)</f>
        <v>22.670999999603829</v>
      </c>
      <c r="M274" s="300">
        <f t="shared" ref="M274:N274" si="718">SUM(M249,M254,M259,M264,M269)</f>
        <v>11.657999999872526</v>
      </c>
      <c r="N274" s="300">
        <f t="shared" si="718"/>
        <v>4.5299999998675862</v>
      </c>
      <c r="O274" s="300">
        <f>SUM(L274:N274)</f>
        <v>38.858999999343936</v>
      </c>
      <c r="P274" s="300"/>
      <c r="Q274" s="300">
        <f>SUM(Q249,Q254,Q259,Q264,Q269)</f>
        <v>25.15900000057945</v>
      </c>
      <c r="R274" s="300">
        <f t="shared" ref="R274:S274" si="719">SUM(R249,R254,R259,R264,R269)</f>
        <v>13.184000000139468</v>
      </c>
      <c r="S274" s="300">
        <f t="shared" si="719"/>
        <v>4.854999999954142</v>
      </c>
      <c r="T274" s="300">
        <f>SUM(Q274:S274)</f>
        <v>43.198000000673062</v>
      </c>
      <c r="U274" s="300"/>
      <c r="V274" s="300">
        <f>SUM(V249,V254,V259,V264,V269)</f>
        <v>26.585999999830964</v>
      </c>
      <c r="W274" s="300">
        <f t="shared" ref="W274:X274" si="720">SUM(W249,W254,W259,W264,W269)</f>
        <v>14.457999999779009</v>
      </c>
      <c r="X274" s="300">
        <f t="shared" si="720"/>
        <v>4.9189999999549041</v>
      </c>
      <c r="Y274" s="300">
        <f>SUM(V274:X274)</f>
        <v>45.962999999564879</v>
      </c>
    </row>
    <row r="275" spans="1:25" ht="12.45" x14ac:dyDescent="0.3">
      <c r="A275" s="260" t="s">
        <v>355</v>
      </c>
      <c r="B275" s="300">
        <f>SUM(B250,B255,B260,B265,B270)</f>
        <v>80.258000000151469</v>
      </c>
      <c r="C275" s="300">
        <f t="shared" si="716"/>
        <v>8.6600000001044428</v>
      </c>
      <c r="D275" s="300">
        <f t="shared" si="716"/>
        <v>19.992000000131966</v>
      </c>
      <c r="E275" s="300">
        <f t="shared" ref="E275:E276" si="721">SUM(B275:D275)</f>
        <v>108.91000000038788</v>
      </c>
      <c r="F275" s="300"/>
      <c r="G275" s="300">
        <f>SUM(G250,G255,G260,G265,G270)</f>
        <v>93.800000000520356</v>
      </c>
      <c r="H275" s="300">
        <f t="shared" ref="H275:I275" si="722">SUM(H250,H255,H260,H265,H270)</f>
        <v>10.095000000147863</v>
      </c>
      <c r="I275" s="300">
        <f t="shared" si="722"/>
        <v>30.348999998342993</v>
      </c>
      <c r="J275" s="300">
        <f t="shared" ref="J275:J276" si="723">SUM(G275:I275)</f>
        <v>134.24399999901121</v>
      </c>
      <c r="K275" s="300"/>
      <c r="L275" s="300">
        <f>SUM(L250,L255,L260,L265,L270)</f>
        <v>86.980000000667815</v>
      </c>
      <c r="M275" s="300">
        <f t="shared" ref="M275:N275" si="724">SUM(M250,M255,M260,M265,M270)</f>
        <v>12.20600000010033</v>
      </c>
      <c r="N275" s="300">
        <f t="shared" si="724"/>
        <v>27.927000000804941</v>
      </c>
      <c r="O275" s="300">
        <f t="shared" ref="O275:O276" si="725">SUM(L275:N275)</f>
        <v>127.11300000157308</v>
      </c>
      <c r="P275" s="300"/>
      <c r="Q275" s="300">
        <f>SUM(Q250,Q255,Q260,Q265,Q270)</f>
        <v>92.54900000111563</v>
      </c>
      <c r="R275" s="300">
        <f t="shared" ref="R275:S275" si="726">SUM(R250,R255,R260,R265,R270)</f>
        <v>13.106000000138923</v>
      </c>
      <c r="S275" s="300">
        <f t="shared" si="726"/>
        <v>30.709000002329446</v>
      </c>
      <c r="T275" s="300">
        <f t="shared" ref="T275:T276" si="727">SUM(Q275:S275)</f>
        <v>136.36400000358401</v>
      </c>
      <c r="U275" s="300"/>
      <c r="V275" s="300">
        <f>SUM(V250,V255,V260,V265,V270)</f>
        <v>91.890000001399983</v>
      </c>
      <c r="W275" s="300">
        <f t="shared" ref="W275:X275" si="728">SUM(W250,W255,W260,W265,W270)</f>
        <v>13.732000000218813</v>
      </c>
      <c r="X275" s="300">
        <f t="shared" si="728"/>
        <v>32.723000002199434</v>
      </c>
      <c r="Y275" s="300">
        <f t="shared" ref="Y275:Y276" si="729">SUM(V275:X275)</f>
        <v>138.34500000381823</v>
      </c>
    </row>
    <row r="276" spans="1:25" ht="12.45" x14ac:dyDescent="0.3">
      <c r="A276" s="264" t="s">
        <v>354</v>
      </c>
      <c r="B276" s="301">
        <f>SUM(B274:B275)</f>
        <v>97.613000000107476</v>
      </c>
      <c r="C276" s="301">
        <f t="shared" ref="C276" si="730">SUM(C274:C275)</f>
        <v>19.530000000378834</v>
      </c>
      <c r="D276" s="301">
        <f t="shared" ref="D276" si="731">SUM(D274:D275)</f>
        <v>20.559000000147162</v>
      </c>
      <c r="E276" s="301">
        <f t="shared" si="721"/>
        <v>137.70200000063346</v>
      </c>
      <c r="F276" s="301"/>
      <c r="G276" s="301">
        <f>SUM(G274:G275)</f>
        <v>117.13400000034781</v>
      </c>
      <c r="H276" s="301">
        <f t="shared" ref="H276" si="732">SUM(H274:H275)</f>
        <v>23.73200000047726</v>
      </c>
      <c r="I276" s="301">
        <f t="shared" ref="I276" si="733">SUM(I274:I275)</f>
        <v>33.044999998420479</v>
      </c>
      <c r="J276" s="301">
        <f t="shared" si="723"/>
        <v>173.91099999924555</v>
      </c>
      <c r="K276" s="301"/>
      <c r="L276" s="301">
        <f>SUM(L274:L275)</f>
        <v>109.65100000027164</v>
      </c>
      <c r="M276" s="301">
        <f t="shared" ref="M276" si="734">SUM(M274:M275)</f>
        <v>23.863999999972854</v>
      </c>
      <c r="N276" s="301">
        <f t="shared" ref="N276" si="735">SUM(N274:N275)</f>
        <v>32.457000000672529</v>
      </c>
      <c r="O276" s="301">
        <f t="shared" si="725"/>
        <v>165.97200000091703</v>
      </c>
      <c r="P276" s="301"/>
      <c r="Q276" s="301">
        <f>SUM(Q274:Q275)</f>
        <v>117.70800000169508</v>
      </c>
      <c r="R276" s="301">
        <f t="shared" ref="R276" si="736">SUM(R274:R275)</f>
        <v>26.29000000027839</v>
      </c>
      <c r="S276" s="301">
        <f t="shared" ref="S276" si="737">SUM(S274:S275)</f>
        <v>35.564000002283592</v>
      </c>
      <c r="T276" s="301">
        <f t="shared" si="727"/>
        <v>179.56200000425707</v>
      </c>
      <c r="U276" s="301"/>
      <c r="V276" s="301">
        <f>SUM(V274:V275)</f>
        <v>118.47600000123094</v>
      </c>
      <c r="W276" s="301">
        <f t="shared" ref="W276" si="738">SUM(W274:W275)</f>
        <v>28.189999999997823</v>
      </c>
      <c r="X276" s="301">
        <f t="shared" ref="X276" si="739">SUM(X274:X275)</f>
        <v>37.64200000215434</v>
      </c>
      <c r="Y276" s="301">
        <f t="shared" si="729"/>
        <v>184.30800000338311</v>
      </c>
    </row>
    <row r="277" spans="1:25" ht="12.45" x14ac:dyDescent="0.3">
      <c r="C277" s="263"/>
    </row>
    <row r="278" spans="1:25" ht="12.45" x14ac:dyDescent="0.3">
      <c r="C278" s="263"/>
    </row>
    <row r="279" spans="1:25" ht="12.45" x14ac:dyDescent="0.3">
      <c r="C279" s="263"/>
    </row>
    <row r="280" spans="1:25" ht="14.15" x14ac:dyDescent="0.35">
      <c r="A280" s="265" t="str">
        <f>"Industry 11 : "&amp; name!B14</f>
        <v>Industry 11 : Accommodation and food</v>
      </c>
      <c r="B280" s="372">
        <f>$B$5</f>
        <v>2015</v>
      </c>
      <c r="C280" s="372"/>
      <c r="D280" s="372"/>
      <c r="E280" s="372"/>
      <c r="F280" s="320"/>
      <c r="G280" s="372">
        <f>$G$5</f>
        <v>2019</v>
      </c>
      <c r="H280" s="372"/>
      <c r="I280" s="372"/>
      <c r="J280" s="372"/>
      <c r="K280" s="320"/>
      <c r="L280" s="372">
        <f>$L$5</f>
        <v>2020</v>
      </c>
      <c r="M280" s="372"/>
      <c r="N280" s="372"/>
      <c r="O280" s="372"/>
      <c r="P280" s="318"/>
      <c r="Q280" s="372">
        <f>$Q$5</f>
        <v>2025</v>
      </c>
      <c r="R280" s="372"/>
      <c r="S280" s="372"/>
      <c r="T280" s="372"/>
      <c r="U280" s="320"/>
      <c r="V280" s="372">
        <f>$V$5</f>
        <v>2035</v>
      </c>
      <c r="W280" s="372"/>
      <c r="X280" s="372"/>
      <c r="Y280" s="372"/>
    </row>
    <row r="281" spans="1:25" ht="12.45" x14ac:dyDescent="0.3">
      <c r="A281" s="264"/>
      <c r="B281" s="268" t="str">
        <f>$B$6</f>
        <v>FT</v>
      </c>
      <c r="C281" s="268" t="str">
        <f>$C$6</f>
        <v>PT</v>
      </c>
      <c r="D281" s="268" t="str">
        <f>$D$6</f>
        <v>SE</v>
      </c>
      <c r="E281" s="268" t="str">
        <f>$E$6</f>
        <v>Total</v>
      </c>
      <c r="F281" s="268"/>
      <c r="G281" s="268" t="str">
        <f>$B$6</f>
        <v>FT</v>
      </c>
      <c r="H281" s="268" t="str">
        <f>$C$6</f>
        <v>PT</v>
      </c>
      <c r="I281" s="268" t="str">
        <f>$D$6</f>
        <v>SE</v>
      </c>
      <c r="J281" s="268" t="str">
        <f>$E$6</f>
        <v>Total</v>
      </c>
      <c r="K281" s="268"/>
      <c r="L281" s="268" t="str">
        <f>$L$6</f>
        <v>FT</v>
      </c>
      <c r="M281" s="268" t="str">
        <f>$M$6</f>
        <v>PT</v>
      </c>
      <c r="N281" s="268" t="str">
        <f>$N$6</f>
        <v>SE</v>
      </c>
      <c r="O281" s="268" t="str">
        <f>$O$6</f>
        <v>Total</v>
      </c>
      <c r="P281" s="268"/>
      <c r="Q281" s="268" t="str">
        <f>$L$6</f>
        <v>FT</v>
      </c>
      <c r="R281" s="268" t="str">
        <f>$M$6</f>
        <v>PT</v>
      </c>
      <c r="S281" s="268" t="str">
        <f>$N$6</f>
        <v>SE</v>
      </c>
      <c r="T281" s="268" t="str">
        <f>$O$6</f>
        <v>Total</v>
      </c>
      <c r="U281" s="268"/>
      <c r="V281" s="268" t="str">
        <f>$V$6</f>
        <v>FT</v>
      </c>
      <c r="W281" s="268" t="str">
        <f>$W$6</f>
        <v>PT</v>
      </c>
      <c r="X281" s="268" t="str">
        <f>$X$6</f>
        <v>SE</v>
      </c>
      <c r="Y281" s="268" t="str">
        <f>$Y$6</f>
        <v>Total</v>
      </c>
    </row>
    <row r="282" spans="1:25" ht="12.45" x14ac:dyDescent="0.3">
      <c r="C282" s="319"/>
      <c r="D282" s="319"/>
      <c r="E282" s="319"/>
      <c r="F282" s="319"/>
      <c r="G282" s="319"/>
      <c r="H282" s="319"/>
      <c r="I282" s="319"/>
      <c r="J282" s="319"/>
      <c r="K282" s="319"/>
      <c r="L282" s="319"/>
      <c r="M282" s="319"/>
      <c r="N282" s="319"/>
      <c r="O282" s="319"/>
      <c r="P282" s="319"/>
      <c r="Q282" s="319"/>
      <c r="R282" s="319"/>
      <c r="S282" s="319"/>
      <c r="T282" s="319"/>
      <c r="U282" s="319"/>
      <c r="V282" s="319"/>
      <c r="W282" s="319"/>
      <c r="X282" s="319"/>
      <c r="Y282" s="319"/>
    </row>
    <row r="283" spans="1:25" ht="12.45" x14ac:dyDescent="0.3">
      <c r="A283" s="261" t="str">
        <f>name!A42</f>
        <v>Accommodation</v>
      </c>
      <c r="C283" s="263"/>
    </row>
    <row r="284" spans="1:25" ht="12.45" x14ac:dyDescent="0.3">
      <c r="A284" s="260" t="s">
        <v>356</v>
      </c>
      <c r="B284" s="300">
        <v>8.854000000030938</v>
      </c>
      <c r="C284" s="300">
        <v>11.142000000396513</v>
      </c>
      <c r="D284" s="300">
        <v>0.75400000002371914</v>
      </c>
      <c r="E284" s="300">
        <f>SUM(B284:D284)</f>
        <v>20.75000000045117</v>
      </c>
      <c r="F284" s="300"/>
      <c r="G284" s="300">
        <v>8.3889999999861331</v>
      </c>
      <c r="H284" s="300">
        <v>14.189000000472886</v>
      </c>
      <c r="I284" s="300">
        <v>3.1610000000982188</v>
      </c>
      <c r="J284" s="300">
        <f>SUM(G284:I284)</f>
        <v>25.73900000055724</v>
      </c>
      <c r="K284" s="300"/>
      <c r="L284" s="300">
        <v>6.3399999998445695</v>
      </c>
      <c r="M284" s="300">
        <v>15.339000000061779</v>
      </c>
      <c r="N284" s="300">
        <v>2.508999999908792</v>
      </c>
      <c r="O284" s="300">
        <f>SUM(L284:N284)</f>
        <v>24.18799999981514</v>
      </c>
      <c r="P284" s="300"/>
      <c r="Q284" s="300">
        <v>7.1980000001337583</v>
      </c>
      <c r="R284" s="300">
        <v>18.016000000636211</v>
      </c>
      <c r="S284" s="300">
        <v>2.904999999970407</v>
      </c>
      <c r="T284" s="300">
        <f>SUM(Q284:S284)</f>
        <v>28.119000000740378</v>
      </c>
      <c r="U284" s="300"/>
      <c r="V284" s="300">
        <v>7.3799999999276107</v>
      </c>
      <c r="W284" s="300">
        <v>19.619999999715983</v>
      </c>
      <c r="X284" s="300">
        <v>3.0829999999692195</v>
      </c>
      <c r="Y284" s="300">
        <f>SUM(V284:X284)</f>
        <v>30.082999999612809</v>
      </c>
    </row>
    <row r="285" spans="1:25" ht="12.45" x14ac:dyDescent="0.3">
      <c r="A285" s="260" t="s">
        <v>355</v>
      </c>
      <c r="B285" s="300">
        <v>10.195999999998335</v>
      </c>
      <c r="C285" s="300">
        <v>3.8900000000574702</v>
      </c>
      <c r="D285" s="300">
        <v>1.3600000000252201</v>
      </c>
      <c r="E285" s="300">
        <f t="shared" ref="E285:E286" si="740">SUM(B285:D285)</f>
        <v>15.446000000081025</v>
      </c>
      <c r="F285" s="300"/>
      <c r="G285" s="300">
        <v>7.593000000017426</v>
      </c>
      <c r="H285" s="300">
        <v>4.6950000000820493</v>
      </c>
      <c r="I285" s="300">
        <v>0.77100000000548463</v>
      </c>
      <c r="J285" s="300">
        <f t="shared" ref="J285:J286" si="741">SUM(G285:I285)</f>
        <v>13.059000000104961</v>
      </c>
      <c r="K285" s="300"/>
      <c r="L285" s="300">
        <v>6.5290000000188222</v>
      </c>
      <c r="M285" s="300">
        <v>5.6260000000127492</v>
      </c>
      <c r="N285" s="300">
        <v>2.2450000000292345</v>
      </c>
      <c r="O285" s="300">
        <f t="shared" ref="O285:O286" si="742">SUM(L285:N285)</f>
        <v>14.400000000060805</v>
      </c>
      <c r="P285" s="300"/>
      <c r="Q285" s="300">
        <v>7.373000000048255</v>
      </c>
      <c r="R285" s="300">
        <v>6.490000000042615</v>
      </c>
      <c r="S285" s="300">
        <v>2.6020000000682466</v>
      </c>
      <c r="T285" s="300">
        <f t="shared" ref="T285:T286" si="743">SUM(Q285:S285)</f>
        <v>16.465000000159119</v>
      </c>
      <c r="U285" s="300"/>
      <c r="V285" s="300">
        <v>7.5100000000359977</v>
      </c>
      <c r="W285" s="300">
        <v>6.787999999998787</v>
      </c>
      <c r="X285" s="300">
        <v>2.7570000000333472</v>
      </c>
      <c r="Y285" s="300">
        <f t="shared" ref="Y285:Y286" si="744">SUM(V285:X285)</f>
        <v>17.055000000068134</v>
      </c>
    </row>
    <row r="286" spans="1:25" ht="12.45" x14ac:dyDescent="0.3">
      <c r="A286" s="260" t="s">
        <v>354</v>
      </c>
      <c r="B286" s="300">
        <f>SUM(B284:B285)</f>
        <v>19.050000000029272</v>
      </c>
      <c r="C286" s="300">
        <f t="shared" ref="C286" si="745">SUM(C284:C285)</f>
        <v>15.032000000453984</v>
      </c>
      <c r="D286" s="300">
        <f t="shared" ref="D286" si="746">SUM(D284:D285)</f>
        <v>2.1140000000489394</v>
      </c>
      <c r="E286" s="300">
        <f t="shared" si="740"/>
        <v>36.196000000532194</v>
      </c>
      <c r="F286" s="300"/>
      <c r="G286" s="300">
        <f>SUM(G284:G285)</f>
        <v>15.982000000003559</v>
      </c>
      <c r="H286" s="300">
        <f t="shared" ref="H286" si="747">SUM(H284:H285)</f>
        <v>18.884000000554934</v>
      </c>
      <c r="I286" s="300">
        <f t="shared" ref="I286" si="748">SUM(I284:I285)</f>
        <v>3.9320000001037032</v>
      </c>
      <c r="J286" s="300">
        <f t="shared" si="741"/>
        <v>38.798000000662199</v>
      </c>
      <c r="K286" s="300"/>
      <c r="L286" s="300">
        <f>SUM(L284:L285)</f>
        <v>12.868999999863391</v>
      </c>
      <c r="M286" s="300">
        <f t="shared" ref="M286" si="749">SUM(M284:M285)</f>
        <v>20.965000000074529</v>
      </c>
      <c r="N286" s="300">
        <f t="shared" ref="N286" si="750">SUM(N284:N285)</f>
        <v>4.753999999938026</v>
      </c>
      <c r="O286" s="300">
        <f t="shared" si="742"/>
        <v>38.58799999987594</v>
      </c>
      <c r="P286" s="300"/>
      <c r="Q286" s="300">
        <f>SUM(Q284:Q285)</f>
        <v>14.571000000182014</v>
      </c>
      <c r="R286" s="300">
        <f t="shared" ref="R286" si="751">SUM(R284:R285)</f>
        <v>24.506000000678824</v>
      </c>
      <c r="S286" s="300">
        <f t="shared" ref="S286" si="752">SUM(S284:S285)</f>
        <v>5.5070000000386532</v>
      </c>
      <c r="T286" s="300">
        <f t="shared" si="743"/>
        <v>44.584000000899486</v>
      </c>
      <c r="U286" s="300"/>
      <c r="V286" s="300">
        <f>SUM(V284:V285)</f>
        <v>14.889999999963608</v>
      </c>
      <c r="W286" s="300">
        <f t="shared" ref="W286" si="753">SUM(W284:W285)</f>
        <v>26.407999999714768</v>
      </c>
      <c r="X286" s="300">
        <f t="shared" ref="X286" si="754">SUM(X284:X285)</f>
        <v>5.8400000000025667</v>
      </c>
      <c r="Y286" s="300">
        <f t="shared" si="744"/>
        <v>47.137999999680943</v>
      </c>
    </row>
    <row r="287" spans="1:25" ht="12.45" x14ac:dyDescent="0.3">
      <c r="C287" s="319"/>
      <c r="D287" s="319"/>
      <c r="E287" s="319"/>
      <c r="F287" s="319"/>
      <c r="G287" s="319"/>
      <c r="H287" s="319"/>
      <c r="I287" s="319"/>
      <c r="J287" s="319"/>
      <c r="K287" s="319"/>
      <c r="L287" s="319"/>
      <c r="M287" s="319"/>
      <c r="N287" s="319"/>
      <c r="O287" s="319"/>
      <c r="P287" s="319"/>
      <c r="Q287" s="319"/>
      <c r="R287" s="319"/>
      <c r="S287" s="319"/>
      <c r="T287" s="319"/>
      <c r="U287" s="319"/>
      <c r="V287" s="319"/>
      <c r="W287" s="319"/>
      <c r="X287" s="319"/>
      <c r="Y287" s="319"/>
    </row>
    <row r="288" spans="1:25" ht="12.45" x14ac:dyDescent="0.3">
      <c r="A288" s="261" t="str">
        <f>name!A43</f>
        <v>Food and beverage services</v>
      </c>
      <c r="C288" s="263"/>
    </row>
    <row r="289" spans="1:25" ht="12.45" x14ac:dyDescent="0.3">
      <c r="A289" s="260" t="s">
        <v>356</v>
      </c>
      <c r="B289" s="300">
        <v>23.17600000008099</v>
      </c>
      <c r="C289" s="300">
        <v>53.804000001914737</v>
      </c>
      <c r="D289" s="300">
        <v>1.4820000000466216</v>
      </c>
      <c r="E289" s="300">
        <f>SUM(B289:D289)</f>
        <v>78.462000002042359</v>
      </c>
      <c r="F289" s="300"/>
      <c r="G289" s="300">
        <v>29.23599999995167</v>
      </c>
      <c r="H289" s="300">
        <v>59.74100000199104</v>
      </c>
      <c r="I289" s="300">
        <v>4.1980000001304409</v>
      </c>
      <c r="J289" s="300">
        <f>SUM(G289:I289)</f>
        <v>93.175000002073148</v>
      </c>
      <c r="K289" s="300"/>
      <c r="L289" s="300">
        <v>26.219999999357192</v>
      </c>
      <c r="M289" s="300">
        <v>60.718000000244544</v>
      </c>
      <c r="N289" s="300">
        <v>4.3939999998402683</v>
      </c>
      <c r="O289" s="300">
        <f>SUM(L289:N289)</f>
        <v>91.331999999442019</v>
      </c>
      <c r="P289" s="300"/>
      <c r="Q289" s="300">
        <v>26.312000000488947</v>
      </c>
      <c r="R289" s="300">
        <v>60.231000002126933</v>
      </c>
      <c r="S289" s="300">
        <v>4.4279999999548929</v>
      </c>
      <c r="T289" s="300">
        <f>SUM(Q289:S289)</f>
        <v>90.971000002570776</v>
      </c>
      <c r="U289" s="300"/>
      <c r="V289" s="300">
        <v>30.412999999701661</v>
      </c>
      <c r="W289" s="300">
        <v>67.703999999019942</v>
      </c>
      <c r="X289" s="300">
        <v>5.1179999999489034</v>
      </c>
      <c r="Y289" s="300">
        <f>SUM(V289:X289)</f>
        <v>103.23499999867052</v>
      </c>
    </row>
    <row r="290" spans="1:25" ht="12.45" x14ac:dyDescent="0.3">
      <c r="A290" s="260" t="s">
        <v>355</v>
      </c>
      <c r="B290" s="300">
        <v>32.274999999994748</v>
      </c>
      <c r="C290" s="300">
        <v>34.567000000510667</v>
      </c>
      <c r="D290" s="300">
        <v>5.6120000001040644</v>
      </c>
      <c r="E290" s="300">
        <f t="shared" ref="E290:E291" si="755">SUM(B290:D290)</f>
        <v>72.454000000609469</v>
      </c>
      <c r="F290" s="300"/>
      <c r="G290" s="300">
        <v>31.368000000072001</v>
      </c>
      <c r="H290" s="300">
        <v>33.677000000588528</v>
      </c>
      <c r="I290" s="300">
        <v>2.7170000000193282</v>
      </c>
      <c r="J290" s="300">
        <f t="shared" ref="J290:J291" si="756">SUM(G290:I290)</f>
        <v>67.762000000679862</v>
      </c>
      <c r="K290" s="300"/>
      <c r="L290" s="300">
        <v>29.214000000084241</v>
      </c>
      <c r="M290" s="300">
        <v>38.606000000087505</v>
      </c>
      <c r="N290" s="300">
        <v>4.9540000000645117</v>
      </c>
      <c r="O290" s="300">
        <f t="shared" ref="O290:O291" si="757">SUM(L290:N290)</f>
        <v>72.774000000236256</v>
      </c>
      <c r="P290" s="300"/>
      <c r="Q290" s="300">
        <v>29.473000000192911</v>
      </c>
      <c r="R290" s="300">
        <v>38.376000000251999</v>
      </c>
      <c r="S290" s="300">
        <v>4.9780000001305647</v>
      </c>
      <c r="T290" s="300">
        <f t="shared" ref="T290:T291" si="758">SUM(Q290:S290)</f>
        <v>72.827000000575467</v>
      </c>
      <c r="U290" s="300"/>
      <c r="V290" s="300">
        <v>34.447000000165104</v>
      </c>
      <c r="W290" s="300">
        <v>43.451999999992239</v>
      </c>
      <c r="X290" s="300">
        <v>5.7470000000695185</v>
      </c>
      <c r="Y290" s="300">
        <f t="shared" ref="Y290:Y291" si="759">SUM(V290:X290)</f>
        <v>83.646000000226863</v>
      </c>
    </row>
    <row r="291" spans="1:25" ht="12.45" x14ac:dyDescent="0.3">
      <c r="A291" s="260" t="s">
        <v>354</v>
      </c>
      <c r="B291" s="300">
        <f>SUM(B289:B290)</f>
        <v>55.451000000075737</v>
      </c>
      <c r="C291" s="300">
        <f t="shared" ref="C291" si="760">SUM(C289:C290)</f>
        <v>88.371000002425404</v>
      </c>
      <c r="D291" s="300">
        <f t="shared" ref="D291" si="761">SUM(D289:D290)</f>
        <v>7.094000000150686</v>
      </c>
      <c r="E291" s="300">
        <f t="shared" si="755"/>
        <v>150.91600000265183</v>
      </c>
      <c r="F291" s="300"/>
      <c r="G291" s="300">
        <f>SUM(G289:G290)</f>
        <v>60.604000000023674</v>
      </c>
      <c r="H291" s="300">
        <f t="shared" ref="H291" si="762">SUM(H289:H290)</f>
        <v>93.418000002579561</v>
      </c>
      <c r="I291" s="300">
        <f t="shared" ref="I291" si="763">SUM(I289:I290)</f>
        <v>6.9150000001497691</v>
      </c>
      <c r="J291" s="300">
        <f t="shared" si="756"/>
        <v>160.93700000275302</v>
      </c>
      <c r="K291" s="300"/>
      <c r="L291" s="300">
        <f>SUM(L289:L290)</f>
        <v>55.433999999441433</v>
      </c>
      <c r="M291" s="300">
        <f t="shared" ref="M291" si="764">SUM(M289:M290)</f>
        <v>99.324000000332049</v>
      </c>
      <c r="N291" s="300">
        <f t="shared" ref="N291" si="765">SUM(N289:N290)</f>
        <v>9.3479999999047791</v>
      </c>
      <c r="O291" s="300">
        <f t="shared" si="757"/>
        <v>164.10599999967826</v>
      </c>
      <c r="P291" s="300"/>
      <c r="Q291" s="300">
        <f>SUM(Q289:Q290)</f>
        <v>55.785000000681862</v>
      </c>
      <c r="R291" s="300">
        <f t="shared" ref="R291" si="766">SUM(R289:R290)</f>
        <v>98.607000002378925</v>
      </c>
      <c r="S291" s="300">
        <f t="shared" ref="S291" si="767">SUM(S289:S290)</f>
        <v>9.4060000000854576</v>
      </c>
      <c r="T291" s="300">
        <f t="shared" si="758"/>
        <v>163.79800000314626</v>
      </c>
      <c r="U291" s="300"/>
      <c r="V291" s="300">
        <f>SUM(V289:V290)</f>
        <v>64.859999999866773</v>
      </c>
      <c r="W291" s="300">
        <f t="shared" ref="W291" si="768">SUM(W289:W290)</f>
        <v>111.15599999901218</v>
      </c>
      <c r="X291" s="300">
        <f t="shared" ref="X291" si="769">SUM(X289:X290)</f>
        <v>10.865000000018423</v>
      </c>
      <c r="Y291" s="300">
        <f t="shared" si="759"/>
        <v>186.88099999889738</v>
      </c>
    </row>
    <row r="292" spans="1:25" ht="12.45" x14ac:dyDescent="0.3">
      <c r="C292" s="263"/>
    </row>
    <row r="293" spans="1:25" x14ac:dyDescent="0.35">
      <c r="A293" s="261" t="s">
        <v>365</v>
      </c>
    </row>
    <row r="294" spans="1:25" ht="12.45" x14ac:dyDescent="0.3">
      <c r="A294" s="260" t="s">
        <v>356</v>
      </c>
      <c r="B294" s="300">
        <f>SUM(B284,B289)</f>
        <v>32.030000000111926</v>
      </c>
      <c r="C294" s="300">
        <f t="shared" ref="C294:D295" si="770">SUM(C284,C289)</f>
        <v>64.946000002311251</v>
      </c>
      <c r="D294" s="300">
        <f t="shared" si="770"/>
        <v>2.2360000000703408</v>
      </c>
      <c r="E294" s="300">
        <f>SUM(B294:D294)</f>
        <v>99.212000002493511</v>
      </c>
      <c r="F294" s="300"/>
      <c r="G294" s="300">
        <f>SUM(G284,G289)</f>
        <v>37.624999999937799</v>
      </c>
      <c r="H294" s="300">
        <f t="shared" ref="H294:I294" si="771">SUM(H284,H289)</f>
        <v>73.930000002463927</v>
      </c>
      <c r="I294" s="300">
        <f t="shared" si="771"/>
        <v>7.3590000002286597</v>
      </c>
      <c r="J294" s="300">
        <f>SUM(G294:I294)</f>
        <v>118.91400000263039</v>
      </c>
      <c r="K294" s="300"/>
      <c r="L294" s="300">
        <f>SUM(L284,L289)</f>
        <v>32.559999999201764</v>
      </c>
      <c r="M294" s="300">
        <f t="shared" ref="M294:N294" si="772">SUM(M284,M289)</f>
        <v>76.057000000306317</v>
      </c>
      <c r="N294" s="300">
        <f t="shared" si="772"/>
        <v>6.9029999997490599</v>
      </c>
      <c r="O294" s="300">
        <f>SUM(L294:N294)</f>
        <v>115.51999999925714</v>
      </c>
      <c r="P294" s="300"/>
      <c r="Q294" s="300">
        <f>SUM(Q284,Q289)</f>
        <v>33.510000000622703</v>
      </c>
      <c r="R294" s="300">
        <f t="shared" ref="R294:S294" si="773">SUM(R284,R289)</f>
        <v>78.247000002763144</v>
      </c>
      <c r="S294" s="300">
        <f t="shared" si="773"/>
        <v>7.3329999999252999</v>
      </c>
      <c r="T294" s="300">
        <f>SUM(Q294:S294)</f>
        <v>119.09000000331116</v>
      </c>
      <c r="U294" s="300"/>
      <c r="V294" s="300">
        <f>SUM(V284,V289)</f>
        <v>37.792999999629274</v>
      </c>
      <c r="W294" s="300">
        <f t="shared" ref="W294:X294" si="774">SUM(W284,W289)</f>
        <v>87.323999998735928</v>
      </c>
      <c r="X294" s="300">
        <f t="shared" si="774"/>
        <v>8.2009999999181229</v>
      </c>
      <c r="Y294" s="300">
        <f>SUM(V294:X294)</f>
        <v>133.31799999828331</v>
      </c>
    </row>
    <row r="295" spans="1:25" ht="12.45" x14ac:dyDescent="0.3">
      <c r="A295" s="260" t="s">
        <v>355</v>
      </c>
      <c r="B295" s="300">
        <f>SUM(B285,B290)</f>
        <v>42.470999999993083</v>
      </c>
      <c r="C295" s="300">
        <f t="shared" si="770"/>
        <v>38.457000000568136</v>
      </c>
      <c r="D295" s="300">
        <f t="shared" si="770"/>
        <v>6.9720000001292846</v>
      </c>
      <c r="E295" s="300">
        <f t="shared" ref="E295:E296" si="775">SUM(B295:D295)</f>
        <v>87.900000000690497</v>
      </c>
      <c r="F295" s="300"/>
      <c r="G295" s="300">
        <f>SUM(G285,G290)</f>
        <v>38.961000000089427</v>
      </c>
      <c r="H295" s="300">
        <f t="shared" ref="H295:I295" si="776">SUM(H285,H290)</f>
        <v>38.372000000670575</v>
      </c>
      <c r="I295" s="300">
        <f t="shared" si="776"/>
        <v>3.4880000000248126</v>
      </c>
      <c r="J295" s="300">
        <f t="shared" ref="J295:J296" si="777">SUM(G295:I295)</f>
        <v>80.821000000784807</v>
      </c>
      <c r="K295" s="300"/>
      <c r="L295" s="300">
        <f>SUM(L285,L290)</f>
        <v>35.743000000103066</v>
      </c>
      <c r="M295" s="300">
        <f t="shared" ref="M295:N295" si="778">SUM(M285,M290)</f>
        <v>44.232000000100257</v>
      </c>
      <c r="N295" s="300">
        <f t="shared" si="778"/>
        <v>7.1990000000937462</v>
      </c>
      <c r="O295" s="300">
        <f t="shared" ref="O295:O296" si="779">SUM(L295:N295)</f>
        <v>87.17400000029707</v>
      </c>
      <c r="P295" s="300"/>
      <c r="Q295" s="300">
        <f>SUM(Q285,Q290)</f>
        <v>36.846000000241169</v>
      </c>
      <c r="R295" s="300">
        <f t="shared" ref="R295:S295" si="780">SUM(R285,R290)</f>
        <v>44.866000000294612</v>
      </c>
      <c r="S295" s="300">
        <f t="shared" si="780"/>
        <v>7.5800000001988117</v>
      </c>
      <c r="T295" s="300">
        <f t="shared" ref="T295:T296" si="781">SUM(Q295:S295)</f>
        <v>89.292000000734589</v>
      </c>
      <c r="U295" s="300"/>
      <c r="V295" s="300">
        <f>SUM(V285,V290)</f>
        <v>41.957000000201106</v>
      </c>
      <c r="W295" s="300">
        <f t="shared" ref="W295:X295" si="782">SUM(W285,W290)</f>
        <v>50.239999999991028</v>
      </c>
      <c r="X295" s="300">
        <f t="shared" si="782"/>
        <v>8.5040000001028666</v>
      </c>
      <c r="Y295" s="300">
        <f t="shared" ref="Y295:Y296" si="783">SUM(V295:X295)</f>
        <v>100.701000000295</v>
      </c>
    </row>
    <row r="296" spans="1:25" ht="12.45" x14ac:dyDescent="0.3">
      <c r="A296" s="264" t="s">
        <v>354</v>
      </c>
      <c r="B296" s="301">
        <f>SUM(B294:B295)</f>
        <v>74.501000000105009</v>
      </c>
      <c r="C296" s="301">
        <f t="shared" ref="C296" si="784">SUM(C294:C295)</f>
        <v>103.40300000287939</v>
      </c>
      <c r="D296" s="301">
        <f t="shared" ref="D296" si="785">SUM(D294:D295)</f>
        <v>9.2080000001996254</v>
      </c>
      <c r="E296" s="301">
        <f t="shared" si="775"/>
        <v>187.11200000318402</v>
      </c>
      <c r="F296" s="301"/>
      <c r="G296" s="301">
        <f>SUM(G294:G295)</f>
        <v>76.586000000027227</v>
      </c>
      <c r="H296" s="301">
        <f t="shared" ref="H296" si="786">SUM(H294:H295)</f>
        <v>112.30200000313451</v>
      </c>
      <c r="I296" s="301">
        <f t="shared" ref="I296" si="787">SUM(I294:I295)</f>
        <v>10.847000000253473</v>
      </c>
      <c r="J296" s="301">
        <f t="shared" si="777"/>
        <v>199.73500000341519</v>
      </c>
      <c r="K296" s="301"/>
      <c r="L296" s="301">
        <f>SUM(L294:L295)</f>
        <v>68.302999999304831</v>
      </c>
      <c r="M296" s="301">
        <f t="shared" ref="M296" si="788">SUM(M294:M295)</f>
        <v>120.28900000040657</v>
      </c>
      <c r="N296" s="301">
        <f t="shared" ref="N296" si="789">SUM(N294:N295)</f>
        <v>14.101999999842807</v>
      </c>
      <c r="O296" s="301">
        <f t="shared" si="779"/>
        <v>202.69399999955419</v>
      </c>
      <c r="P296" s="301"/>
      <c r="Q296" s="301">
        <f>SUM(Q294:Q295)</f>
        <v>70.356000000863872</v>
      </c>
      <c r="R296" s="301">
        <f t="shared" ref="R296" si="790">SUM(R294:R295)</f>
        <v>123.11300000305775</v>
      </c>
      <c r="S296" s="301">
        <f t="shared" ref="S296" si="791">SUM(S294:S295)</f>
        <v>14.913000000124111</v>
      </c>
      <c r="T296" s="301">
        <f t="shared" si="781"/>
        <v>208.38200000404572</v>
      </c>
      <c r="U296" s="301"/>
      <c r="V296" s="301">
        <f>SUM(V294:V295)</f>
        <v>79.749999999830379</v>
      </c>
      <c r="W296" s="301">
        <f t="shared" ref="W296" si="792">SUM(W294:W295)</f>
        <v>137.56399999872696</v>
      </c>
      <c r="X296" s="301">
        <f t="shared" ref="X296" si="793">SUM(X294:X295)</f>
        <v>16.705000000020988</v>
      </c>
      <c r="Y296" s="301">
        <f t="shared" si="783"/>
        <v>234.01899999857832</v>
      </c>
    </row>
    <row r="297" spans="1:25" ht="12.45" x14ac:dyDescent="0.3">
      <c r="C297" s="263"/>
    </row>
    <row r="298" spans="1:25" ht="12.45" x14ac:dyDescent="0.3">
      <c r="C298" s="263"/>
    </row>
    <row r="299" spans="1:25" ht="12.45" x14ac:dyDescent="0.3">
      <c r="C299" s="263"/>
    </row>
    <row r="300" spans="1:25" ht="14.15" x14ac:dyDescent="0.35">
      <c r="A300" s="265" t="str">
        <f>"Industry 12 : "&amp; name!B15</f>
        <v>Industry 12 : Media</v>
      </c>
      <c r="B300" s="372">
        <f>$B$5</f>
        <v>2015</v>
      </c>
      <c r="C300" s="372"/>
      <c r="D300" s="372"/>
      <c r="E300" s="372"/>
      <c r="F300" s="320"/>
      <c r="G300" s="372">
        <f>$G$5</f>
        <v>2019</v>
      </c>
      <c r="H300" s="372"/>
      <c r="I300" s="372"/>
      <c r="J300" s="372"/>
      <c r="K300" s="320"/>
      <c r="L300" s="372">
        <f>$L$5</f>
        <v>2020</v>
      </c>
      <c r="M300" s="372"/>
      <c r="N300" s="372"/>
      <c r="O300" s="372"/>
      <c r="P300" s="318"/>
      <c r="Q300" s="372">
        <f>$Q$5</f>
        <v>2025</v>
      </c>
      <c r="R300" s="372"/>
      <c r="S300" s="372"/>
      <c r="T300" s="372"/>
      <c r="U300" s="320"/>
      <c r="V300" s="372">
        <f>$V$5</f>
        <v>2035</v>
      </c>
      <c r="W300" s="372"/>
      <c r="X300" s="372"/>
      <c r="Y300" s="372"/>
    </row>
    <row r="301" spans="1:25" ht="12.45" x14ac:dyDescent="0.3">
      <c r="A301" s="264"/>
      <c r="B301" s="268" t="str">
        <f>$B$6</f>
        <v>FT</v>
      </c>
      <c r="C301" s="268" t="str">
        <f>$C$6</f>
        <v>PT</v>
      </c>
      <c r="D301" s="268" t="str">
        <f>$D$6</f>
        <v>SE</v>
      </c>
      <c r="E301" s="268" t="str">
        <f>$E$6</f>
        <v>Total</v>
      </c>
      <c r="F301" s="268"/>
      <c r="G301" s="268" t="str">
        <f>$B$6</f>
        <v>FT</v>
      </c>
      <c r="H301" s="268" t="str">
        <f>$C$6</f>
        <v>PT</v>
      </c>
      <c r="I301" s="268" t="str">
        <f>$D$6</f>
        <v>SE</v>
      </c>
      <c r="J301" s="268" t="str">
        <f>$E$6</f>
        <v>Total</v>
      </c>
      <c r="K301" s="268"/>
      <c r="L301" s="268" t="str">
        <f>$L$6</f>
        <v>FT</v>
      </c>
      <c r="M301" s="268" t="str">
        <f>$M$6</f>
        <v>PT</v>
      </c>
      <c r="N301" s="268" t="str">
        <f>$N$6</f>
        <v>SE</v>
      </c>
      <c r="O301" s="268" t="str">
        <f>$O$6</f>
        <v>Total</v>
      </c>
      <c r="P301" s="268"/>
      <c r="Q301" s="268" t="str">
        <f>$L$6</f>
        <v>FT</v>
      </c>
      <c r="R301" s="268" t="str">
        <f>$M$6</f>
        <v>PT</v>
      </c>
      <c r="S301" s="268" t="str">
        <f>$N$6</f>
        <v>SE</v>
      </c>
      <c r="T301" s="268" t="str">
        <f>$O$6</f>
        <v>Total</v>
      </c>
      <c r="U301" s="268"/>
      <c r="V301" s="268" t="str">
        <f>$V$6</f>
        <v>FT</v>
      </c>
      <c r="W301" s="268" t="str">
        <f>$W$6</f>
        <v>PT</v>
      </c>
      <c r="X301" s="268" t="str">
        <f>$X$6</f>
        <v>SE</v>
      </c>
      <c r="Y301" s="268" t="str">
        <f>$Y$6</f>
        <v>Total</v>
      </c>
    </row>
    <row r="302" spans="1:25" ht="12.45" x14ac:dyDescent="0.3">
      <c r="C302" s="319"/>
      <c r="D302" s="319"/>
      <c r="E302" s="319"/>
      <c r="F302" s="319"/>
      <c r="G302" s="319"/>
      <c r="H302" s="319"/>
      <c r="I302" s="319"/>
      <c r="J302" s="319"/>
      <c r="K302" s="319"/>
      <c r="L302" s="319"/>
      <c r="M302" s="319"/>
      <c r="N302" s="319"/>
      <c r="O302" s="319"/>
      <c r="P302" s="319"/>
      <c r="Q302" s="319"/>
      <c r="R302" s="319"/>
      <c r="S302" s="319"/>
      <c r="T302" s="319"/>
      <c r="U302" s="319"/>
      <c r="V302" s="319"/>
      <c r="W302" s="319"/>
      <c r="X302" s="319"/>
      <c r="Y302" s="319"/>
    </row>
    <row r="303" spans="1:25" ht="12.45" x14ac:dyDescent="0.3">
      <c r="A303" s="261" t="str">
        <f>name!A44</f>
        <v>Publishing activities</v>
      </c>
      <c r="C303" s="263"/>
    </row>
    <row r="304" spans="1:25" ht="12.45" x14ac:dyDescent="0.3">
      <c r="A304" s="260" t="s">
        <v>356</v>
      </c>
      <c r="B304" s="300">
        <v>4.3159999999329104</v>
      </c>
      <c r="C304" s="300">
        <v>2.3960000000178212</v>
      </c>
      <c r="D304" s="300">
        <v>2.7789999999968158</v>
      </c>
      <c r="E304" s="300">
        <f>SUM(B304:D304)</f>
        <v>9.4909999999475474</v>
      </c>
      <c r="F304" s="300"/>
      <c r="G304" s="300">
        <v>4.3719999999242782</v>
      </c>
      <c r="H304" s="300">
        <v>2.1630000000181697</v>
      </c>
      <c r="I304" s="300">
        <v>1.4700000000007885</v>
      </c>
      <c r="J304" s="300">
        <f>SUM(G304:I304)</f>
        <v>8.0049999999432373</v>
      </c>
      <c r="K304" s="300"/>
      <c r="L304" s="300">
        <v>5.5670000000023059</v>
      </c>
      <c r="M304" s="300">
        <v>1.8359999999951233</v>
      </c>
      <c r="N304" s="300">
        <v>1.467000000004189</v>
      </c>
      <c r="O304" s="300">
        <f>SUM(L304:N304)</f>
        <v>8.8700000000016175</v>
      </c>
      <c r="P304" s="300"/>
      <c r="Q304" s="300">
        <v>5.3540000001416699</v>
      </c>
      <c r="R304" s="300">
        <v>1.7920000000104044</v>
      </c>
      <c r="S304" s="300">
        <v>1.3960000000152353</v>
      </c>
      <c r="T304" s="300">
        <f>SUM(Q304:S304)</f>
        <v>8.5420000001673095</v>
      </c>
      <c r="U304" s="300"/>
      <c r="V304" s="300">
        <v>5.3020000000192598</v>
      </c>
      <c r="W304" s="300">
        <v>1.763999999992915</v>
      </c>
      <c r="X304" s="300">
        <v>1.309000000022595</v>
      </c>
      <c r="Y304" s="300">
        <f>SUM(V304:X304)</f>
        <v>8.3750000000347704</v>
      </c>
    </row>
    <row r="305" spans="1:25" ht="12.45" x14ac:dyDescent="0.3">
      <c r="A305" s="260" t="s">
        <v>355</v>
      </c>
      <c r="B305" s="300">
        <v>7.3079999999496073</v>
      </c>
      <c r="C305" s="300">
        <v>1.7219999999893072</v>
      </c>
      <c r="D305" s="300">
        <v>3.0270000000523356</v>
      </c>
      <c r="E305" s="300">
        <f t="shared" ref="E305:E306" si="794">SUM(B305:D305)</f>
        <v>12.05699999999125</v>
      </c>
      <c r="F305" s="300"/>
      <c r="G305" s="300">
        <v>7.2479999999429623</v>
      </c>
      <c r="H305" s="300">
        <v>0.86099999999341759</v>
      </c>
      <c r="I305" s="300">
        <v>2.889999999988111</v>
      </c>
      <c r="J305" s="300">
        <f t="shared" ref="J305:J306" si="795">SUM(G305:I305)</f>
        <v>10.998999999924491</v>
      </c>
      <c r="K305" s="300"/>
      <c r="L305" s="300">
        <v>6.7099999999315854</v>
      </c>
      <c r="M305" s="300">
        <v>1.6159999999937444</v>
      </c>
      <c r="N305" s="300">
        <v>3.1700000000224735</v>
      </c>
      <c r="O305" s="300">
        <f t="shared" ref="O305:O306" si="796">SUM(L305:N305)</f>
        <v>11.495999999947802</v>
      </c>
      <c r="P305" s="300"/>
      <c r="Q305" s="300">
        <v>6.4249999999480503</v>
      </c>
      <c r="R305" s="300">
        <v>1.6299999999922319</v>
      </c>
      <c r="S305" s="300">
        <v>3.0720000001061818</v>
      </c>
      <c r="T305" s="300">
        <f t="shared" ref="T305:T306" si="797">SUM(Q305:S305)</f>
        <v>11.127000000046465</v>
      </c>
      <c r="U305" s="300"/>
      <c r="V305" s="300">
        <v>6.2429999999089105</v>
      </c>
      <c r="W305" s="300">
        <v>1.7069999999897829</v>
      </c>
      <c r="X305" s="300">
        <v>3.0460000000513485</v>
      </c>
      <c r="Y305" s="300">
        <f t="shared" ref="Y305:Y306" si="798">SUM(V305:X305)</f>
        <v>10.995999999950042</v>
      </c>
    </row>
    <row r="306" spans="1:25" ht="12.45" x14ac:dyDescent="0.3">
      <c r="A306" s="260" t="s">
        <v>354</v>
      </c>
      <c r="B306" s="300">
        <f>SUM(B304:B305)</f>
        <v>11.623999999882518</v>
      </c>
      <c r="C306" s="300">
        <f t="shared" ref="C306" si="799">SUM(C304:C305)</f>
        <v>4.1180000000071288</v>
      </c>
      <c r="D306" s="300">
        <f t="shared" ref="D306" si="800">SUM(D304:D305)</f>
        <v>5.806000000049151</v>
      </c>
      <c r="E306" s="300">
        <f t="shared" si="794"/>
        <v>21.547999999938796</v>
      </c>
      <c r="F306" s="300"/>
      <c r="G306" s="300">
        <f>SUM(G304:G305)</f>
        <v>11.61999999986724</v>
      </c>
      <c r="H306" s="300">
        <f t="shared" ref="H306" si="801">SUM(H304:H305)</f>
        <v>3.0240000000115872</v>
      </c>
      <c r="I306" s="300">
        <f t="shared" ref="I306" si="802">SUM(I304:I305)</f>
        <v>4.359999999988899</v>
      </c>
      <c r="J306" s="300">
        <f t="shared" si="795"/>
        <v>19.003999999867723</v>
      </c>
      <c r="K306" s="300"/>
      <c r="L306" s="300">
        <f>SUM(L304:L305)</f>
        <v>12.276999999933892</v>
      </c>
      <c r="M306" s="300">
        <f t="shared" ref="M306" si="803">SUM(M304:M305)</f>
        <v>3.4519999999888675</v>
      </c>
      <c r="N306" s="300">
        <f t="shared" ref="N306" si="804">SUM(N304:N305)</f>
        <v>4.6370000000266627</v>
      </c>
      <c r="O306" s="300">
        <f t="shared" si="796"/>
        <v>20.365999999949423</v>
      </c>
      <c r="P306" s="300"/>
      <c r="Q306" s="300">
        <f>SUM(Q304:Q305)</f>
        <v>11.77900000008972</v>
      </c>
      <c r="R306" s="300">
        <f t="shared" ref="R306" si="805">SUM(R304:R305)</f>
        <v>3.4220000000026363</v>
      </c>
      <c r="S306" s="300">
        <f t="shared" ref="S306" si="806">SUM(S304:S305)</f>
        <v>4.4680000001214175</v>
      </c>
      <c r="T306" s="300">
        <f t="shared" si="797"/>
        <v>19.669000000213774</v>
      </c>
      <c r="U306" s="300"/>
      <c r="V306" s="300">
        <f>SUM(V304:V305)</f>
        <v>11.544999999928169</v>
      </c>
      <c r="W306" s="300">
        <f t="shared" ref="W306" si="807">SUM(W304:W305)</f>
        <v>3.4709999999826979</v>
      </c>
      <c r="X306" s="300">
        <f t="shared" ref="X306" si="808">SUM(X304:X305)</f>
        <v>4.3550000000739431</v>
      </c>
      <c r="Y306" s="300">
        <f t="shared" si="798"/>
        <v>19.370999999984811</v>
      </c>
    </row>
    <row r="307" spans="1:25" ht="12.45" x14ac:dyDescent="0.3">
      <c r="C307" s="319"/>
      <c r="D307" s="319"/>
      <c r="E307" s="319"/>
      <c r="F307" s="319"/>
      <c r="G307" s="319"/>
      <c r="H307" s="319"/>
      <c r="I307" s="319"/>
      <c r="J307" s="319"/>
      <c r="K307" s="319"/>
      <c r="L307" s="319"/>
      <c r="M307" s="319"/>
      <c r="N307" s="319"/>
      <c r="O307" s="319"/>
      <c r="P307" s="319"/>
      <c r="Q307" s="319"/>
      <c r="R307" s="319"/>
      <c r="S307" s="319"/>
      <c r="T307" s="319"/>
      <c r="U307" s="319"/>
      <c r="V307" s="319"/>
      <c r="W307" s="319"/>
      <c r="X307" s="319"/>
      <c r="Y307" s="319"/>
    </row>
    <row r="308" spans="1:25" ht="12.45" x14ac:dyDescent="0.3">
      <c r="A308" s="261" t="str">
        <f>name!A45</f>
        <v>Film and music</v>
      </c>
      <c r="C308" s="263"/>
    </row>
    <row r="309" spans="1:25" ht="12.45" x14ac:dyDescent="0.3">
      <c r="A309" s="260" t="s">
        <v>356</v>
      </c>
      <c r="B309" s="300">
        <v>3.4209999999751912</v>
      </c>
      <c r="C309" s="300">
        <v>3.6040000000541625</v>
      </c>
      <c r="D309" s="300">
        <v>1.5639999999948238</v>
      </c>
      <c r="E309" s="300">
        <f>SUM(B309:D309)</f>
        <v>8.5890000000241784</v>
      </c>
      <c r="F309" s="300"/>
      <c r="G309" s="300">
        <v>1.9959999999841134</v>
      </c>
      <c r="H309" s="300">
        <v>2.2360000000336133</v>
      </c>
      <c r="I309" s="300">
        <v>0.20399999999967103</v>
      </c>
      <c r="J309" s="300">
        <f>SUM(G309:I309)</f>
        <v>4.4360000000173976</v>
      </c>
      <c r="K309" s="300"/>
      <c r="L309" s="300">
        <v>2.5419999999968881</v>
      </c>
      <c r="M309" s="300">
        <v>1.8979999999912884</v>
      </c>
      <c r="N309" s="300">
        <v>0.23500000000142598</v>
      </c>
      <c r="O309" s="300">
        <f>SUM(L309:N309)</f>
        <v>4.6749999999896019</v>
      </c>
      <c r="P309" s="300"/>
      <c r="Q309" s="300">
        <v>2.445000000032735</v>
      </c>
      <c r="R309" s="300">
        <v>1.8530000000153817</v>
      </c>
      <c r="S309" s="300">
        <v>0.23100000000300216</v>
      </c>
      <c r="T309" s="300">
        <f>SUM(Q309:S309)</f>
        <v>4.5290000000511181</v>
      </c>
      <c r="U309" s="300"/>
      <c r="V309" s="300">
        <v>2.4209999999942302</v>
      </c>
      <c r="W309" s="300">
        <v>1.8239999999836314</v>
      </c>
      <c r="X309" s="300">
        <v>0.23100000000440155</v>
      </c>
      <c r="Y309" s="300">
        <f>SUM(V309:X309)</f>
        <v>4.4759999999822631</v>
      </c>
    </row>
    <row r="310" spans="1:25" ht="12.45" x14ac:dyDescent="0.3">
      <c r="A310" s="260" t="s">
        <v>355</v>
      </c>
      <c r="B310" s="300">
        <v>2.5709999999938384</v>
      </c>
      <c r="C310" s="300">
        <v>1.4020000000103683</v>
      </c>
      <c r="D310" s="300">
        <v>2.2660000000620379</v>
      </c>
      <c r="E310" s="300">
        <f t="shared" ref="E310:E311" si="809">SUM(B310:D310)</f>
        <v>6.2390000000662447</v>
      </c>
      <c r="F310" s="300"/>
      <c r="G310" s="300">
        <v>1.4689999999976373</v>
      </c>
      <c r="H310" s="300">
        <v>0.48100000000450371</v>
      </c>
      <c r="I310" s="300">
        <v>1.1669999999991643</v>
      </c>
      <c r="J310" s="300">
        <f t="shared" ref="J310:J311" si="810">SUM(G310:I310)</f>
        <v>3.1170000000013056</v>
      </c>
      <c r="K310" s="300"/>
      <c r="L310" s="300">
        <v>1.3589999999974358</v>
      </c>
      <c r="M310" s="300">
        <v>0.90400000000540093</v>
      </c>
      <c r="N310" s="300">
        <v>1.2810000000262756</v>
      </c>
      <c r="O310" s="300">
        <f t="shared" ref="O310:O311" si="811">SUM(L310:N310)</f>
        <v>3.5440000000291123</v>
      </c>
      <c r="P310" s="300"/>
      <c r="Q310" s="300">
        <v>1.3020000000005385</v>
      </c>
      <c r="R310" s="300">
        <v>0.91200000000673132</v>
      </c>
      <c r="S310" s="300">
        <v>1.2410000000766943</v>
      </c>
      <c r="T310" s="300">
        <f t="shared" ref="T310:T311" si="812">SUM(Q310:S310)</f>
        <v>3.455000000083964</v>
      </c>
      <c r="U310" s="300"/>
      <c r="V310" s="300">
        <v>1.2650000000012882</v>
      </c>
      <c r="W310" s="300">
        <v>0.95500000001245045</v>
      </c>
      <c r="X310" s="300">
        <v>1.2300000000540219</v>
      </c>
      <c r="Y310" s="300">
        <f t="shared" ref="Y310:Y311" si="813">SUM(V310:X310)</f>
        <v>3.4500000000677602</v>
      </c>
    </row>
    <row r="311" spans="1:25" ht="12.45" x14ac:dyDescent="0.3">
      <c r="A311" s="260" t="s">
        <v>354</v>
      </c>
      <c r="B311" s="300">
        <f>SUM(B309:B310)</f>
        <v>5.9919999999690301</v>
      </c>
      <c r="C311" s="300">
        <f t="shared" ref="C311" si="814">SUM(C309:C310)</f>
        <v>5.0060000000645308</v>
      </c>
      <c r="D311" s="300">
        <f t="shared" ref="D311" si="815">SUM(D309:D310)</f>
        <v>3.8300000000568617</v>
      </c>
      <c r="E311" s="300">
        <f t="shared" si="809"/>
        <v>14.828000000090421</v>
      </c>
      <c r="F311" s="300"/>
      <c r="G311" s="300">
        <f>SUM(G309:G310)</f>
        <v>3.4649999999817505</v>
      </c>
      <c r="H311" s="300">
        <f t="shared" ref="H311" si="816">SUM(H309:H310)</f>
        <v>2.7170000000381171</v>
      </c>
      <c r="I311" s="300">
        <f t="shared" ref="I311" si="817">SUM(I309:I310)</f>
        <v>1.3709999999988354</v>
      </c>
      <c r="J311" s="300">
        <f t="shared" si="810"/>
        <v>7.5530000000187023</v>
      </c>
      <c r="K311" s="300"/>
      <c r="L311" s="300">
        <f>SUM(L309:L310)</f>
        <v>3.9009999999943239</v>
      </c>
      <c r="M311" s="300">
        <f t="shared" ref="M311" si="818">SUM(M309:M310)</f>
        <v>2.8019999999966894</v>
      </c>
      <c r="N311" s="300">
        <f t="shared" ref="N311" si="819">SUM(N309:N310)</f>
        <v>1.5160000000277016</v>
      </c>
      <c r="O311" s="300">
        <f t="shared" si="811"/>
        <v>8.2190000000187151</v>
      </c>
      <c r="P311" s="300"/>
      <c r="Q311" s="300">
        <f>SUM(Q309:Q310)</f>
        <v>3.7470000000332737</v>
      </c>
      <c r="R311" s="300">
        <f t="shared" ref="R311" si="820">SUM(R309:R310)</f>
        <v>2.7650000000221131</v>
      </c>
      <c r="S311" s="300">
        <f t="shared" ref="S311" si="821">SUM(S309:S310)</f>
        <v>1.4720000000796964</v>
      </c>
      <c r="T311" s="300">
        <f t="shared" si="812"/>
        <v>7.9840000001350839</v>
      </c>
      <c r="U311" s="300"/>
      <c r="V311" s="300">
        <f>SUM(V309:V310)</f>
        <v>3.6859999999955182</v>
      </c>
      <c r="W311" s="300">
        <f t="shared" ref="W311" si="822">SUM(W309:W310)</f>
        <v>2.7789999999960817</v>
      </c>
      <c r="X311" s="300">
        <f t="shared" ref="X311" si="823">SUM(X309:X310)</f>
        <v>1.4610000000584233</v>
      </c>
      <c r="Y311" s="300">
        <f t="shared" si="813"/>
        <v>7.9260000000500224</v>
      </c>
    </row>
    <row r="312" spans="1:25" ht="12.45" x14ac:dyDescent="0.3">
      <c r="C312" s="319"/>
      <c r="D312" s="319"/>
      <c r="E312" s="319"/>
      <c r="F312" s="319"/>
      <c r="G312" s="319"/>
      <c r="H312" s="319"/>
      <c r="I312" s="319"/>
      <c r="J312" s="319"/>
      <c r="K312" s="319"/>
      <c r="L312" s="319"/>
      <c r="M312" s="319"/>
      <c r="N312" s="319"/>
      <c r="O312" s="319"/>
      <c r="P312" s="319"/>
      <c r="Q312" s="319"/>
      <c r="R312" s="319"/>
      <c r="S312" s="319"/>
      <c r="T312" s="319"/>
      <c r="U312" s="319"/>
      <c r="V312" s="319"/>
      <c r="W312" s="319"/>
      <c r="X312" s="319"/>
      <c r="Y312" s="319"/>
    </row>
    <row r="313" spans="1:25" ht="12.45" x14ac:dyDescent="0.3">
      <c r="A313" s="261" t="str">
        <f>name!A46</f>
        <v>Broadcasting</v>
      </c>
      <c r="C313" s="263"/>
    </row>
    <row r="314" spans="1:25" ht="12.45" x14ac:dyDescent="0.3">
      <c r="A314" s="260" t="s">
        <v>356</v>
      </c>
      <c r="B314" s="300">
        <v>6.9999999999356957E-3</v>
      </c>
      <c r="C314" s="300">
        <v>2.000000000024065E-3</v>
      </c>
      <c r="D314" s="300">
        <v>1.5999999999936839E-2</v>
      </c>
      <c r="E314" s="300">
        <f>SUM(B314:D314)</f>
        <v>2.4999999999896598E-2</v>
      </c>
      <c r="F314" s="300"/>
      <c r="G314" s="300">
        <v>0.10599999999895672</v>
      </c>
      <c r="H314" s="300">
        <v>3.30000000004207E-2</v>
      </c>
      <c r="I314" s="300">
        <v>0.24199999999938612</v>
      </c>
      <c r="J314" s="300">
        <f>SUM(G314:I314)</f>
        <v>0.38099999999876355</v>
      </c>
      <c r="K314" s="300"/>
      <c r="L314" s="300">
        <v>0.13500000000001647</v>
      </c>
      <c r="M314" s="300">
        <v>2.7999999999882893E-2</v>
      </c>
      <c r="N314" s="300">
        <v>0.31300000000227979</v>
      </c>
      <c r="O314" s="300">
        <f>SUM(L314:N314)</f>
        <v>0.47600000000217912</v>
      </c>
      <c r="P314" s="300"/>
      <c r="Q314" s="300">
        <v>0.1300000000019802</v>
      </c>
      <c r="R314" s="300">
        <v>2.8000000000196403E-2</v>
      </c>
      <c r="S314" s="300">
        <v>0.29200000000406701</v>
      </c>
      <c r="T314" s="300">
        <f>SUM(Q314:S314)</f>
        <v>0.45000000000624363</v>
      </c>
      <c r="U314" s="300"/>
      <c r="V314" s="300">
        <v>0.12899999999966905</v>
      </c>
      <c r="W314" s="300">
        <v>2.6999999999783548E-2</v>
      </c>
      <c r="X314" s="300">
        <v>0.26300000000546925</v>
      </c>
      <c r="Y314" s="300">
        <f>SUM(V314:X314)</f>
        <v>0.41900000000492188</v>
      </c>
    </row>
    <row r="315" spans="1:25" ht="12.45" x14ac:dyDescent="0.3">
      <c r="A315" s="260" t="s">
        <v>355</v>
      </c>
      <c r="B315" s="300">
        <v>0.11199999999931025</v>
      </c>
      <c r="C315" s="300">
        <v>4.0000000000152795E-3</v>
      </c>
      <c r="D315" s="300">
        <v>3.5000000000947343E-2</v>
      </c>
      <c r="E315" s="300">
        <f t="shared" ref="E315:E316" si="824">SUM(B315:D315)</f>
        <v>0.15100000000027286</v>
      </c>
      <c r="F315" s="300"/>
      <c r="G315" s="300">
        <v>1.5849999999883051</v>
      </c>
      <c r="H315" s="300">
        <v>3.900000000020503E-2</v>
      </c>
      <c r="I315" s="300">
        <v>0.51199999999883294</v>
      </c>
      <c r="J315" s="300">
        <f t="shared" ref="J315:J316" si="825">SUM(G315:I315)</f>
        <v>2.1359999999873431</v>
      </c>
      <c r="K315" s="300"/>
      <c r="L315" s="300">
        <v>1.4669999999855139</v>
      </c>
      <c r="M315" s="300">
        <v>7.4000000000279786E-2</v>
      </c>
      <c r="N315" s="300">
        <v>0.56200000001015982</v>
      </c>
      <c r="O315" s="300">
        <f t="shared" ref="O315:O316" si="826">SUM(L315:N315)</f>
        <v>2.1029999999959537</v>
      </c>
      <c r="P315" s="300"/>
      <c r="Q315" s="300">
        <v>1.4049999999884732</v>
      </c>
      <c r="R315" s="300">
        <v>7.4000000000333049E-2</v>
      </c>
      <c r="S315" s="300">
        <v>0.54400000003180726</v>
      </c>
      <c r="T315" s="300">
        <f t="shared" ref="T315:T316" si="827">SUM(Q315:S315)</f>
        <v>2.0230000000206134</v>
      </c>
      <c r="U315" s="300"/>
      <c r="V315" s="300">
        <v>1.36499999997838</v>
      </c>
      <c r="W315" s="300">
        <v>7.8000000000675251E-2</v>
      </c>
      <c r="X315" s="300">
        <v>0.54000000002078807</v>
      </c>
      <c r="Y315" s="300">
        <f t="shared" ref="Y315:Y316" si="828">SUM(V315:X315)</f>
        <v>1.9829999999998433</v>
      </c>
    </row>
    <row r="316" spans="1:25" ht="12.45" x14ac:dyDescent="0.3">
      <c r="A316" s="260" t="s">
        <v>354</v>
      </c>
      <c r="B316" s="300">
        <f>SUM(B314:B315)</f>
        <v>0.11899999999924595</v>
      </c>
      <c r="C316" s="300">
        <f t="shared" ref="C316" si="829">SUM(C314:C315)</f>
        <v>6.0000000000393445E-3</v>
      </c>
      <c r="D316" s="300">
        <f t="shared" ref="D316" si="830">SUM(D314:D315)</f>
        <v>5.1000000000884185E-2</v>
      </c>
      <c r="E316" s="300">
        <f t="shared" si="824"/>
        <v>0.17600000000016947</v>
      </c>
      <c r="F316" s="300"/>
      <c r="G316" s="300">
        <f>SUM(G314:G315)</f>
        <v>1.6909999999872618</v>
      </c>
      <c r="H316" s="300">
        <f t="shared" ref="H316" si="831">SUM(H314:H315)</f>
        <v>7.200000000062573E-2</v>
      </c>
      <c r="I316" s="300">
        <f t="shared" ref="I316" si="832">SUM(I314:I315)</f>
        <v>0.75399999999821909</v>
      </c>
      <c r="J316" s="300">
        <f t="shared" si="825"/>
        <v>2.5169999999861066</v>
      </c>
      <c r="K316" s="300"/>
      <c r="L316" s="300">
        <f>SUM(L314:L315)</f>
        <v>1.6019999999855303</v>
      </c>
      <c r="M316" s="300">
        <f t="shared" ref="M316" si="833">SUM(M314:M315)</f>
        <v>0.10200000000016268</v>
      </c>
      <c r="N316" s="300">
        <f t="shared" ref="N316" si="834">SUM(N314:N315)</f>
        <v>0.8750000000124396</v>
      </c>
      <c r="O316" s="300">
        <f t="shared" si="826"/>
        <v>2.5789999999981328</v>
      </c>
      <c r="P316" s="300"/>
      <c r="Q316" s="300">
        <f>SUM(Q314:Q315)</f>
        <v>1.5349999999904536</v>
      </c>
      <c r="R316" s="300">
        <f t="shared" ref="R316" si="835">SUM(R314:R315)</f>
        <v>0.10200000000052944</v>
      </c>
      <c r="S316" s="300">
        <f t="shared" ref="S316" si="836">SUM(S314:S315)</f>
        <v>0.83600000003587427</v>
      </c>
      <c r="T316" s="300">
        <f t="shared" si="827"/>
        <v>2.4730000000268575</v>
      </c>
      <c r="U316" s="300"/>
      <c r="V316" s="300">
        <f>SUM(V314:V315)</f>
        <v>1.4939999999780489</v>
      </c>
      <c r="W316" s="300">
        <f t="shared" ref="W316" si="837">SUM(W314:W315)</f>
        <v>0.1050000000004588</v>
      </c>
      <c r="X316" s="300">
        <f t="shared" ref="X316" si="838">SUM(X314:X315)</f>
        <v>0.80300000002625738</v>
      </c>
      <c r="Y316" s="300">
        <f t="shared" si="828"/>
        <v>2.4020000000047652</v>
      </c>
    </row>
    <row r="317" spans="1:25" ht="12.45" x14ac:dyDescent="0.3">
      <c r="C317" s="263"/>
    </row>
    <row r="318" spans="1:25" ht="12.45" x14ac:dyDescent="0.3">
      <c r="A318" s="261" t="s">
        <v>364</v>
      </c>
      <c r="C318" s="263"/>
    </row>
    <row r="319" spans="1:25" ht="12.45" x14ac:dyDescent="0.3">
      <c r="A319" s="260" t="s">
        <v>356</v>
      </c>
      <c r="B319" s="300">
        <f>SUM(B304,B309,B314)</f>
        <v>7.7439999999080378</v>
      </c>
      <c r="C319" s="300">
        <f t="shared" ref="C319:D319" si="839">SUM(C304,C309,C314)</f>
        <v>6.0020000000720071</v>
      </c>
      <c r="D319" s="300">
        <f t="shared" si="839"/>
        <v>4.3589999999915765</v>
      </c>
      <c r="E319" s="300">
        <f>SUM(B319:D319)</f>
        <v>18.104999999971621</v>
      </c>
      <c r="F319" s="300"/>
      <c r="G319" s="300">
        <f>SUM(G304,G309,G314)</f>
        <v>6.473999999907349</v>
      </c>
      <c r="H319" s="300">
        <f t="shared" ref="H319:I319" si="840">SUM(H304,H309,H314)</f>
        <v>4.432000000052204</v>
      </c>
      <c r="I319" s="300">
        <f t="shared" si="840"/>
        <v>1.9159999999998456</v>
      </c>
      <c r="J319" s="300">
        <f>SUM(G319:I319)</f>
        <v>12.821999999959399</v>
      </c>
      <c r="K319" s="300"/>
      <c r="L319" s="300">
        <f>SUM(L304,L309,L314)</f>
        <v>8.2439999999992093</v>
      </c>
      <c r="M319" s="300">
        <f t="shared" ref="M319:N319" si="841">SUM(M304,M309,M314)</f>
        <v>3.7619999999862945</v>
      </c>
      <c r="N319" s="300">
        <f t="shared" si="841"/>
        <v>2.0150000000078947</v>
      </c>
      <c r="O319" s="300">
        <f>SUM(L319:N319)</f>
        <v>14.020999999993398</v>
      </c>
      <c r="P319" s="300"/>
      <c r="Q319" s="300">
        <f>SUM(Q304,Q309,Q314)</f>
        <v>7.9290000001763854</v>
      </c>
      <c r="R319" s="300">
        <f t="shared" ref="R319:S319" si="842">SUM(R304,R309,R314)</f>
        <v>3.6730000000259824</v>
      </c>
      <c r="S319" s="300">
        <f t="shared" si="842"/>
        <v>1.9190000000223044</v>
      </c>
      <c r="T319" s="300">
        <f>SUM(Q319:S319)</f>
        <v>13.521000000224673</v>
      </c>
      <c r="U319" s="300"/>
      <c r="V319" s="300">
        <f>SUM(V304,V309,V314)</f>
        <v>7.8520000000131596</v>
      </c>
      <c r="W319" s="300">
        <f t="shared" ref="W319:X319" si="843">SUM(W304,W309,W314)</f>
        <v>3.6149999999763298</v>
      </c>
      <c r="X319" s="300">
        <f t="shared" si="843"/>
        <v>1.8030000000324657</v>
      </c>
      <c r="Y319" s="300">
        <f>SUM(V319:X319)</f>
        <v>13.270000000021955</v>
      </c>
    </row>
    <row r="320" spans="1:25" ht="12.45" x14ac:dyDescent="0.3">
      <c r="A320" s="260" t="s">
        <v>355</v>
      </c>
      <c r="B320" s="300">
        <f>SUM(B305,B310,B315)</f>
        <v>9.9909999999427566</v>
      </c>
      <c r="C320" s="300">
        <f t="shared" ref="C320:D320" si="844">SUM(C305,C310,C315)</f>
        <v>3.1279999999996906</v>
      </c>
      <c r="D320" s="300">
        <f t="shared" si="844"/>
        <v>5.3280000001153205</v>
      </c>
      <c r="E320" s="300">
        <f t="shared" ref="E320:E321" si="845">SUM(B320:D320)</f>
        <v>18.44700000005777</v>
      </c>
      <c r="F320" s="300"/>
      <c r="G320" s="300">
        <f>SUM(G305,G310,G315)</f>
        <v>10.301999999928904</v>
      </c>
      <c r="H320" s="300">
        <f t="shared" ref="H320:I320" si="846">SUM(H305,H310,H315)</f>
        <v>1.3809999999981264</v>
      </c>
      <c r="I320" s="300">
        <f t="shared" si="846"/>
        <v>4.568999999986108</v>
      </c>
      <c r="J320" s="300">
        <f t="shared" ref="J320:J321" si="847">SUM(G320:I320)</f>
        <v>16.251999999913139</v>
      </c>
      <c r="K320" s="300"/>
      <c r="L320" s="300">
        <f>SUM(L305,L310,L315)</f>
        <v>9.5359999999145355</v>
      </c>
      <c r="M320" s="300">
        <f t="shared" ref="M320:N320" si="848">SUM(M305,M310,M315)</f>
        <v>2.5939999999994248</v>
      </c>
      <c r="N320" s="300">
        <f t="shared" si="848"/>
        <v>5.0130000000589092</v>
      </c>
      <c r="O320" s="300">
        <f t="shared" ref="O320:O321" si="849">SUM(L320:N320)</f>
        <v>17.142999999972869</v>
      </c>
      <c r="P320" s="300"/>
      <c r="Q320" s="300">
        <f>SUM(Q305,Q310,Q315)</f>
        <v>9.1319999999370616</v>
      </c>
      <c r="R320" s="300">
        <f t="shared" ref="R320:S320" si="850">SUM(R305,R310,R315)</f>
        <v>2.6159999999992962</v>
      </c>
      <c r="S320" s="300">
        <f t="shared" si="850"/>
        <v>4.8570000002146836</v>
      </c>
      <c r="T320" s="300">
        <f t="shared" ref="T320:T321" si="851">SUM(Q320:S320)</f>
        <v>16.60500000015104</v>
      </c>
      <c r="U320" s="300"/>
      <c r="V320" s="300">
        <f>SUM(V305,V310,V315)</f>
        <v>8.8729999998885791</v>
      </c>
      <c r="W320" s="300">
        <f t="shared" ref="W320:X320" si="852">SUM(W305,W310,W315)</f>
        <v>2.7400000000029086</v>
      </c>
      <c r="X320" s="300">
        <f t="shared" si="852"/>
        <v>4.8160000001261585</v>
      </c>
      <c r="Y320" s="300">
        <f t="shared" ref="Y320:Y321" si="853">SUM(V320:X320)</f>
        <v>16.429000000017645</v>
      </c>
    </row>
    <row r="321" spans="1:25" ht="12.45" x14ac:dyDescent="0.3">
      <c r="A321" s="264" t="s">
        <v>354</v>
      </c>
      <c r="B321" s="301">
        <f>SUM(B319:B320)</f>
        <v>17.734999999850793</v>
      </c>
      <c r="C321" s="301">
        <f t="shared" ref="C321" si="854">SUM(C319:C320)</f>
        <v>9.1300000000716981</v>
      </c>
      <c r="D321" s="301">
        <f t="shared" ref="D321" si="855">SUM(D319:D320)</f>
        <v>9.687000000106897</v>
      </c>
      <c r="E321" s="301">
        <f t="shared" si="845"/>
        <v>36.552000000029388</v>
      </c>
      <c r="F321" s="301"/>
      <c r="G321" s="301">
        <f>SUM(G319:G320)</f>
        <v>16.775999999836252</v>
      </c>
      <c r="H321" s="301">
        <f t="shared" ref="H321" si="856">SUM(H319:H320)</f>
        <v>5.8130000000503301</v>
      </c>
      <c r="I321" s="301">
        <f t="shared" ref="I321" si="857">SUM(I319:I320)</f>
        <v>6.4849999999859538</v>
      </c>
      <c r="J321" s="301">
        <f t="shared" si="847"/>
        <v>29.073999999872534</v>
      </c>
      <c r="K321" s="301"/>
      <c r="L321" s="301">
        <f>SUM(L319:L320)</f>
        <v>17.779999999913745</v>
      </c>
      <c r="M321" s="301">
        <f t="shared" ref="M321" si="858">SUM(M319:M320)</f>
        <v>6.3559999999857197</v>
      </c>
      <c r="N321" s="301">
        <f t="shared" ref="N321" si="859">SUM(N319:N320)</f>
        <v>7.0280000000668039</v>
      </c>
      <c r="O321" s="301">
        <f t="shared" si="849"/>
        <v>31.163999999966268</v>
      </c>
      <c r="P321" s="301"/>
      <c r="Q321" s="301">
        <f>SUM(Q319:Q320)</f>
        <v>17.061000000113445</v>
      </c>
      <c r="R321" s="301">
        <f t="shared" ref="R321" si="860">SUM(R319:R320)</f>
        <v>6.289000000025279</v>
      </c>
      <c r="S321" s="301">
        <f t="shared" ref="S321" si="861">SUM(S319:S320)</f>
        <v>6.776000000236988</v>
      </c>
      <c r="T321" s="301">
        <f t="shared" si="851"/>
        <v>30.126000000375711</v>
      </c>
      <c r="U321" s="301"/>
      <c r="V321" s="301">
        <f>SUM(V319:V320)</f>
        <v>16.72499999990174</v>
      </c>
      <c r="W321" s="301">
        <f t="shared" ref="W321" si="862">SUM(W319:W320)</f>
        <v>6.3549999999792384</v>
      </c>
      <c r="X321" s="301">
        <f t="shared" ref="X321" si="863">SUM(X319:X320)</f>
        <v>6.619000000158624</v>
      </c>
      <c r="Y321" s="301">
        <f t="shared" si="853"/>
        <v>29.699000000039604</v>
      </c>
    </row>
    <row r="322" spans="1:25" ht="12.45" x14ac:dyDescent="0.3">
      <c r="C322" s="263"/>
    </row>
    <row r="323" spans="1:25" ht="12.45" x14ac:dyDescent="0.3">
      <c r="C323" s="263"/>
    </row>
    <row r="324" spans="1:25" x14ac:dyDescent="0.35">
      <c r="A324" s="262"/>
    </row>
    <row r="325" spans="1:25" ht="14.15" x14ac:dyDescent="0.35">
      <c r="A325" s="265" t="str">
        <f>"Industry 13 : "&amp; name!B16</f>
        <v>Industry 13 : Information technology</v>
      </c>
      <c r="B325" s="372">
        <f>$B$5</f>
        <v>2015</v>
      </c>
      <c r="C325" s="372"/>
      <c r="D325" s="372"/>
      <c r="E325" s="372"/>
      <c r="F325" s="320"/>
      <c r="G325" s="372">
        <f>$G$5</f>
        <v>2019</v>
      </c>
      <c r="H325" s="372"/>
      <c r="I325" s="372"/>
      <c r="J325" s="372"/>
      <c r="K325" s="320"/>
      <c r="L325" s="372">
        <f>$L$5</f>
        <v>2020</v>
      </c>
      <c r="M325" s="372"/>
      <c r="N325" s="372"/>
      <c r="O325" s="372"/>
      <c r="P325" s="318"/>
      <c r="Q325" s="372">
        <f>$Q$5</f>
        <v>2025</v>
      </c>
      <c r="R325" s="372"/>
      <c r="S325" s="372"/>
      <c r="T325" s="372"/>
      <c r="U325" s="320"/>
      <c r="V325" s="372">
        <f>$V$5</f>
        <v>2035</v>
      </c>
      <c r="W325" s="372"/>
      <c r="X325" s="372"/>
      <c r="Y325" s="372"/>
    </row>
    <row r="326" spans="1:25" ht="12.45" x14ac:dyDescent="0.3">
      <c r="A326" s="264"/>
      <c r="B326" s="268" t="str">
        <f>$B$6</f>
        <v>FT</v>
      </c>
      <c r="C326" s="268" t="str">
        <f>$C$6</f>
        <v>PT</v>
      </c>
      <c r="D326" s="268" t="str">
        <f>$D$6</f>
        <v>SE</v>
      </c>
      <c r="E326" s="268" t="str">
        <f>$E$6</f>
        <v>Total</v>
      </c>
      <c r="F326" s="268"/>
      <c r="G326" s="268" t="str">
        <f>$B$6</f>
        <v>FT</v>
      </c>
      <c r="H326" s="268" t="str">
        <f>$C$6</f>
        <v>PT</v>
      </c>
      <c r="I326" s="268" t="str">
        <f>$D$6</f>
        <v>SE</v>
      </c>
      <c r="J326" s="268" t="str">
        <f>$E$6</f>
        <v>Total</v>
      </c>
      <c r="K326" s="268"/>
      <c r="L326" s="268" t="str">
        <f>$L$6</f>
        <v>FT</v>
      </c>
      <c r="M326" s="268" t="str">
        <f>$M$6</f>
        <v>PT</v>
      </c>
      <c r="N326" s="268" t="str">
        <f>$N$6</f>
        <v>SE</v>
      </c>
      <c r="O326" s="268" t="str">
        <f>$O$6</f>
        <v>Total</v>
      </c>
      <c r="P326" s="268"/>
      <c r="Q326" s="268" t="str">
        <f>$L$6</f>
        <v>FT</v>
      </c>
      <c r="R326" s="268" t="str">
        <f>$M$6</f>
        <v>PT</v>
      </c>
      <c r="S326" s="268" t="str">
        <f>$N$6</f>
        <v>SE</v>
      </c>
      <c r="T326" s="268" t="str">
        <f>$O$6</f>
        <v>Total</v>
      </c>
      <c r="U326" s="268"/>
      <c r="V326" s="268" t="str">
        <f>$V$6</f>
        <v>FT</v>
      </c>
      <c r="W326" s="268" t="str">
        <f>$W$6</f>
        <v>PT</v>
      </c>
      <c r="X326" s="268" t="str">
        <f>$X$6</f>
        <v>SE</v>
      </c>
      <c r="Y326" s="268" t="str">
        <f>$Y$6</f>
        <v>Total</v>
      </c>
    </row>
    <row r="327" spans="1:25" ht="12.45" x14ac:dyDescent="0.3">
      <c r="C327" s="319"/>
      <c r="D327" s="319"/>
      <c r="E327" s="319"/>
      <c r="F327" s="319"/>
      <c r="G327" s="319"/>
      <c r="H327" s="319"/>
      <c r="I327" s="319"/>
      <c r="J327" s="319"/>
      <c r="K327" s="319"/>
      <c r="L327" s="319"/>
      <c r="M327" s="319"/>
      <c r="N327" s="319"/>
      <c r="O327" s="319"/>
      <c r="P327" s="319"/>
      <c r="Q327" s="319"/>
      <c r="R327" s="319"/>
      <c r="S327" s="319"/>
      <c r="T327" s="319"/>
      <c r="U327" s="319"/>
      <c r="V327" s="319"/>
      <c r="W327" s="319"/>
      <c r="X327" s="319"/>
      <c r="Y327" s="319"/>
    </row>
    <row r="328" spans="1:25" ht="12.45" x14ac:dyDescent="0.3">
      <c r="A328" s="261" t="str">
        <f>name!A47</f>
        <v>Telecommunications</v>
      </c>
      <c r="C328" s="263"/>
    </row>
    <row r="329" spans="1:25" ht="12.45" x14ac:dyDescent="0.3">
      <c r="A329" s="260" t="s">
        <v>356</v>
      </c>
      <c r="B329" s="300">
        <v>1.7139999999790174</v>
      </c>
      <c r="C329" s="300">
        <v>0.40500000000458131</v>
      </c>
      <c r="D329" s="300">
        <v>0.21000000000053742</v>
      </c>
      <c r="E329" s="300">
        <f>SUM(B329:D329)</f>
        <v>2.328999999984136</v>
      </c>
      <c r="F329" s="300"/>
      <c r="G329" s="300">
        <v>1.8649999999744062</v>
      </c>
      <c r="H329" s="300">
        <v>0.53400000000520798</v>
      </c>
      <c r="I329" s="300">
        <v>2.5000000000136149E-2</v>
      </c>
      <c r="J329" s="300">
        <f>SUM(G329:I329)</f>
        <v>2.4239999999797504</v>
      </c>
      <c r="K329" s="300"/>
      <c r="L329" s="300">
        <v>2.689999999982692</v>
      </c>
      <c r="M329" s="300">
        <v>0.32700000000661456</v>
      </c>
      <c r="N329" s="300">
        <v>1.3999999999962209E-2</v>
      </c>
      <c r="O329" s="300">
        <f>SUM(L329:N329)</f>
        <v>3.0309999999892687</v>
      </c>
      <c r="P329" s="300"/>
      <c r="Q329" s="300">
        <v>2.8640000000759018</v>
      </c>
      <c r="R329" s="300">
        <v>0.33500000001146918</v>
      </c>
      <c r="S329" s="300">
        <v>1.200000000001604E-2</v>
      </c>
      <c r="T329" s="300">
        <f>SUM(Q329:S329)</f>
        <v>3.2110000000873868</v>
      </c>
      <c r="U329" s="300"/>
      <c r="V329" s="300">
        <v>3.1230000000012583</v>
      </c>
      <c r="W329" s="300">
        <v>0.33900000000342106</v>
      </c>
      <c r="X329" s="300">
        <v>1.0999999999984222E-2</v>
      </c>
      <c r="Y329" s="300">
        <f>SUM(V329:X329)</f>
        <v>3.4730000000046637</v>
      </c>
    </row>
    <row r="330" spans="1:25" ht="12.45" x14ac:dyDescent="0.3">
      <c r="A330" s="260" t="s">
        <v>355</v>
      </c>
      <c r="B330" s="300">
        <v>11.70299999988222</v>
      </c>
      <c r="C330" s="300">
        <v>0.21200000000101965</v>
      </c>
      <c r="D330" s="300">
        <v>0.91000000000728476</v>
      </c>
      <c r="E330" s="300">
        <f t="shared" ref="E330:E331" si="864">SUM(B330:D330)</f>
        <v>12.824999999890524</v>
      </c>
      <c r="F330" s="300"/>
      <c r="G330" s="300">
        <v>15.634999999812223</v>
      </c>
      <c r="H330" s="300">
        <v>0.20300000000136431</v>
      </c>
      <c r="I330" s="300">
        <v>0.72399999999851861</v>
      </c>
      <c r="J330" s="300">
        <f t="shared" ref="J330:J331" si="865">SUM(G330:I330)</f>
        <v>16.561999999812105</v>
      </c>
      <c r="K330" s="300"/>
      <c r="L330" s="300">
        <v>13.283999999789874</v>
      </c>
      <c r="M330" s="300">
        <v>0.41400000000018983</v>
      </c>
      <c r="N330" s="300">
        <v>1.230000000000403</v>
      </c>
      <c r="O330" s="300">
        <f t="shared" ref="O330:O331" si="866">SUM(L330:N330)</f>
        <v>14.927999999790467</v>
      </c>
      <c r="P330" s="300"/>
      <c r="Q330" s="300">
        <v>13.719999999820748</v>
      </c>
      <c r="R330" s="300">
        <v>0.43400000000190492</v>
      </c>
      <c r="S330" s="300">
        <v>1.3090000000196598</v>
      </c>
      <c r="T330" s="300">
        <f t="shared" ref="T330:T331" si="867">SUM(Q330:S330)</f>
        <v>15.462999999842314</v>
      </c>
      <c r="U330" s="300"/>
      <c r="V330" s="300">
        <v>14.187999999690131</v>
      </c>
      <c r="W330" s="300">
        <v>0.45700000000293595</v>
      </c>
      <c r="X330" s="300">
        <v>1.3990000000050047</v>
      </c>
      <c r="Y330" s="300">
        <f t="shared" ref="Y330:Y331" si="868">SUM(V330:X330)</f>
        <v>16.04399999969807</v>
      </c>
    </row>
    <row r="331" spans="1:25" ht="12.45" x14ac:dyDescent="0.3">
      <c r="A331" s="260" t="s">
        <v>354</v>
      </c>
      <c r="B331" s="300">
        <f>SUM(B329:B330)</f>
        <v>13.416999999861238</v>
      </c>
      <c r="C331" s="300">
        <f t="shared" ref="C331" si="869">SUM(C329:C330)</f>
        <v>0.61700000000560096</v>
      </c>
      <c r="D331" s="300">
        <f t="shared" ref="D331" si="870">SUM(D329:D330)</f>
        <v>1.1200000000078223</v>
      </c>
      <c r="E331" s="300">
        <f t="shared" si="864"/>
        <v>15.153999999874662</v>
      </c>
      <c r="F331" s="300"/>
      <c r="G331" s="300">
        <f>SUM(G329:G330)</f>
        <v>17.499999999786628</v>
      </c>
      <c r="H331" s="300">
        <f t="shared" ref="H331" si="871">SUM(H329:H330)</f>
        <v>0.73700000000657229</v>
      </c>
      <c r="I331" s="300">
        <f t="shared" ref="I331" si="872">SUM(I329:I330)</f>
        <v>0.74899999999865474</v>
      </c>
      <c r="J331" s="300">
        <f t="shared" si="865"/>
        <v>18.985999999791854</v>
      </c>
      <c r="K331" s="300"/>
      <c r="L331" s="300">
        <f>SUM(L329:L330)</f>
        <v>15.973999999772566</v>
      </c>
      <c r="M331" s="300">
        <f t="shared" ref="M331" si="873">SUM(M329:M330)</f>
        <v>0.74100000000680444</v>
      </c>
      <c r="N331" s="300">
        <f t="shared" ref="N331" si="874">SUM(N329:N330)</f>
        <v>1.2440000000003653</v>
      </c>
      <c r="O331" s="300">
        <f t="shared" si="866"/>
        <v>17.958999999779735</v>
      </c>
      <c r="P331" s="300"/>
      <c r="Q331" s="300">
        <f>SUM(Q329:Q330)</f>
        <v>16.583999999896651</v>
      </c>
      <c r="R331" s="300">
        <f t="shared" ref="R331" si="875">SUM(R329:R330)</f>
        <v>0.7690000000133741</v>
      </c>
      <c r="S331" s="300">
        <f t="shared" ref="S331" si="876">SUM(S329:S330)</f>
        <v>1.3210000000196758</v>
      </c>
      <c r="T331" s="300">
        <f t="shared" si="867"/>
        <v>18.673999999929702</v>
      </c>
      <c r="U331" s="300"/>
      <c r="V331" s="300">
        <f>SUM(V329:V330)</f>
        <v>17.31099999969139</v>
      </c>
      <c r="W331" s="300">
        <f t="shared" ref="W331" si="877">SUM(W329:W330)</f>
        <v>0.79600000000635696</v>
      </c>
      <c r="X331" s="300">
        <f t="shared" ref="X331" si="878">SUM(X329:X330)</f>
        <v>1.4100000000049888</v>
      </c>
      <c r="Y331" s="300">
        <f t="shared" si="868"/>
        <v>19.516999999702737</v>
      </c>
    </row>
    <row r="332" spans="1:25" ht="12.45" x14ac:dyDescent="0.3">
      <c r="C332" s="319"/>
      <c r="D332" s="319"/>
      <c r="E332" s="319"/>
      <c r="F332" s="319"/>
      <c r="G332" s="319"/>
      <c r="H332" s="319"/>
      <c r="I332" s="319"/>
      <c r="J332" s="319"/>
      <c r="K332" s="319"/>
      <c r="L332" s="319"/>
      <c r="M332" s="319"/>
      <c r="N332" s="319"/>
      <c r="O332" s="319"/>
      <c r="P332" s="319"/>
      <c r="Q332" s="319"/>
      <c r="R332" s="319"/>
      <c r="S332" s="319"/>
      <c r="T332" s="319"/>
      <c r="U332" s="319"/>
      <c r="V332" s="319"/>
      <c r="W332" s="319"/>
      <c r="X332" s="319"/>
      <c r="Y332" s="319"/>
    </row>
    <row r="333" spans="1:25" ht="12.45" x14ac:dyDescent="0.3">
      <c r="A333" s="261" t="str">
        <f>name!A48</f>
        <v>Computing services</v>
      </c>
      <c r="C333" s="263"/>
    </row>
    <row r="334" spans="1:25" ht="12.45" x14ac:dyDescent="0.3">
      <c r="A334" s="260" t="s">
        <v>356</v>
      </c>
      <c r="B334" s="300">
        <v>12.845999999806359</v>
      </c>
      <c r="C334" s="300">
        <v>3.6749999999313681</v>
      </c>
      <c r="D334" s="300">
        <v>1.373999999996635</v>
      </c>
      <c r="E334" s="300">
        <f>SUM(B334:D334)</f>
        <v>17.894999999734363</v>
      </c>
      <c r="F334" s="300"/>
      <c r="G334" s="300">
        <v>10.987999999830359</v>
      </c>
      <c r="H334" s="300">
        <v>6.5999999999068306</v>
      </c>
      <c r="I334" s="300">
        <v>0.2249999999999435</v>
      </c>
      <c r="J334" s="300">
        <f>SUM(G334:I334)</f>
        <v>17.812999999737134</v>
      </c>
      <c r="K334" s="300"/>
      <c r="L334" s="300">
        <v>15.848000000007701</v>
      </c>
      <c r="M334" s="300">
        <v>4.0400000000311485</v>
      </c>
      <c r="N334" s="300">
        <v>0.61400000000157362</v>
      </c>
      <c r="O334" s="300">
        <f>SUM(L334:N334)</f>
        <v>20.502000000040425</v>
      </c>
      <c r="P334" s="300"/>
      <c r="Q334" s="300">
        <v>16.872000000402096</v>
      </c>
      <c r="R334" s="300">
        <v>4.1459999999992938</v>
      </c>
      <c r="S334" s="300">
        <v>0.65100000000428793</v>
      </c>
      <c r="T334" s="300">
        <f>SUM(Q334:S334)</f>
        <v>21.669000000405678</v>
      </c>
      <c r="U334" s="300"/>
      <c r="V334" s="300">
        <v>18.39700000003867</v>
      </c>
      <c r="W334" s="300">
        <v>4.1860000000322888</v>
      </c>
      <c r="X334" s="300">
        <v>0.68600000000498484</v>
      </c>
      <c r="Y334" s="300">
        <f>SUM(V334:X334)</f>
        <v>23.269000000075945</v>
      </c>
    </row>
    <row r="335" spans="1:25" ht="12.45" x14ac:dyDescent="0.3">
      <c r="A335" s="260" t="s">
        <v>355</v>
      </c>
      <c r="B335" s="300">
        <v>38.962999999539676</v>
      </c>
      <c r="C335" s="300">
        <v>1.4579999999784539</v>
      </c>
      <c r="D335" s="300">
        <v>3.1420000000377315</v>
      </c>
      <c r="E335" s="300">
        <f t="shared" ref="E335:E336" si="879">SUM(B335:D335)</f>
        <v>43.562999999555863</v>
      </c>
      <c r="F335" s="300"/>
      <c r="G335" s="300">
        <v>40.908999999378238</v>
      </c>
      <c r="H335" s="300">
        <v>1.9089999999683198</v>
      </c>
      <c r="I335" s="300">
        <v>2.2499999999831264</v>
      </c>
      <c r="J335" s="300">
        <f t="shared" ref="J335:J336" si="880">SUM(G335:I335)</f>
        <v>45.067999999329686</v>
      </c>
      <c r="K335" s="300"/>
      <c r="L335" s="300">
        <v>34.758999999298268</v>
      </c>
      <c r="M335" s="300">
        <v>3.8889999999697382</v>
      </c>
      <c r="N335" s="300">
        <v>3.8240000000029757</v>
      </c>
      <c r="O335" s="300">
        <f t="shared" ref="O335:O336" si="881">SUM(L335:N335)</f>
        <v>42.471999999270984</v>
      </c>
      <c r="P335" s="300"/>
      <c r="Q335" s="300">
        <v>35.898999999340845</v>
      </c>
      <c r="R335" s="300">
        <v>4.0769999999585957</v>
      </c>
      <c r="S335" s="300">
        <v>4.0700000000992098</v>
      </c>
      <c r="T335" s="300">
        <f t="shared" ref="T335:T336" si="882">SUM(Q335:S335)</f>
        <v>44.045999999398646</v>
      </c>
      <c r="U335" s="300"/>
      <c r="V335" s="300">
        <v>37.123999998983997</v>
      </c>
      <c r="W335" s="300">
        <v>4.2959999999358649</v>
      </c>
      <c r="X335" s="300">
        <v>4.3500000000221233</v>
      </c>
      <c r="Y335" s="300">
        <f t="shared" ref="Y335:Y336" si="883">SUM(V335:X335)</f>
        <v>45.769999998941984</v>
      </c>
    </row>
    <row r="336" spans="1:25" ht="12.45" x14ac:dyDescent="0.3">
      <c r="A336" s="260" t="s">
        <v>354</v>
      </c>
      <c r="B336" s="300">
        <f>SUM(B334:B335)</f>
        <v>51.808999999346035</v>
      </c>
      <c r="C336" s="300">
        <f t="shared" ref="C336" si="884">SUM(C334:C335)</f>
        <v>5.1329999999098224</v>
      </c>
      <c r="D336" s="300">
        <f t="shared" ref="D336" si="885">SUM(D334:D335)</f>
        <v>4.5160000000343663</v>
      </c>
      <c r="E336" s="300">
        <f t="shared" si="879"/>
        <v>61.457999999290223</v>
      </c>
      <c r="F336" s="300"/>
      <c r="G336" s="300">
        <f>SUM(G334:G335)</f>
        <v>51.896999999208596</v>
      </c>
      <c r="H336" s="300">
        <f t="shared" ref="H336" si="886">SUM(H334:H335)</f>
        <v>8.5089999998751509</v>
      </c>
      <c r="I336" s="300">
        <f t="shared" ref="I336" si="887">SUM(I334:I335)</f>
        <v>2.4749999999830701</v>
      </c>
      <c r="J336" s="300">
        <f t="shared" si="880"/>
        <v>62.880999999066816</v>
      </c>
      <c r="K336" s="300"/>
      <c r="L336" s="300">
        <f>SUM(L334:L335)</f>
        <v>50.60699999930597</v>
      </c>
      <c r="M336" s="300">
        <f t="shared" ref="M336" si="888">SUM(M334:M335)</f>
        <v>7.9290000000008867</v>
      </c>
      <c r="N336" s="300">
        <f t="shared" ref="N336" si="889">SUM(N334:N335)</f>
        <v>4.438000000004549</v>
      </c>
      <c r="O336" s="300">
        <f t="shared" si="881"/>
        <v>62.973999999311403</v>
      </c>
      <c r="P336" s="300"/>
      <c r="Q336" s="300">
        <f>SUM(Q334:Q335)</f>
        <v>52.770999999742941</v>
      </c>
      <c r="R336" s="300">
        <f t="shared" ref="R336" si="890">SUM(R334:R335)</f>
        <v>8.2229999999578887</v>
      </c>
      <c r="S336" s="300">
        <f t="shared" ref="S336" si="891">SUM(S334:S335)</f>
        <v>4.7210000001034977</v>
      </c>
      <c r="T336" s="300">
        <f t="shared" si="882"/>
        <v>65.714999999804334</v>
      </c>
      <c r="U336" s="300"/>
      <c r="V336" s="300">
        <f>SUM(V334:V335)</f>
        <v>55.520999999022663</v>
      </c>
      <c r="W336" s="300">
        <f t="shared" ref="W336" si="892">SUM(W334:W335)</f>
        <v>8.4819999999681528</v>
      </c>
      <c r="X336" s="300">
        <f t="shared" ref="X336" si="893">SUM(X334:X335)</f>
        <v>5.0360000000271086</v>
      </c>
      <c r="Y336" s="300">
        <f t="shared" si="883"/>
        <v>69.038999999017932</v>
      </c>
    </row>
    <row r="337" spans="1:25" ht="12.45" x14ac:dyDescent="0.3">
      <c r="C337" s="319"/>
      <c r="D337" s="319"/>
      <c r="E337" s="319"/>
      <c r="F337" s="319"/>
      <c r="G337" s="319"/>
      <c r="H337" s="319"/>
      <c r="I337" s="319"/>
      <c r="J337" s="319"/>
      <c r="K337" s="319"/>
      <c r="L337" s="319"/>
      <c r="M337" s="319"/>
      <c r="N337" s="319"/>
      <c r="O337" s="319"/>
      <c r="P337" s="319"/>
      <c r="Q337" s="319"/>
      <c r="R337" s="319"/>
      <c r="S337" s="319"/>
      <c r="T337" s="319"/>
      <c r="U337" s="319"/>
      <c r="V337" s="319"/>
      <c r="W337" s="319"/>
      <c r="X337" s="319"/>
      <c r="Y337" s="319"/>
    </row>
    <row r="338" spans="1:25" ht="12.45" x14ac:dyDescent="0.3">
      <c r="A338" s="261" t="str">
        <f>name!A49</f>
        <v>Information services</v>
      </c>
      <c r="C338" s="263"/>
    </row>
    <row r="339" spans="1:25" ht="12.45" x14ac:dyDescent="0.3">
      <c r="A339" s="260" t="s">
        <v>356</v>
      </c>
      <c r="B339" s="300">
        <v>1.4719999999891533</v>
      </c>
      <c r="C339" s="300">
        <v>0.15000000000230404</v>
      </c>
      <c r="D339" s="300">
        <v>0.13200000000029741</v>
      </c>
      <c r="E339" s="300">
        <f>SUM(B339:D339)</f>
        <v>1.7539999999917548</v>
      </c>
      <c r="F339" s="300"/>
      <c r="G339" s="300">
        <v>0.4249999999965936</v>
      </c>
      <c r="H339" s="300">
        <v>0.42700000000671523</v>
      </c>
      <c r="I339" s="300">
        <v>1.3000000000060458E-2</v>
      </c>
      <c r="J339" s="300">
        <f>SUM(G339:I339)</f>
        <v>0.86500000000336918</v>
      </c>
      <c r="K339" s="300"/>
      <c r="L339" s="300">
        <v>0.61299999999573307</v>
      </c>
      <c r="M339" s="300">
        <v>0.26199999999867052</v>
      </c>
      <c r="N339" s="300">
        <v>2.6999999999916143E-2</v>
      </c>
      <c r="O339" s="300">
        <f>SUM(L339:N339)</f>
        <v>0.90199999999431968</v>
      </c>
      <c r="P339" s="300"/>
      <c r="Q339" s="300">
        <v>0.65200000001078795</v>
      </c>
      <c r="R339" s="300">
        <v>0.26800000000286406</v>
      </c>
      <c r="S339" s="300">
        <v>2.8000000000125164E-2</v>
      </c>
      <c r="T339" s="300">
        <f>SUM(Q339:S339)</f>
        <v>0.94800000001377716</v>
      </c>
      <c r="U339" s="300"/>
      <c r="V339" s="300">
        <v>0.71099999999876262</v>
      </c>
      <c r="W339" s="300">
        <v>0.2709999999992716</v>
      </c>
      <c r="X339" s="300">
        <v>2.900000000008272E-2</v>
      </c>
      <c r="Y339" s="300">
        <f>SUM(V339:X339)</f>
        <v>1.010999999998117</v>
      </c>
    </row>
    <row r="340" spans="1:25" ht="12.45" x14ac:dyDescent="0.3">
      <c r="A340" s="260" t="s">
        <v>355</v>
      </c>
      <c r="B340" s="300">
        <v>4.4649999999632355</v>
      </c>
      <c r="C340" s="300">
        <v>6.8000000000347713E-2</v>
      </c>
      <c r="D340" s="300">
        <v>0.31000000000379008</v>
      </c>
      <c r="E340" s="300">
        <f t="shared" ref="E340:E341" si="894">SUM(B340:D340)</f>
        <v>4.8429999999673736</v>
      </c>
      <c r="F340" s="300"/>
      <c r="G340" s="300">
        <v>1.5819999999842993</v>
      </c>
      <c r="H340" s="300">
        <v>0.14200000000087085</v>
      </c>
      <c r="I340" s="300">
        <v>9.6999999999478517E-2</v>
      </c>
      <c r="J340" s="300">
        <f t="shared" ref="J340:J341" si="895">SUM(G340:I340)</f>
        <v>1.8209999999846487</v>
      </c>
      <c r="K340" s="300"/>
      <c r="L340" s="300">
        <v>1.3439999999822985</v>
      </c>
      <c r="M340" s="300">
        <v>0.28900000000127679</v>
      </c>
      <c r="N340" s="300">
        <v>0.16600000000043699</v>
      </c>
      <c r="O340" s="300">
        <f t="shared" ref="O340:O341" si="896">SUM(L340:N340)</f>
        <v>1.7989999999840123</v>
      </c>
      <c r="P340" s="300"/>
      <c r="Q340" s="300">
        <v>1.3879999999847523</v>
      </c>
      <c r="R340" s="300">
        <v>0.30300000000156552</v>
      </c>
      <c r="S340" s="300">
        <v>0.17600000000440144</v>
      </c>
      <c r="T340" s="300">
        <f t="shared" ref="T340:T341" si="897">SUM(Q340:S340)</f>
        <v>1.8669999999907194</v>
      </c>
      <c r="U340" s="300"/>
      <c r="V340" s="300">
        <v>1.4349999999764822</v>
      </c>
      <c r="W340" s="300">
        <v>0.32000000000313933</v>
      </c>
      <c r="X340" s="300">
        <v>0.18800000000113068</v>
      </c>
      <c r="Y340" s="300">
        <f t="shared" ref="Y340:Y341" si="898">SUM(V340:X340)</f>
        <v>1.9429999999807521</v>
      </c>
    </row>
    <row r="341" spans="1:25" ht="12.45" x14ac:dyDescent="0.3">
      <c r="A341" s="260" t="s">
        <v>354</v>
      </c>
      <c r="B341" s="300">
        <f>SUM(B339:B340)</f>
        <v>5.9369999999523886</v>
      </c>
      <c r="C341" s="300">
        <f t="shared" ref="C341" si="899">SUM(C339:C340)</f>
        <v>0.21800000000265174</v>
      </c>
      <c r="D341" s="300">
        <f t="shared" ref="D341" si="900">SUM(D339:D340)</f>
        <v>0.44200000000408746</v>
      </c>
      <c r="E341" s="300">
        <f t="shared" si="894"/>
        <v>6.5969999999591282</v>
      </c>
      <c r="F341" s="300"/>
      <c r="G341" s="300">
        <f>SUM(G339:G340)</f>
        <v>2.0069999999808927</v>
      </c>
      <c r="H341" s="300">
        <f t="shared" ref="H341" si="901">SUM(H339:H340)</f>
        <v>0.5690000000075861</v>
      </c>
      <c r="I341" s="300">
        <f t="shared" ref="I341" si="902">SUM(I339:I340)</f>
        <v>0.10999999999953898</v>
      </c>
      <c r="J341" s="300">
        <f t="shared" si="895"/>
        <v>2.685999999988018</v>
      </c>
      <c r="K341" s="300"/>
      <c r="L341" s="300">
        <f>SUM(L339:L340)</f>
        <v>1.9569999999780316</v>
      </c>
      <c r="M341" s="300">
        <f t="shared" ref="M341" si="903">SUM(M339:M340)</f>
        <v>0.55099999999994731</v>
      </c>
      <c r="N341" s="300">
        <f t="shared" ref="N341" si="904">SUM(N339:N340)</f>
        <v>0.19300000000035314</v>
      </c>
      <c r="O341" s="300">
        <f t="shared" si="896"/>
        <v>2.7009999999783321</v>
      </c>
      <c r="P341" s="300"/>
      <c r="Q341" s="300">
        <f>SUM(Q339:Q340)</f>
        <v>2.0399999999955405</v>
      </c>
      <c r="R341" s="300">
        <f t="shared" ref="R341" si="905">SUM(R339:R340)</f>
        <v>0.57100000000442952</v>
      </c>
      <c r="S341" s="300">
        <f t="shared" ref="S341" si="906">SUM(S339:S340)</f>
        <v>0.20400000000452662</v>
      </c>
      <c r="T341" s="300">
        <f t="shared" si="897"/>
        <v>2.8150000000044968</v>
      </c>
      <c r="U341" s="300"/>
      <c r="V341" s="300">
        <f>SUM(V339:V340)</f>
        <v>2.1459999999752446</v>
      </c>
      <c r="W341" s="300">
        <f t="shared" ref="W341" si="907">SUM(W339:W340)</f>
        <v>0.59100000000241093</v>
      </c>
      <c r="X341" s="300">
        <f t="shared" ref="X341" si="908">SUM(X339:X340)</f>
        <v>0.21700000000121339</v>
      </c>
      <c r="Y341" s="300">
        <f t="shared" si="898"/>
        <v>2.9539999999788686</v>
      </c>
    </row>
    <row r="342" spans="1:25" ht="12.45" x14ac:dyDescent="0.3">
      <c r="C342" s="263"/>
    </row>
    <row r="343" spans="1:25" ht="12.45" x14ac:dyDescent="0.3">
      <c r="A343" s="261" t="s">
        <v>363</v>
      </c>
      <c r="C343" s="263"/>
    </row>
    <row r="344" spans="1:25" ht="12.45" x14ac:dyDescent="0.3">
      <c r="A344" s="260" t="s">
        <v>356</v>
      </c>
      <c r="B344" s="300">
        <f>SUM(B329,B334,B339)</f>
        <v>16.031999999774531</v>
      </c>
      <c r="C344" s="300">
        <f t="shared" ref="C344:D344" si="909">SUM(C329,C334,C339)</f>
        <v>4.2299999999382534</v>
      </c>
      <c r="D344" s="300">
        <f t="shared" si="909"/>
        <v>1.71599999999747</v>
      </c>
      <c r="E344" s="300">
        <f>SUM(B344:D344)</f>
        <v>21.977999999710256</v>
      </c>
      <c r="F344" s="300"/>
      <c r="G344" s="300">
        <f>SUM(G329,G334,G339)</f>
        <v>13.277999999801359</v>
      </c>
      <c r="H344" s="300">
        <f t="shared" ref="H344:I344" si="910">SUM(H329,H334,H339)</f>
        <v>7.5609999999187538</v>
      </c>
      <c r="I344" s="300">
        <f t="shared" si="910"/>
        <v>0.26300000000014012</v>
      </c>
      <c r="J344" s="300">
        <f>SUM(G344:I344)</f>
        <v>21.101999999720253</v>
      </c>
      <c r="K344" s="300"/>
      <c r="L344" s="300">
        <f>SUM(L329,L334,L339)</f>
        <v>19.150999999986126</v>
      </c>
      <c r="M344" s="300">
        <f t="shared" ref="M344:N344" si="911">SUM(M329,M334,M339)</f>
        <v>4.6290000000364335</v>
      </c>
      <c r="N344" s="300">
        <f t="shared" si="911"/>
        <v>0.65500000000145187</v>
      </c>
      <c r="O344" s="300">
        <f>SUM(L344:N344)</f>
        <v>24.435000000024012</v>
      </c>
      <c r="P344" s="300"/>
      <c r="Q344" s="300">
        <f>SUM(Q329,Q334,Q339)</f>
        <v>20.388000000488784</v>
      </c>
      <c r="R344" s="300">
        <f t="shared" ref="R344:S344" si="912">SUM(R329,R334,R339)</f>
        <v>4.749000000013627</v>
      </c>
      <c r="S344" s="300">
        <f t="shared" si="912"/>
        <v>0.69100000000442907</v>
      </c>
      <c r="T344" s="300">
        <f>SUM(Q344:S344)</f>
        <v>25.82800000050684</v>
      </c>
      <c r="U344" s="300"/>
      <c r="V344" s="300">
        <f>SUM(V329,V334,V339)</f>
        <v>22.231000000038691</v>
      </c>
      <c r="W344" s="300">
        <f t="shared" ref="W344:X344" si="913">SUM(W329,W334,W339)</f>
        <v>4.7960000000349812</v>
      </c>
      <c r="X344" s="300">
        <f t="shared" si="913"/>
        <v>0.72600000000505183</v>
      </c>
      <c r="Y344" s="300">
        <f>SUM(V344:X344)</f>
        <v>27.753000000078721</v>
      </c>
    </row>
    <row r="345" spans="1:25" ht="12.45" x14ac:dyDescent="0.3">
      <c r="A345" s="260" t="s">
        <v>355</v>
      </c>
      <c r="B345" s="300">
        <f>SUM(B330,B335,B340)</f>
        <v>55.130999999385132</v>
      </c>
      <c r="C345" s="300">
        <f t="shared" ref="C345:D345" si="914">SUM(C330,C335,C340)</f>
        <v>1.7379999999798212</v>
      </c>
      <c r="D345" s="300">
        <f t="shared" si="914"/>
        <v>4.3620000000488064</v>
      </c>
      <c r="E345" s="300">
        <f t="shared" ref="E345:E346" si="915">SUM(B345:D345)</f>
        <v>61.230999999413761</v>
      </c>
      <c r="F345" s="300"/>
      <c r="G345" s="300">
        <f>SUM(G330,G335,G340)</f>
        <v>58.125999999174759</v>
      </c>
      <c r="H345" s="300">
        <f t="shared" ref="H345:I345" si="916">SUM(H330,H335,H340)</f>
        <v>2.2539999999705547</v>
      </c>
      <c r="I345" s="300">
        <f t="shared" si="916"/>
        <v>3.0709999999811237</v>
      </c>
      <c r="J345" s="300">
        <f t="shared" ref="J345:J346" si="917">SUM(G345:I345)</f>
        <v>63.450999999126438</v>
      </c>
      <c r="K345" s="300"/>
      <c r="L345" s="300">
        <f>SUM(L330,L335,L340)</f>
        <v>49.38699999907044</v>
      </c>
      <c r="M345" s="300">
        <f t="shared" ref="M345:N345" si="918">SUM(M330,M335,M340)</f>
        <v>4.5919999999712049</v>
      </c>
      <c r="N345" s="300">
        <f t="shared" si="918"/>
        <v>5.2200000000038163</v>
      </c>
      <c r="O345" s="300">
        <f t="shared" ref="O345:O346" si="919">SUM(L345:N345)</f>
        <v>59.198999999045462</v>
      </c>
      <c r="P345" s="300"/>
      <c r="Q345" s="300">
        <f>SUM(Q330,Q335,Q340)</f>
        <v>51.006999999146345</v>
      </c>
      <c r="R345" s="300">
        <f t="shared" ref="R345:S345" si="920">SUM(R330,R335,R340)</f>
        <v>4.8139999999620668</v>
      </c>
      <c r="S345" s="300">
        <f t="shared" si="920"/>
        <v>5.5550000001232709</v>
      </c>
      <c r="T345" s="300">
        <f t="shared" ref="T345:T346" si="921">SUM(Q345:S345)</f>
        <v>61.375999999231681</v>
      </c>
      <c r="U345" s="300"/>
      <c r="V345" s="300">
        <f>SUM(V330,V335,V340)</f>
        <v>52.746999998650608</v>
      </c>
      <c r="W345" s="300">
        <f t="shared" ref="W345:X345" si="922">SUM(W330,W335,W340)</f>
        <v>5.0729999999419402</v>
      </c>
      <c r="X345" s="300">
        <f t="shared" si="922"/>
        <v>5.9370000000282586</v>
      </c>
      <c r="Y345" s="300">
        <f t="shared" ref="Y345:Y346" si="923">SUM(V345:X345)</f>
        <v>63.756999998620806</v>
      </c>
    </row>
    <row r="346" spans="1:25" ht="12.45" x14ac:dyDescent="0.3">
      <c r="A346" s="264" t="s">
        <v>354</v>
      </c>
      <c r="B346" s="301">
        <f>SUM(B344:B345)</f>
        <v>71.162999999159666</v>
      </c>
      <c r="C346" s="301">
        <f t="shared" ref="C346" si="924">SUM(C344:C345)</f>
        <v>5.9679999999180744</v>
      </c>
      <c r="D346" s="301">
        <f t="shared" ref="D346" si="925">SUM(D344:D345)</f>
        <v>6.0780000000462762</v>
      </c>
      <c r="E346" s="301">
        <f t="shared" si="915"/>
        <v>83.208999999124018</v>
      </c>
      <c r="F346" s="301"/>
      <c r="G346" s="301">
        <f>SUM(G344:G345)</f>
        <v>71.403999998976118</v>
      </c>
      <c r="H346" s="301">
        <f t="shared" ref="H346" si="926">SUM(H344:H345)</f>
        <v>9.8149999998893094</v>
      </c>
      <c r="I346" s="301">
        <f t="shared" ref="I346" si="927">SUM(I344:I345)</f>
        <v>3.333999999981264</v>
      </c>
      <c r="J346" s="301">
        <f t="shared" si="917"/>
        <v>84.552999998846687</v>
      </c>
      <c r="K346" s="301"/>
      <c r="L346" s="301">
        <f>SUM(L344:L345)</f>
        <v>68.537999999056566</v>
      </c>
      <c r="M346" s="301">
        <f t="shared" ref="M346" si="928">SUM(M344:M345)</f>
        <v>9.2210000000076384</v>
      </c>
      <c r="N346" s="301">
        <f t="shared" ref="N346" si="929">SUM(N344:N345)</f>
        <v>5.8750000000052678</v>
      </c>
      <c r="O346" s="301">
        <f t="shared" si="919"/>
        <v>83.633999999069474</v>
      </c>
      <c r="P346" s="301"/>
      <c r="Q346" s="301">
        <f>SUM(Q344:Q345)</f>
        <v>71.394999999635132</v>
      </c>
      <c r="R346" s="301">
        <f t="shared" ref="R346" si="930">SUM(R344:R345)</f>
        <v>9.5629999999756947</v>
      </c>
      <c r="S346" s="301">
        <f t="shared" ref="S346" si="931">SUM(S344:S345)</f>
        <v>6.2460000001277001</v>
      </c>
      <c r="T346" s="301">
        <f t="shared" si="921"/>
        <v>87.203999999738514</v>
      </c>
      <c r="U346" s="301"/>
      <c r="V346" s="301">
        <f>SUM(V344:V345)</f>
        <v>74.977999998689299</v>
      </c>
      <c r="W346" s="301">
        <f t="shared" ref="W346" si="932">SUM(W344:W345)</f>
        <v>9.8689999999769213</v>
      </c>
      <c r="X346" s="301">
        <f t="shared" ref="X346" si="933">SUM(X344:X345)</f>
        <v>6.6630000000333105</v>
      </c>
      <c r="Y346" s="301">
        <f t="shared" si="923"/>
        <v>91.509999998699527</v>
      </c>
    </row>
    <row r="347" spans="1:25" x14ac:dyDescent="0.35">
      <c r="A347" s="262"/>
    </row>
    <row r="348" spans="1:25" x14ac:dyDescent="0.35">
      <c r="A348" s="261"/>
    </row>
    <row r="349" spans="1:25" ht="12.45" x14ac:dyDescent="0.3">
      <c r="C349" s="263"/>
    </row>
    <row r="350" spans="1:25" ht="14.15" x14ac:dyDescent="0.35">
      <c r="A350" s="265" t="str">
        <f>"Industry 14 : "&amp; name!B17</f>
        <v>Industry 14 : Finance and insurance</v>
      </c>
      <c r="B350" s="372">
        <f>$B$5</f>
        <v>2015</v>
      </c>
      <c r="C350" s="372"/>
      <c r="D350" s="372"/>
      <c r="E350" s="372"/>
      <c r="F350" s="320"/>
      <c r="G350" s="372">
        <f>$G$5</f>
        <v>2019</v>
      </c>
      <c r="H350" s="372"/>
      <c r="I350" s="372"/>
      <c r="J350" s="372"/>
      <c r="K350" s="320"/>
      <c r="L350" s="372">
        <f>$L$5</f>
        <v>2020</v>
      </c>
      <c r="M350" s="372"/>
      <c r="N350" s="372"/>
      <c r="O350" s="372"/>
      <c r="P350" s="318"/>
      <c r="Q350" s="372">
        <f>$Q$5</f>
        <v>2025</v>
      </c>
      <c r="R350" s="372"/>
      <c r="S350" s="372"/>
      <c r="T350" s="372"/>
      <c r="U350" s="320"/>
      <c r="V350" s="372">
        <f>$V$5</f>
        <v>2035</v>
      </c>
      <c r="W350" s="372"/>
      <c r="X350" s="372"/>
      <c r="Y350" s="372"/>
    </row>
    <row r="351" spans="1:25" ht="12.45" x14ac:dyDescent="0.3">
      <c r="A351" s="264"/>
      <c r="B351" s="268" t="str">
        <f>$B$6</f>
        <v>FT</v>
      </c>
      <c r="C351" s="268" t="str">
        <f>$C$6</f>
        <v>PT</v>
      </c>
      <c r="D351" s="268" t="str">
        <f>$D$6</f>
        <v>SE</v>
      </c>
      <c r="E351" s="268" t="str">
        <f>$E$6</f>
        <v>Total</v>
      </c>
      <c r="F351" s="268"/>
      <c r="G351" s="268" t="str">
        <f>$B$6</f>
        <v>FT</v>
      </c>
      <c r="H351" s="268" t="str">
        <f>$C$6</f>
        <v>PT</v>
      </c>
      <c r="I351" s="268" t="str">
        <f>$D$6</f>
        <v>SE</v>
      </c>
      <c r="J351" s="268" t="str">
        <f>$E$6</f>
        <v>Total</v>
      </c>
      <c r="K351" s="268"/>
      <c r="L351" s="268" t="str">
        <f>$L$6</f>
        <v>FT</v>
      </c>
      <c r="M351" s="268" t="str">
        <f>$M$6</f>
        <v>PT</v>
      </c>
      <c r="N351" s="268" t="str">
        <f>$N$6</f>
        <v>SE</v>
      </c>
      <c r="O351" s="268" t="str">
        <f>$O$6</f>
        <v>Total</v>
      </c>
      <c r="P351" s="268"/>
      <c r="Q351" s="268" t="str">
        <f>$L$6</f>
        <v>FT</v>
      </c>
      <c r="R351" s="268" t="str">
        <f>$M$6</f>
        <v>PT</v>
      </c>
      <c r="S351" s="268" t="str">
        <f>$N$6</f>
        <v>SE</v>
      </c>
      <c r="T351" s="268" t="str">
        <f>$O$6</f>
        <v>Total</v>
      </c>
      <c r="U351" s="268"/>
      <c r="V351" s="268" t="str">
        <f>$V$6</f>
        <v>FT</v>
      </c>
      <c r="W351" s="268" t="str">
        <f>$W$6</f>
        <v>PT</v>
      </c>
      <c r="X351" s="268" t="str">
        <f>$X$6</f>
        <v>SE</v>
      </c>
      <c r="Y351" s="268" t="str">
        <f>$Y$6</f>
        <v>Total</v>
      </c>
    </row>
    <row r="352" spans="1:25" ht="12.45" x14ac:dyDescent="0.3">
      <c r="C352" s="319"/>
      <c r="D352" s="319"/>
      <c r="E352" s="319"/>
      <c r="F352" s="319"/>
      <c r="G352" s="319"/>
      <c r="H352" s="319"/>
      <c r="I352" s="319"/>
      <c r="J352" s="319"/>
      <c r="K352" s="319"/>
      <c r="L352" s="319"/>
      <c r="M352" s="319"/>
      <c r="N352" s="319"/>
      <c r="O352" s="319"/>
      <c r="P352" s="319"/>
      <c r="Q352" s="319"/>
      <c r="R352" s="319"/>
      <c r="S352" s="319"/>
      <c r="T352" s="319"/>
      <c r="U352" s="319"/>
      <c r="V352" s="319"/>
      <c r="W352" s="319"/>
      <c r="X352" s="319"/>
      <c r="Y352" s="319"/>
    </row>
    <row r="353" spans="1:25" ht="12.45" x14ac:dyDescent="0.3">
      <c r="A353" s="261" t="str">
        <f>name!A50</f>
        <v>Financial services</v>
      </c>
      <c r="C353" s="263"/>
    </row>
    <row r="354" spans="1:25" ht="12.45" x14ac:dyDescent="0.3">
      <c r="A354" s="260" t="s">
        <v>356</v>
      </c>
      <c r="B354" s="300">
        <v>7.3689999999053324</v>
      </c>
      <c r="C354" s="300">
        <v>6.1100000000411621</v>
      </c>
      <c r="D354" s="300">
        <v>0.25500000000548129</v>
      </c>
      <c r="E354" s="300">
        <f>SUM(B354:D354)</f>
        <v>13.733999999951976</v>
      </c>
      <c r="F354" s="300"/>
      <c r="G354" s="300">
        <v>6.1139999998935384</v>
      </c>
      <c r="H354" s="300">
        <v>3.4420000000234903</v>
      </c>
      <c r="I354" s="300">
        <v>0.10400000000191584</v>
      </c>
      <c r="J354" s="300">
        <f>SUM(G354:I354)</f>
        <v>9.659999999918945</v>
      </c>
      <c r="K354" s="300"/>
      <c r="L354" s="300">
        <v>6.3039999999904017</v>
      </c>
      <c r="M354" s="300">
        <v>3.0450000000016408</v>
      </c>
      <c r="N354" s="300">
        <v>0.27699999999419783</v>
      </c>
      <c r="O354" s="300">
        <f>SUM(L354:N354)</f>
        <v>9.6259999999862398</v>
      </c>
      <c r="P354" s="300"/>
      <c r="Q354" s="300">
        <v>6.051000000185085</v>
      </c>
      <c r="R354" s="300">
        <v>2.8920000000335127</v>
      </c>
      <c r="S354" s="300">
        <v>0.24299999999913788</v>
      </c>
      <c r="T354" s="300">
        <f>SUM(Q354:S354)</f>
        <v>9.1860000002177351</v>
      </c>
      <c r="U354" s="300"/>
      <c r="V354" s="300">
        <v>5.4520000000422781</v>
      </c>
      <c r="W354" s="300">
        <v>2.5819999999960865</v>
      </c>
      <c r="X354" s="300">
        <v>0.22199999999996214</v>
      </c>
      <c r="Y354" s="300">
        <f>SUM(V354:X354)</f>
        <v>8.2560000000383269</v>
      </c>
    </row>
    <row r="355" spans="1:25" ht="12.45" x14ac:dyDescent="0.3">
      <c r="A355" s="260" t="s">
        <v>355</v>
      </c>
      <c r="B355" s="300">
        <v>8.7829999999148463</v>
      </c>
      <c r="C355" s="300">
        <v>0.62799999999863043</v>
      </c>
      <c r="D355" s="300">
        <v>3.0150000000449952</v>
      </c>
      <c r="E355" s="300">
        <f t="shared" ref="E355:E356" si="934">SUM(B355:D355)</f>
        <v>12.425999999958472</v>
      </c>
      <c r="F355" s="300"/>
      <c r="G355" s="300">
        <v>6.4129999999267193</v>
      </c>
      <c r="H355" s="300">
        <v>0.25100000000009903</v>
      </c>
      <c r="I355" s="300">
        <v>0.54099999999671855</v>
      </c>
      <c r="J355" s="300">
        <f t="shared" ref="J355:J356" si="935">SUM(G355:I355)</f>
        <v>7.2049999999235368</v>
      </c>
      <c r="K355" s="300"/>
      <c r="L355" s="300">
        <v>6.5439999999016472</v>
      </c>
      <c r="M355" s="300">
        <v>0.47000000000048986</v>
      </c>
      <c r="N355" s="300">
        <v>0.22300000000085712</v>
      </c>
      <c r="O355" s="300">
        <f t="shared" ref="O355:O356" si="936">SUM(L355:N355)</f>
        <v>7.2369999999029941</v>
      </c>
      <c r="P355" s="300"/>
      <c r="Q355" s="300">
        <v>6.3069999999250319</v>
      </c>
      <c r="R355" s="300">
        <v>0.47100000000205722</v>
      </c>
      <c r="S355" s="300">
        <v>0.19700000000662979</v>
      </c>
      <c r="T355" s="300">
        <f t="shared" ref="T355:T356" si="937">SUM(Q355:S355)</f>
        <v>6.9749999999337184</v>
      </c>
      <c r="U355" s="300"/>
      <c r="V355" s="300">
        <v>5.7019999998768389</v>
      </c>
      <c r="W355" s="300">
        <v>0.45500000000523799</v>
      </c>
      <c r="X355" s="300">
        <v>0.17900000000262581</v>
      </c>
      <c r="Y355" s="300">
        <f t="shared" ref="Y355:Y356" si="938">SUM(V355:X355)</f>
        <v>6.3359999998847023</v>
      </c>
    </row>
    <row r="356" spans="1:25" ht="12.45" x14ac:dyDescent="0.3">
      <c r="A356" s="260" t="s">
        <v>354</v>
      </c>
      <c r="B356" s="300">
        <f>SUM(B354:B355)</f>
        <v>16.151999999820177</v>
      </c>
      <c r="C356" s="300">
        <f t="shared" ref="C356" si="939">SUM(C354:C355)</f>
        <v>6.7380000000397926</v>
      </c>
      <c r="D356" s="300">
        <f t="shared" ref="D356" si="940">SUM(D354:D355)</f>
        <v>3.2700000000504765</v>
      </c>
      <c r="E356" s="300">
        <f t="shared" si="934"/>
        <v>26.159999999910447</v>
      </c>
      <c r="F356" s="300"/>
      <c r="G356" s="300">
        <f>SUM(G354:G355)</f>
        <v>12.526999999820259</v>
      </c>
      <c r="H356" s="300">
        <f t="shared" ref="H356" si="941">SUM(H354:H355)</f>
        <v>3.6930000000235892</v>
      </c>
      <c r="I356" s="300">
        <f t="shared" ref="I356" si="942">SUM(I354:I355)</f>
        <v>0.64499999999863444</v>
      </c>
      <c r="J356" s="300">
        <f t="shared" si="935"/>
        <v>16.864999999842482</v>
      </c>
      <c r="K356" s="300"/>
      <c r="L356" s="300">
        <f>SUM(L354:L355)</f>
        <v>12.84799999989205</v>
      </c>
      <c r="M356" s="300">
        <f t="shared" ref="M356" si="943">SUM(M354:M355)</f>
        <v>3.5150000000021309</v>
      </c>
      <c r="N356" s="300">
        <f t="shared" ref="N356" si="944">SUM(N354:N355)</f>
        <v>0.49999999999505496</v>
      </c>
      <c r="O356" s="300">
        <f t="shared" si="936"/>
        <v>16.862999999889237</v>
      </c>
      <c r="P356" s="300"/>
      <c r="Q356" s="300">
        <f>SUM(Q354:Q355)</f>
        <v>12.358000000110117</v>
      </c>
      <c r="R356" s="300">
        <f t="shared" ref="R356" si="945">SUM(R354:R355)</f>
        <v>3.3630000000355698</v>
      </c>
      <c r="S356" s="300">
        <f t="shared" ref="S356" si="946">SUM(S354:S355)</f>
        <v>0.44000000000576767</v>
      </c>
      <c r="T356" s="300">
        <f t="shared" si="937"/>
        <v>16.161000000151454</v>
      </c>
      <c r="U356" s="300"/>
      <c r="V356" s="300">
        <f>SUM(V354:V355)</f>
        <v>11.153999999919117</v>
      </c>
      <c r="W356" s="300">
        <f t="shared" ref="W356" si="947">SUM(W354:W355)</f>
        <v>3.0370000000013246</v>
      </c>
      <c r="X356" s="300">
        <f t="shared" ref="X356" si="948">SUM(X354:X355)</f>
        <v>0.40100000000258795</v>
      </c>
      <c r="Y356" s="300">
        <f t="shared" si="938"/>
        <v>14.591999999923029</v>
      </c>
    </row>
    <row r="357" spans="1:25" ht="12.45" x14ac:dyDescent="0.3">
      <c r="C357" s="319"/>
      <c r="D357" s="319"/>
      <c r="E357" s="319"/>
      <c r="F357" s="319"/>
      <c r="G357" s="319"/>
      <c r="H357" s="319"/>
      <c r="I357" s="319"/>
      <c r="J357" s="319"/>
      <c r="K357" s="319"/>
      <c r="L357" s="319"/>
      <c r="M357" s="319"/>
      <c r="N357" s="319"/>
      <c r="O357" s="319"/>
      <c r="P357" s="319"/>
      <c r="Q357" s="319"/>
      <c r="R357" s="319"/>
      <c r="S357" s="319"/>
      <c r="T357" s="319"/>
      <c r="U357" s="319"/>
      <c r="V357" s="319"/>
      <c r="W357" s="319"/>
      <c r="X357" s="319"/>
      <c r="Y357" s="319"/>
    </row>
    <row r="358" spans="1:25" ht="12.45" x14ac:dyDescent="0.3">
      <c r="A358" s="261" t="str">
        <f>name!A51</f>
        <v>Insurance and pensions</v>
      </c>
      <c r="C358" s="263"/>
    </row>
    <row r="359" spans="1:25" ht="12.45" x14ac:dyDescent="0.3">
      <c r="A359" s="260" t="s">
        <v>356</v>
      </c>
      <c r="B359" s="300">
        <v>2.9779999999653604</v>
      </c>
      <c r="C359" s="300">
        <v>0.92900000000413774</v>
      </c>
      <c r="D359" s="300">
        <v>1.5000000000033922E-2</v>
      </c>
      <c r="E359" s="300">
        <f>SUM(B359:D359)</f>
        <v>3.9219999999695321</v>
      </c>
      <c r="F359" s="300"/>
      <c r="G359" s="300">
        <v>5.574999999913647</v>
      </c>
      <c r="H359" s="300">
        <v>1.2790000000050088</v>
      </c>
      <c r="I359" s="300">
        <v>3.9000000000131735E-2</v>
      </c>
      <c r="J359" s="300">
        <f>SUM(G359:I359)</f>
        <v>6.8929999999187883</v>
      </c>
      <c r="K359" s="300"/>
      <c r="L359" s="300">
        <v>5.7479999999920208</v>
      </c>
      <c r="M359" s="300">
        <v>1.1320000000046475</v>
      </c>
      <c r="N359" s="300">
        <v>0.16500000000008777</v>
      </c>
      <c r="O359" s="300">
        <f>SUM(L359:N359)</f>
        <v>7.0449999999967563</v>
      </c>
      <c r="P359" s="300"/>
      <c r="Q359" s="300">
        <v>5.5170000001473971</v>
      </c>
      <c r="R359" s="300">
        <v>1.0750000000129871</v>
      </c>
      <c r="S359" s="300">
        <v>0.13200000000062329</v>
      </c>
      <c r="T359" s="300">
        <f>SUM(Q359:S359)</f>
        <v>6.7240000001610074</v>
      </c>
      <c r="U359" s="300"/>
      <c r="V359" s="300">
        <v>4.9710000000330705</v>
      </c>
      <c r="W359" s="300">
        <v>0.95900000000108998</v>
      </c>
      <c r="X359" s="300">
        <v>9.3000000000413502E-2</v>
      </c>
      <c r="Y359" s="300">
        <f>SUM(V359:X359)</f>
        <v>6.0230000000345747</v>
      </c>
    </row>
    <row r="360" spans="1:25" ht="12.45" x14ac:dyDescent="0.3">
      <c r="A360" s="260" t="s">
        <v>355</v>
      </c>
      <c r="B360" s="300">
        <v>3.5689999999680726</v>
      </c>
      <c r="C360" s="300">
        <v>0.14599999999998559</v>
      </c>
      <c r="D360" s="300">
        <v>1.2150000000148851</v>
      </c>
      <c r="E360" s="300">
        <f t="shared" ref="E360:E361" si="949">SUM(B360:D360)</f>
        <v>4.9299999999829431</v>
      </c>
      <c r="F360" s="300"/>
      <c r="G360" s="300">
        <v>5.8799999999374419</v>
      </c>
      <c r="H360" s="300">
        <v>0.14200000000031687</v>
      </c>
      <c r="I360" s="300">
        <v>0.52399999999949687</v>
      </c>
      <c r="J360" s="300">
        <f t="shared" ref="J360:J361" si="950">SUM(G360:I360)</f>
        <v>6.5459999999372549</v>
      </c>
      <c r="K360" s="300"/>
      <c r="L360" s="300">
        <v>5.9999999999159259</v>
      </c>
      <c r="M360" s="300">
        <v>0.26600000000104018</v>
      </c>
      <c r="N360" s="300">
        <v>0.23500000000053764</v>
      </c>
      <c r="O360" s="300">
        <f t="shared" ref="O360:O361" si="951">SUM(L360:N360)</f>
        <v>6.5009999999175037</v>
      </c>
      <c r="P360" s="300"/>
      <c r="Q360" s="300">
        <v>5.7829999999352779</v>
      </c>
      <c r="R360" s="300">
        <v>0.26700000000155927</v>
      </c>
      <c r="S360" s="300">
        <v>0.19400000000361983</v>
      </c>
      <c r="T360" s="300">
        <f t="shared" ref="T360:T361" si="952">SUM(Q360:S360)</f>
        <v>6.2439999999404572</v>
      </c>
      <c r="U360" s="300"/>
      <c r="V360" s="300">
        <v>5.2279999998955651</v>
      </c>
      <c r="W360" s="300">
        <v>0.25800000000281592</v>
      </c>
      <c r="X360" s="300">
        <v>0.141000000001057</v>
      </c>
      <c r="Y360" s="300">
        <f t="shared" ref="Y360:Y361" si="953">SUM(V360:X360)</f>
        <v>5.6269999998994376</v>
      </c>
    </row>
    <row r="361" spans="1:25" ht="12.45" x14ac:dyDescent="0.3">
      <c r="A361" s="260" t="s">
        <v>354</v>
      </c>
      <c r="B361" s="300">
        <f>SUM(B359:B360)</f>
        <v>6.5469999999334334</v>
      </c>
      <c r="C361" s="300">
        <f t="shared" ref="C361" si="954">SUM(C359:C360)</f>
        <v>1.0750000000041233</v>
      </c>
      <c r="D361" s="300">
        <f t="shared" ref="D361" si="955">SUM(D359:D360)</f>
        <v>1.2300000000149189</v>
      </c>
      <c r="E361" s="300">
        <f t="shared" si="949"/>
        <v>8.8519999999524757</v>
      </c>
      <c r="F361" s="300"/>
      <c r="G361" s="300">
        <f>SUM(G359:G360)</f>
        <v>11.45499999985109</v>
      </c>
      <c r="H361" s="300">
        <f t="shared" ref="H361" si="956">SUM(H359:H360)</f>
        <v>1.4210000000053258</v>
      </c>
      <c r="I361" s="300">
        <f t="shared" ref="I361" si="957">SUM(I359:I360)</f>
        <v>0.56299999999962858</v>
      </c>
      <c r="J361" s="300">
        <f t="shared" si="950"/>
        <v>13.438999999856044</v>
      </c>
      <c r="K361" s="300"/>
      <c r="L361" s="300">
        <f>SUM(L359:L360)</f>
        <v>11.747999999907947</v>
      </c>
      <c r="M361" s="300">
        <f t="shared" ref="M361" si="958">SUM(M359:M360)</f>
        <v>1.3980000000056876</v>
      </c>
      <c r="N361" s="300">
        <f t="shared" ref="N361" si="959">SUM(N359:N360)</f>
        <v>0.40000000000062541</v>
      </c>
      <c r="O361" s="300">
        <f t="shared" si="951"/>
        <v>13.54599999991426</v>
      </c>
      <c r="P361" s="300"/>
      <c r="Q361" s="300">
        <f>SUM(Q359:Q360)</f>
        <v>11.300000000082676</v>
      </c>
      <c r="R361" s="300">
        <f t="shared" ref="R361" si="960">SUM(R359:R360)</f>
        <v>1.3420000000145464</v>
      </c>
      <c r="S361" s="300">
        <f t="shared" ref="S361" si="961">SUM(S359:S360)</f>
        <v>0.32600000000424312</v>
      </c>
      <c r="T361" s="300">
        <f t="shared" si="952"/>
        <v>12.968000000101465</v>
      </c>
      <c r="U361" s="300"/>
      <c r="V361" s="300">
        <f>SUM(V359:V360)</f>
        <v>10.198999999928635</v>
      </c>
      <c r="W361" s="300">
        <f t="shared" ref="W361" si="962">SUM(W359:W360)</f>
        <v>1.2170000000039058</v>
      </c>
      <c r="X361" s="300">
        <f t="shared" ref="X361" si="963">SUM(X359:X360)</f>
        <v>0.2340000000014705</v>
      </c>
      <c r="Y361" s="300">
        <f t="shared" si="953"/>
        <v>11.649999999934012</v>
      </c>
    </row>
    <row r="362" spans="1:25" ht="12.45" x14ac:dyDescent="0.3">
      <c r="C362" s="319"/>
      <c r="D362" s="319"/>
      <c r="E362" s="319"/>
      <c r="F362" s="319"/>
      <c r="G362" s="319"/>
      <c r="H362" s="319"/>
      <c r="I362" s="319"/>
      <c r="J362" s="319"/>
      <c r="K362" s="319"/>
      <c r="L362" s="319"/>
      <c r="M362" s="319"/>
      <c r="N362" s="319"/>
      <c r="O362" s="319"/>
      <c r="P362" s="319"/>
      <c r="Q362" s="319"/>
      <c r="R362" s="319"/>
      <c r="S362" s="319"/>
      <c r="T362" s="319"/>
      <c r="U362" s="319"/>
      <c r="V362" s="319"/>
      <c r="W362" s="319"/>
      <c r="X362" s="319"/>
      <c r="Y362" s="319"/>
    </row>
    <row r="363" spans="1:25" ht="12.45" x14ac:dyDescent="0.3">
      <c r="A363" s="261" t="str">
        <f>name!A52</f>
        <v>Auxiliary financial services</v>
      </c>
      <c r="C363" s="263"/>
    </row>
    <row r="364" spans="1:25" ht="12.45" x14ac:dyDescent="0.3">
      <c r="A364" s="260" t="s">
        <v>356</v>
      </c>
      <c r="B364" s="300">
        <v>12.972999999829698</v>
      </c>
      <c r="C364" s="300">
        <v>3.6140000000129771</v>
      </c>
      <c r="D364" s="300">
        <v>1.1640000000115769</v>
      </c>
      <c r="E364" s="300">
        <f>SUM(B364:D364)</f>
        <v>17.750999999854251</v>
      </c>
      <c r="F364" s="300"/>
      <c r="G364" s="300">
        <v>16.914999999700505</v>
      </c>
      <c r="H364" s="300">
        <v>4.9760000000181757</v>
      </c>
      <c r="I364" s="300">
        <v>3.5660000000323002</v>
      </c>
      <c r="J364" s="300">
        <f>SUM(G364:I364)</f>
        <v>25.45699999975098</v>
      </c>
      <c r="K364" s="300"/>
      <c r="L364" s="300">
        <v>17.439999999985631</v>
      </c>
      <c r="M364" s="300">
        <v>4.4030000000033915</v>
      </c>
      <c r="N364" s="300">
        <v>3.9969999999633909</v>
      </c>
      <c r="O364" s="300">
        <f>SUM(L364:N364)</f>
        <v>25.839999999952411</v>
      </c>
      <c r="P364" s="300"/>
      <c r="Q364" s="300">
        <v>16.73900000051135</v>
      </c>
      <c r="R364" s="300">
        <v>4.1810000000367884</v>
      </c>
      <c r="S364" s="300">
        <v>4.0779999999982799</v>
      </c>
      <c r="T364" s="300">
        <f>SUM(Q364:S364)</f>
        <v>24.998000000546419</v>
      </c>
      <c r="U364" s="300"/>
      <c r="V364" s="300">
        <v>15.082000000121951</v>
      </c>
      <c r="W364" s="300">
        <v>3.7320000000050828</v>
      </c>
      <c r="X364" s="300">
        <v>3.7710000000003743</v>
      </c>
      <c r="Y364" s="300">
        <f>SUM(V364:X364)</f>
        <v>22.585000000127408</v>
      </c>
    </row>
    <row r="365" spans="1:25" ht="12.45" x14ac:dyDescent="0.3">
      <c r="A365" s="260" t="s">
        <v>355</v>
      </c>
      <c r="B365" s="300">
        <v>15.36699999984558</v>
      </c>
      <c r="C365" s="300">
        <v>0.58799999999912245</v>
      </c>
      <c r="D365" s="300">
        <v>5.8060000000796945</v>
      </c>
      <c r="E365" s="300">
        <f t="shared" ref="E365:E366" si="964">SUM(B365:D365)</f>
        <v>21.760999999924397</v>
      </c>
      <c r="F365" s="300"/>
      <c r="G365" s="300">
        <v>17.631999999786988</v>
      </c>
      <c r="H365" s="300">
        <v>0.57400000000036189</v>
      </c>
      <c r="I365" s="300">
        <v>1.7999999999900986</v>
      </c>
      <c r="J365" s="300">
        <f t="shared" ref="J365:J366" si="965">SUM(G365:I365)</f>
        <v>20.005999999777448</v>
      </c>
      <c r="K365" s="300"/>
      <c r="L365" s="300">
        <v>17.990999999714326</v>
      </c>
      <c r="M365" s="300">
        <v>1.0750000000014466</v>
      </c>
      <c r="N365" s="300">
        <v>2.8580000000267316</v>
      </c>
      <c r="O365" s="300">
        <f t="shared" ref="O365:O366" si="966">SUM(L365:N365)</f>
        <v>21.923999999742502</v>
      </c>
      <c r="P365" s="300"/>
      <c r="Q365" s="300">
        <v>17.340999999772169</v>
      </c>
      <c r="R365" s="300">
        <v>1.0790000000042628</v>
      </c>
      <c r="S365" s="300">
        <v>2.9660000001162508</v>
      </c>
      <c r="T365" s="300">
        <f t="shared" ref="T365:T366" si="967">SUM(Q365:S365)</f>
        <v>21.385999999892682</v>
      </c>
      <c r="U365" s="300"/>
      <c r="V365" s="300">
        <v>15.674999999626536</v>
      </c>
      <c r="W365" s="300">
        <v>1.0420000000086254</v>
      </c>
      <c r="X365" s="300">
        <v>2.8370000000654527</v>
      </c>
      <c r="Y365" s="300">
        <f t="shared" ref="Y365:Y366" si="968">SUM(V365:X365)</f>
        <v>19.553999999700611</v>
      </c>
    </row>
    <row r="366" spans="1:25" ht="12.45" x14ac:dyDescent="0.3">
      <c r="A366" s="260" t="s">
        <v>354</v>
      </c>
      <c r="B366" s="300">
        <f>SUM(B364:B365)</f>
        <v>28.339999999675278</v>
      </c>
      <c r="C366" s="300">
        <f t="shared" ref="C366" si="969">SUM(C364:C365)</f>
        <v>4.2020000000120996</v>
      </c>
      <c r="D366" s="300">
        <f t="shared" ref="D366" si="970">SUM(D364:D365)</f>
        <v>6.9700000000912716</v>
      </c>
      <c r="E366" s="300">
        <f t="shared" si="964"/>
        <v>39.511999999778652</v>
      </c>
      <c r="F366" s="300"/>
      <c r="G366" s="300">
        <f>SUM(G364:G365)</f>
        <v>34.546999999487497</v>
      </c>
      <c r="H366" s="300">
        <f t="shared" ref="H366" si="971">SUM(H364:H365)</f>
        <v>5.5500000000185379</v>
      </c>
      <c r="I366" s="300">
        <f t="shared" ref="I366" si="972">SUM(I364:I365)</f>
        <v>5.3660000000223986</v>
      </c>
      <c r="J366" s="300">
        <f t="shared" si="965"/>
        <v>45.462999999528428</v>
      </c>
      <c r="K366" s="300"/>
      <c r="L366" s="300">
        <f>SUM(L364:L365)</f>
        <v>35.430999999699957</v>
      </c>
      <c r="M366" s="300">
        <f t="shared" ref="M366" si="973">SUM(M364:M365)</f>
        <v>5.4780000000048386</v>
      </c>
      <c r="N366" s="300">
        <f t="shared" ref="N366" si="974">SUM(N364:N365)</f>
        <v>6.8549999999901221</v>
      </c>
      <c r="O366" s="300">
        <f t="shared" si="966"/>
        <v>47.763999999694917</v>
      </c>
      <c r="P366" s="300"/>
      <c r="Q366" s="300">
        <f>SUM(Q364:Q365)</f>
        <v>34.080000000283519</v>
      </c>
      <c r="R366" s="300">
        <f t="shared" ref="R366" si="975">SUM(R364:R365)</f>
        <v>5.2600000000410514</v>
      </c>
      <c r="S366" s="300">
        <f t="shared" ref="S366" si="976">SUM(S364:S365)</f>
        <v>7.0440000001145311</v>
      </c>
      <c r="T366" s="300">
        <f t="shared" si="967"/>
        <v>46.384000000439102</v>
      </c>
      <c r="U366" s="300"/>
      <c r="V366" s="300">
        <f>SUM(V364:V365)</f>
        <v>30.756999999748487</v>
      </c>
      <c r="W366" s="300">
        <f t="shared" ref="W366" si="977">SUM(W364:W365)</f>
        <v>4.7740000000137082</v>
      </c>
      <c r="X366" s="300">
        <f t="shared" ref="X366" si="978">SUM(X364:X365)</f>
        <v>6.608000000065827</v>
      </c>
      <c r="Y366" s="300">
        <f t="shared" si="968"/>
        <v>42.138999999828023</v>
      </c>
    </row>
    <row r="367" spans="1:25" ht="12.45" x14ac:dyDescent="0.3">
      <c r="C367" s="263"/>
    </row>
    <row r="368" spans="1:25" ht="12.45" x14ac:dyDescent="0.3">
      <c r="A368" s="261" t="s">
        <v>362</v>
      </c>
      <c r="C368" s="263"/>
    </row>
    <row r="369" spans="1:25" ht="12.45" x14ac:dyDescent="0.3">
      <c r="A369" s="260" t="s">
        <v>356</v>
      </c>
      <c r="B369" s="300">
        <f>SUM(B354,B359,B364)</f>
        <v>23.319999999700393</v>
      </c>
      <c r="C369" s="300">
        <f t="shared" ref="C369:D369" si="979">SUM(C354,C359,C364)</f>
        <v>10.653000000058277</v>
      </c>
      <c r="D369" s="300">
        <f t="shared" si="979"/>
        <v>1.434000000017092</v>
      </c>
      <c r="E369" s="300">
        <f>SUM(B369:D369)</f>
        <v>35.406999999775763</v>
      </c>
      <c r="F369" s="300"/>
      <c r="G369" s="300">
        <f>SUM(G354,G359,G364)</f>
        <v>28.603999999507693</v>
      </c>
      <c r="H369" s="300">
        <f t="shared" ref="H369:I369" si="980">SUM(H354,H359,H364)</f>
        <v>9.6970000000466747</v>
      </c>
      <c r="I369" s="300">
        <f t="shared" si="980"/>
        <v>3.7090000000343477</v>
      </c>
      <c r="J369" s="300">
        <f>SUM(G369:I369)</f>
        <v>42.009999999588715</v>
      </c>
      <c r="K369" s="300"/>
      <c r="L369" s="300">
        <f>SUM(L354,L359,L364)</f>
        <v>29.491999999968051</v>
      </c>
      <c r="M369" s="300">
        <f t="shared" ref="M369:N369" si="981">SUM(M354,M359,M364)</f>
        <v>8.5800000000096794</v>
      </c>
      <c r="N369" s="300">
        <f t="shared" si="981"/>
        <v>4.4389999999576766</v>
      </c>
      <c r="O369" s="300">
        <f>SUM(L369:N369)</f>
        <v>42.510999999935407</v>
      </c>
      <c r="P369" s="300"/>
      <c r="Q369" s="300">
        <f>SUM(Q354,Q359,Q364)</f>
        <v>28.307000000843832</v>
      </c>
      <c r="R369" s="300">
        <f t="shared" ref="R369:S369" si="982">SUM(R354,R359,R364)</f>
        <v>8.1480000000832877</v>
      </c>
      <c r="S369" s="300">
        <f t="shared" si="982"/>
        <v>4.452999999998041</v>
      </c>
      <c r="T369" s="300">
        <f>SUM(Q369:S369)</f>
        <v>40.908000000925163</v>
      </c>
      <c r="U369" s="300"/>
      <c r="V369" s="300">
        <f>SUM(V354,V359,V364)</f>
        <v>25.505000000197299</v>
      </c>
      <c r="W369" s="300">
        <f t="shared" ref="W369:X369" si="983">SUM(W354,W359,W364)</f>
        <v>7.2730000000022592</v>
      </c>
      <c r="X369" s="300">
        <f t="shared" si="983"/>
        <v>4.0860000000007499</v>
      </c>
      <c r="Y369" s="300">
        <f>SUM(V369:X369)</f>
        <v>36.864000000200306</v>
      </c>
    </row>
    <row r="370" spans="1:25" ht="12.45" x14ac:dyDescent="0.3">
      <c r="A370" s="260" t="s">
        <v>355</v>
      </c>
      <c r="B370" s="300">
        <f>SUM(B355,B360,B365)</f>
        <v>27.718999999728499</v>
      </c>
      <c r="C370" s="300">
        <f t="shared" ref="C370:D370" si="984">SUM(C355,C360,C365)</f>
        <v>1.3619999999977384</v>
      </c>
      <c r="D370" s="300">
        <f t="shared" si="984"/>
        <v>10.036000000139575</v>
      </c>
      <c r="E370" s="300">
        <f t="shared" ref="E370:E371" si="985">SUM(B370:D370)</f>
        <v>39.116999999865811</v>
      </c>
      <c r="F370" s="300"/>
      <c r="G370" s="300">
        <f>SUM(G355,G360,G365)</f>
        <v>29.924999999651149</v>
      </c>
      <c r="H370" s="300">
        <f t="shared" ref="H370:I370" si="986">SUM(H355,H360,H365)</f>
        <v>0.96700000000077779</v>
      </c>
      <c r="I370" s="300">
        <f t="shared" si="986"/>
        <v>2.8649999999863143</v>
      </c>
      <c r="J370" s="300">
        <f t="shared" ref="J370:J371" si="987">SUM(G370:I370)</f>
        <v>33.756999999638239</v>
      </c>
      <c r="K370" s="300"/>
      <c r="L370" s="300">
        <f>SUM(L355,L360,L365)</f>
        <v>30.534999999531898</v>
      </c>
      <c r="M370" s="300">
        <f t="shared" ref="M370:N370" si="988">SUM(M355,M360,M365)</f>
        <v>1.8110000000029767</v>
      </c>
      <c r="N370" s="300">
        <f t="shared" si="988"/>
        <v>3.3160000000281262</v>
      </c>
      <c r="O370" s="300">
        <f t="shared" ref="O370:O371" si="989">SUM(L370:N370)</f>
        <v>35.661999999563001</v>
      </c>
      <c r="P370" s="300"/>
      <c r="Q370" s="300">
        <f>SUM(Q355,Q360,Q365)</f>
        <v>29.43099999963248</v>
      </c>
      <c r="R370" s="300">
        <f t="shared" ref="R370:S370" si="990">SUM(R355,R360,R365)</f>
        <v>1.8170000000078792</v>
      </c>
      <c r="S370" s="300">
        <f t="shared" si="990"/>
        <v>3.3570000001265003</v>
      </c>
      <c r="T370" s="300">
        <f t="shared" ref="T370:T371" si="991">SUM(Q370:S370)</f>
        <v>34.604999999766861</v>
      </c>
      <c r="U370" s="300"/>
      <c r="V370" s="300">
        <f>SUM(V355,V360,V365)</f>
        <v>26.604999999398942</v>
      </c>
      <c r="W370" s="300">
        <f t="shared" ref="W370:X370" si="992">SUM(W355,W360,W365)</f>
        <v>1.7550000000166792</v>
      </c>
      <c r="X370" s="300">
        <f t="shared" si="992"/>
        <v>3.1570000000691354</v>
      </c>
      <c r="Y370" s="300">
        <f t="shared" ref="Y370:Y371" si="993">SUM(V370:X370)</f>
        <v>31.516999999484757</v>
      </c>
    </row>
    <row r="371" spans="1:25" ht="12.45" x14ac:dyDescent="0.3">
      <c r="A371" s="264" t="s">
        <v>354</v>
      </c>
      <c r="B371" s="301">
        <f>SUM(B369:B370)</f>
        <v>51.038999999428896</v>
      </c>
      <c r="C371" s="301">
        <f t="shared" ref="C371" si="994">SUM(C369:C370)</f>
        <v>12.015000000056016</v>
      </c>
      <c r="D371" s="301">
        <f t="shared" ref="D371" si="995">SUM(D369:D370)</f>
        <v>11.470000000156666</v>
      </c>
      <c r="E371" s="301">
        <f t="shared" si="985"/>
        <v>74.523999999641575</v>
      </c>
      <c r="F371" s="301"/>
      <c r="G371" s="301">
        <f>SUM(G369:G370)</f>
        <v>58.528999999158842</v>
      </c>
      <c r="H371" s="301">
        <f t="shared" ref="H371" si="996">SUM(H369:H370)</f>
        <v>10.664000000047453</v>
      </c>
      <c r="I371" s="301">
        <f t="shared" ref="I371" si="997">SUM(I369:I370)</f>
        <v>6.5740000000206624</v>
      </c>
      <c r="J371" s="301">
        <f t="shared" si="987"/>
        <v>75.766999999226954</v>
      </c>
      <c r="K371" s="301"/>
      <c r="L371" s="301">
        <f>SUM(L369:L370)</f>
        <v>60.026999999499949</v>
      </c>
      <c r="M371" s="301">
        <f t="shared" ref="M371" si="998">SUM(M369:M370)</f>
        <v>10.391000000012657</v>
      </c>
      <c r="N371" s="301">
        <f t="shared" ref="N371" si="999">SUM(N369:N370)</f>
        <v>7.7549999999858024</v>
      </c>
      <c r="O371" s="301">
        <f t="shared" si="989"/>
        <v>78.172999999498401</v>
      </c>
      <c r="P371" s="301"/>
      <c r="Q371" s="301">
        <f>SUM(Q369:Q370)</f>
        <v>57.738000000476312</v>
      </c>
      <c r="R371" s="301">
        <f t="shared" ref="R371" si="1000">SUM(R369:R370)</f>
        <v>9.965000000091166</v>
      </c>
      <c r="S371" s="301">
        <f t="shared" ref="S371" si="1001">SUM(S369:S370)</f>
        <v>7.8100000001245409</v>
      </c>
      <c r="T371" s="301">
        <f t="shared" si="991"/>
        <v>75.513000000692017</v>
      </c>
      <c r="U371" s="301"/>
      <c r="V371" s="301">
        <f>SUM(V369:V370)</f>
        <v>52.109999999596241</v>
      </c>
      <c r="W371" s="301">
        <f t="shared" ref="W371" si="1002">SUM(W369:W370)</f>
        <v>9.0280000000189382</v>
      </c>
      <c r="X371" s="301">
        <f t="shared" ref="X371" si="1003">SUM(X369:X370)</f>
        <v>7.2430000000698858</v>
      </c>
      <c r="Y371" s="301">
        <f t="shared" si="993"/>
        <v>68.380999999685059</v>
      </c>
    </row>
    <row r="375" spans="1:25" ht="14.15" x14ac:dyDescent="0.35">
      <c r="A375" s="265" t="str">
        <f>"Industry 15 : "&amp; name!B18</f>
        <v>Industry 15 : Real estate</v>
      </c>
      <c r="B375" s="372">
        <f>$B$5</f>
        <v>2015</v>
      </c>
      <c r="C375" s="372"/>
      <c r="D375" s="372"/>
      <c r="E375" s="372"/>
      <c r="F375" s="320"/>
      <c r="G375" s="372">
        <f>$G$5</f>
        <v>2019</v>
      </c>
      <c r="H375" s="372"/>
      <c r="I375" s="372"/>
      <c r="J375" s="372"/>
      <c r="K375" s="320"/>
      <c r="L375" s="372">
        <f>$L$5</f>
        <v>2020</v>
      </c>
      <c r="M375" s="372"/>
      <c r="N375" s="372"/>
      <c r="O375" s="372"/>
      <c r="P375" s="318"/>
      <c r="Q375" s="372">
        <f>$Q$5</f>
        <v>2025</v>
      </c>
      <c r="R375" s="372"/>
      <c r="S375" s="372"/>
      <c r="T375" s="372"/>
      <c r="U375" s="320"/>
      <c r="V375" s="372">
        <f>$V$5</f>
        <v>2035</v>
      </c>
      <c r="W375" s="372"/>
      <c r="X375" s="372"/>
      <c r="Y375" s="372"/>
    </row>
    <row r="376" spans="1:25" ht="12.45" x14ac:dyDescent="0.3">
      <c r="A376" s="264"/>
      <c r="B376" s="268" t="str">
        <f>$B$6</f>
        <v>FT</v>
      </c>
      <c r="C376" s="268" t="str">
        <f>$C$6</f>
        <v>PT</v>
      </c>
      <c r="D376" s="268" t="str">
        <f>$D$6</f>
        <v>SE</v>
      </c>
      <c r="E376" s="268" t="str">
        <f>$E$6</f>
        <v>Total</v>
      </c>
      <c r="F376" s="268"/>
      <c r="G376" s="268" t="str">
        <f>$B$6</f>
        <v>FT</v>
      </c>
      <c r="H376" s="268" t="str">
        <f>$C$6</f>
        <v>PT</v>
      </c>
      <c r="I376" s="268" t="str">
        <f>$D$6</f>
        <v>SE</v>
      </c>
      <c r="J376" s="268" t="str">
        <f>$E$6</f>
        <v>Total</v>
      </c>
      <c r="K376" s="268"/>
      <c r="L376" s="268" t="str">
        <f>$L$6</f>
        <v>FT</v>
      </c>
      <c r="M376" s="268" t="str">
        <f>$M$6</f>
        <v>PT</v>
      </c>
      <c r="N376" s="268" t="str">
        <f>$N$6</f>
        <v>SE</v>
      </c>
      <c r="O376" s="268" t="str">
        <f>$O$6</f>
        <v>Total</v>
      </c>
      <c r="P376" s="268"/>
      <c r="Q376" s="268" t="str">
        <f>$L$6</f>
        <v>FT</v>
      </c>
      <c r="R376" s="268" t="str">
        <f>$M$6</f>
        <v>PT</v>
      </c>
      <c r="S376" s="268" t="str">
        <f>$N$6</f>
        <v>SE</v>
      </c>
      <c r="T376" s="268" t="str">
        <f>$O$6</f>
        <v>Total</v>
      </c>
      <c r="U376" s="268"/>
      <c r="V376" s="268" t="str">
        <f>$V$6</f>
        <v>FT</v>
      </c>
      <c r="W376" s="268" t="str">
        <f>$W$6</f>
        <v>PT</v>
      </c>
      <c r="X376" s="268" t="str">
        <f>$X$6</f>
        <v>SE</v>
      </c>
      <c r="Y376" s="268" t="str">
        <f>$Y$6</f>
        <v>Total</v>
      </c>
    </row>
    <row r="377" spans="1:25" ht="12.45" x14ac:dyDescent="0.3">
      <c r="C377" s="319"/>
      <c r="D377" s="319"/>
      <c r="E377" s="319"/>
      <c r="F377" s="319"/>
      <c r="G377" s="319"/>
      <c r="H377" s="319"/>
      <c r="I377" s="319"/>
      <c r="J377" s="319"/>
      <c r="K377" s="319"/>
      <c r="L377" s="319"/>
      <c r="M377" s="319"/>
      <c r="N377" s="319"/>
      <c r="O377" s="319"/>
      <c r="P377" s="319"/>
      <c r="Q377" s="319"/>
      <c r="R377" s="319"/>
      <c r="S377" s="319"/>
      <c r="T377" s="319"/>
      <c r="U377" s="319"/>
      <c r="V377" s="319"/>
      <c r="W377" s="319"/>
      <c r="X377" s="319"/>
      <c r="Y377" s="319"/>
    </row>
    <row r="378" spans="1:25" ht="12.45" x14ac:dyDescent="0.3">
      <c r="A378" s="261" t="str">
        <f>name!A53</f>
        <v>Real estate</v>
      </c>
      <c r="C378" s="263"/>
    </row>
    <row r="379" spans="1:25" ht="12.45" x14ac:dyDescent="0.3">
      <c r="A379" s="260" t="s">
        <v>356</v>
      </c>
      <c r="B379" s="300">
        <v>14.162999999897153</v>
      </c>
      <c r="C379" s="300">
        <v>8.8140000001173888</v>
      </c>
      <c r="D379" s="300">
        <v>4.5460000000414391</v>
      </c>
      <c r="E379" s="300">
        <f>SUM(B379:D379)</f>
        <v>27.52300000005598</v>
      </c>
      <c r="F379" s="300"/>
      <c r="G379" s="300">
        <v>12.993999999872319</v>
      </c>
      <c r="H379" s="300">
        <v>9.236000000140816</v>
      </c>
      <c r="I379" s="300">
        <v>4.8420000000488601</v>
      </c>
      <c r="J379" s="300">
        <f>SUM(G379:I379)</f>
        <v>27.072000000061994</v>
      </c>
      <c r="K379" s="300"/>
      <c r="L379" s="300">
        <v>16.384999999887558</v>
      </c>
      <c r="M379" s="300">
        <v>8.4909999999846857</v>
      </c>
      <c r="N379" s="300">
        <v>3.5759999999605068</v>
      </c>
      <c r="O379" s="300">
        <f>SUM(L379:N379)</f>
        <v>28.451999999832751</v>
      </c>
      <c r="P379" s="300"/>
      <c r="Q379" s="300">
        <v>17.213000000340713</v>
      </c>
      <c r="R379" s="300">
        <v>8.238000000093308</v>
      </c>
      <c r="S379" s="300">
        <v>3.6790000000041361</v>
      </c>
      <c r="T379" s="300">
        <f>SUM(Q379:S379)</f>
        <v>29.130000000438159</v>
      </c>
      <c r="U379" s="300"/>
      <c r="V379" s="300">
        <v>20.750999999949489</v>
      </c>
      <c r="W379" s="300">
        <v>8.4909999999407422</v>
      </c>
      <c r="X379" s="300">
        <v>4.1720000000087722</v>
      </c>
      <c r="Y379" s="300">
        <f>SUM(V379:X379)</f>
        <v>33.413999999899005</v>
      </c>
    </row>
    <row r="380" spans="1:25" ht="12.45" x14ac:dyDescent="0.3">
      <c r="A380" s="260" t="s">
        <v>355</v>
      </c>
      <c r="B380" s="300">
        <v>11.980999999905322</v>
      </c>
      <c r="C380" s="300">
        <v>2.3659999999867312</v>
      </c>
      <c r="D380" s="300">
        <v>3.0150000000004011</v>
      </c>
      <c r="E380" s="300">
        <f t="shared" ref="E380:E381" si="1004">SUM(B380:D380)</f>
        <v>17.361999999892454</v>
      </c>
      <c r="F380" s="300"/>
      <c r="G380" s="300">
        <v>14.910999999884687</v>
      </c>
      <c r="H380" s="300">
        <v>3.2839999999820342</v>
      </c>
      <c r="I380" s="300">
        <v>5.4310000000621352</v>
      </c>
      <c r="J380" s="300">
        <f t="shared" ref="J380:J381" si="1005">SUM(G380:I380)</f>
        <v>23.625999999928855</v>
      </c>
      <c r="K380" s="300"/>
      <c r="L380" s="300">
        <v>16.51599999983619</v>
      </c>
      <c r="M380" s="300">
        <v>4.1729999999695284</v>
      </c>
      <c r="N380" s="300">
        <v>2.8440000000095087</v>
      </c>
      <c r="O380" s="300">
        <f t="shared" ref="O380:O381" si="1006">SUM(L380:N380)</f>
        <v>23.532999999815225</v>
      </c>
      <c r="P380" s="300"/>
      <c r="Q380" s="300">
        <v>16.74199999990693</v>
      </c>
      <c r="R380" s="300">
        <v>4.2419999999711271</v>
      </c>
      <c r="S380" s="300">
        <v>3.0340000000016469</v>
      </c>
      <c r="T380" s="300">
        <f t="shared" ref="T380:T381" si="1007">SUM(Q380:S380)</f>
        <v>24.017999999879706</v>
      </c>
      <c r="U380" s="300"/>
      <c r="V380" s="300">
        <v>18.841999999835583</v>
      </c>
      <c r="W380" s="300">
        <v>4.8609999999330613</v>
      </c>
      <c r="X380" s="300">
        <v>3.7099999999989555</v>
      </c>
      <c r="Y380" s="300">
        <f t="shared" ref="Y380:Y381" si="1008">SUM(V380:X380)</f>
        <v>27.412999999767599</v>
      </c>
    </row>
    <row r="381" spans="1:25" ht="12.45" x14ac:dyDescent="0.3">
      <c r="A381" s="264" t="s">
        <v>354</v>
      </c>
      <c r="B381" s="301">
        <f>SUM(B379:B380)</f>
        <v>26.143999999802475</v>
      </c>
      <c r="C381" s="301">
        <f t="shared" ref="C381" si="1009">SUM(C379:C380)</f>
        <v>11.180000000104119</v>
      </c>
      <c r="D381" s="301">
        <f t="shared" ref="D381" si="1010">SUM(D379:D380)</f>
        <v>7.5610000000418403</v>
      </c>
      <c r="E381" s="301">
        <f t="shared" si="1004"/>
        <v>44.884999999948434</v>
      </c>
      <c r="F381" s="301"/>
      <c r="G381" s="301">
        <f>SUM(G379:G380)</f>
        <v>27.904999999757006</v>
      </c>
      <c r="H381" s="301">
        <f t="shared" ref="H381" si="1011">SUM(H379:H380)</f>
        <v>12.520000000122851</v>
      </c>
      <c r="I381" s="301">
        <f t="shared" ref="I381" si="1012">SUM(I379:I380)</f>
        <v>10.273000000110995</v>
      </c>
      <c r="J381" s="301">
        <f t="shared" si="1005"/>
        <v>50.697999999990856</v>
      </c>
      <c r="K381" s="301"/>
      <c r="L381" s="301">
        <f>SUM(L379:L380)</f>
        <v>32.900999999723751</v>
      </c>
      <c r="M381" s="301">
        <f t="shared" ref="M381" si="1013">SUM(M379:M380)</f>
        <v>12.663999999954214</v>
      </c>
      <c r="N381" s="301">
        <f t="shared" ref="N381" si="1014">SUM(N379:N380)</f>
        <v>6.419999999970015</v>
      </c>
      <c r="O381" s="301">
        <f t="shared" si="1006"/>
        <v>51.984999999647982</v>
      </c>
      <c r="P381" s="301"/>
      <c r="Q381" s="301">
        <f>SUM(Q379:Q380)</f>
        <v>33.955000000247644</v>
      </c>
      <c r="R381" s="301">
        <f t="shared" ref="R381" si="1015">SUM(R379:R380)</f>
        <v>12.480000000064436</v>
      </c>
      <c r="S381" s="301">
        <f t="shared" ref="S381" si="1016">SUM(S379:S380)</f>
        <v>6.713000000005783</v>
      </c>
      <c r="T381" s="301">
        <f t="shared" si="1007"/>
        <v>53.148000000317865</v>
      </c>
      <c r="U381" s="301"/>
      <c r="V381" s="301">
        <f>SUM(V379:V380)</f>
        <v>39.592999999785071</v>
      </c>
      <c r="W381" s="301">
        <f t="shared" ref="W381" si="1017">SUM(W379:W380)</f>
        <v>13.351999999873804</v>
      </c>
      <c r="X381" s="301">
        <f t="shared" ref="X381" si="1018">SUM(X379:X380)</f>
        <v>7.8820000000077277</v>
      </c>
      <c r="Y381" s="301">
        <f t="shared" si="1008"/>
        <v>60.826999999666604</v>
      </c>
    </row>
    <row r="382" spans="1:25" ht="12.45" x14ac:dyDescent="0.3">
      <c r="C382" s="263"/>
    </row>
    <row r="383" spans="1:25" x14ac:dyDescent="0.35">
      <c r="A383" s="261"/>
    </row>
    <row r="384" spans="1:25" ht="12.45" x14ac:dyDescent="0.3">
      <c r="C384" s="263"/>
    </row>
    <row r="385" spans="1:25" ht="14.15" x14ac:dyDescent="0.35">
      <c r="A385" s="265" t="str">
        <f>"Industry 16 : "&amp; name!B19</f>
        <v>Industry 16 : Professional services</v>
      </c>
      <c r="B385" s="372">
        <f>$B$5</f>
        <v>2015</v>
      </c>
      <c r="C385" s="372"/>
      <c r="D385" s="372"/>
      <c r="E385" s="372"/>
      <c r="F385" s="320"/>
      <c r="G385" s="372">
        <f>$G$5</f>
        <v>2019</v>
      </c>
      <c r="H385" s="372"/>
      <c r="I385" s="372"/>
      <c r="J385" s="372"/>
      <c r="K385" s="320"/>
      <c r="L385" s="372">
        <f>$L$5</f>
        <v>2020</v>
      </c>
      <c r="M385" s="372"/>
      <c r="N385" s="372"/>
      <c r="O385" s="372"/>
      <c r="P385" s="318"/>
      <c r="Q385" s="372">
        <f>$Q$5</f>
        <v>2025</v>
      </c>
      <c r="R385" s="372"/>
      <c r="S385" s="372"/>
      <c r="T385" s="372"/>
      <c r="U385" s="320"/>
      <c r="V385" s="372">
        <f>$V$5</f>
        <v>2035</v>
      </c>
      <c r="W385" s="372"/>
      <c r="X385" s="372"/>
      <c r="Y385" s="372"/>
    </row>
    <row r="386" spans="1:25" ht="12.45" x14ac:dyDescent="0.3">
      <c r="A386" s="264"/>
      <c r="B386" s="268" t="str">
        <f>$B$6</f>
        <v>FT</v>
      </c>
      <c r="C386" s="268" t="str">
        <f>$C$6</f>
        <v>PT</v>
      </c>
      <c r="D386" s="268" t="str">
        <f>$D$6</f>
        <v>SE</v>
      </c>
      <c r="E386" s="268" t="str">
        <f>$E$6</f>
        <v>Total</v>
      </c>
      <c r="F386" s="268"/>
      <c r="G386" s="268" t="str">
        <f>$B$6</f>
        <v>FT</v>
      </c>
      <c r="H386" s="268" t="str">
        <f>$C$6</f>
        <v>PT</v>
      </c>
      <c r="I386" s="268" t="str">
        <f>$D$6</f>
        <v>SE</v>
      </c>
      <c r="J386" s="268" t="str">
        <f>$E$6</f>
        <v>Total</v>
      </c>
      <c r="K386" s="268"/>
      <c r="L386" s="268" t="str">
        <f>$L$6</f>
        <v>FT</v>
      </c>
      <c r="M386" s="268" t="str">
        <f>$M$6</f>
        <v>PT</v>
      </c>
      <c r="N386" s="268" t="str">
        <f>$N$6</f>
        <v>SE</v>
      </c>
      <c r="O386" s="268" t="str">
        <f>$O$6</f>
        <v>Total</v>
      </c>
      <c r="P386" s="268"/>
      <c r="Q386" s="268" t="str">
        <f>$L$6</f>
        <v>FT</v>
      </c>
      <c r="R386" s="268" t="str">
        <f>$M$6</f>
        <v>PT</v>
      </c>
      <c r="S386" s="268" t="str">
        <f>$N$6</f>
        <v>SE</v>
      </c>
      <c r="T386" s="268" t="str">
        <f>$O$6</f>
        <v>Total</v>
      </c>
      <c r="U386" s="268"/>
      <c r="V386" s="268" t="str">
        <f>$V$6</f>
        <v>FT</v>
      </c>
      <c r="W386" s="268" t="str">
        <f>$W$6</f>
        <v>PT</v>
      </c>
      <c r="X386" s="268" t="str">
        <f>$X$6</f>
        <v>SE</v>
      </c>
      <c r="Y386" s="268" t="str">
        <f>$Y$6</f>
        <v>Total</v>
      </c>
    </row>
    <row r="387" spans="1:25" ht="12.45" x14ac:dyDescent="0.3">
      <c r="C387" s="319"/>
      <c r="D387" s="319"/>
      <c r="E387" s="319"/>
      <c r="F387" s="319"/>
      <c r="G387" s="319"/>
      <c r="H387" s="319"/>
      <c r="I387" s="319"/>
      <c r="J387" s="319"/>
      <c r="K387" s="319"/>
      <c r="L387" s="319"/>
      <c r="M387" s="319"/>
      <c r="N387" s="319"/>
      <c r="O387" s="319"/>
      <c r="P387" s="319"/>
      <c r="Q387" s="319"/>
      <c r="R387" s="319"/>
      <c r="S387" s="319"/>
      <c r="T387" s="319"/>
      <c r="U387" s="319"/>
      <c r="V387" s="319"/>
      <c r="W387" s="319"/>
      <c r="X387" s="319"/>
      <c r="Y387" s="319"/>
    </row>
    <row r="388" spans="1:25" ht="12.45" x14ac:dyDescent="0.3">
      <c r="A388" s="261" t="str">
        <f>name!A54</f>
        <v>Legal and accounting</v>
      </c>
      <c r="C388" s="263"/>
    </row>
    <row r="389" spans="1:25" ht="12.45" x14ac:dyDescent="0.3">
      <c r="A389" s="260" t="s">
        <v>356</v>
      </c>
      <c r="B389" s="300">
        <v>18.703999999570918</v>
      </c>
      <c r="C389" s="300">
        <v>10.34599999993466</v>
      </c>
      <c r="D389" s="300">
        <v>4.2549999999741983</v>
      </c>
      <c r="E389" s="300">
        <f>SUM(B389:D389)</f>
        <v>33.304999999479776</v>
      </c>
      <c r="F389" s="300"/>
      <c r="G389" s="300">
        <v>18.110999999540123</v>
      </c>
      <c r="H389" s="300">
        <v>16.779999999916921</v>
      </c>
      <c r="I389" s="300">
        <v>2.6489999999875464</v>
      </c>
      <c r="J389" s="300">
        <f>SUM(G389:I389)</f>
        <v>37.539999999444589</v>
      </c>
      <c r="K389" s="300"/>
      <c r="L389" s="300">
        <v>17.492000000157766</v>
      </c>
      <c r="M389" s="300">
        <v>15.164000000117591</v>
      </c>
      <c r="N389" s="300">
        <v>2.2340000000133902</v>
      </c>
      <c r="O389" s="300">
        <f>SUM(L389:N389)</f>
        <v>34.890000000288744</v>
      </c>
      <c r="P389" s="300"/>
      <c r="Q389" s="300">
        <v>18.553000000633499</v>
      </c>
      <c r="R389" s="300">
        <v>16.373000000148821</v>
      </c>
      <c r="S389" s="300">
        <v>2.3850000000204625</v>
      </c>
      <c r="T389" s="300">
        <f>SUM(Q389:S389)</f>
        <v>37.311000000802785</v>
      </c>
      <c r="U389" s="300"/>
      <c r="V389" s="300">
        <v>19.554000000245093</v>
      </c>
      <c r="W389" s="300">
        <v>17.86500000017276</v>
      </c>
      <c r="X389" s="300">
        <v>2.5420000000311083</v>
      </c>
      <c r="Y389" s="300">
        <f>SUM(V389:X389)</f>
        <v>39.961000000448962</v>
      </c>
    </row>
    <row r="390" spans="1:25" ht="12.45" x14ac:dyDescent="0.3">
      <c r="A390" s="260" t="s">
        <v>355</v>
      </c>
      <c r="B390" s="300">
        <v>18.431999999722983</v>
      </c>
      <c r="C390" s="300">
        <v>3.8199999999576661</v>
      </c>
      <c r="D390" s="300">
        <v>7.114000000124312</v>
      </c>
      <c r="E390" s="300">
        <f t="shared" ref="E390:E391" si="1019">SUM(B390:D390)</f>
        <v>29.365999999804963</v>
      </c>
      <c r="F390" s="300"/>
      <c r="G390" s="300">
        <v>20.873999999634037</v>
      </c>
      <c r="H390" s="300">
        <v>4.7229999999475298</v>
      </c>
      <c r="I390" s="300">
        <v>9.1959999999177651</v>
      </c>
      <c r="J390" s="300">
        <f t="shared" ref="J390:J391" si="1020">SUM(G390:I390)</f>
        <v>34.79299999949933</v>
      </c>
      <c r="K390" s="300"/>
      <c r="L390" s="300">
        <v>19.303999999570816</v>
      </c>
      <c r="M390" s="300">
        <v>6.287999999970868</v>
      </c>
      <c r="N390" s="300">
        <v>5.4480000000311737</v>
      </c>
      <c r="O390" s="300">
        <f t="shared" ref="O390:O391" si="1021">SUM(L390:N390)</f>
        <v>31.039999999572856</v>
      </c>
      <c r="P390" s="300"/>
      <c r="Q390" s="300">
        <v>20.905999999616999</v>
      </c>
      <c r="R390" s="300">
        <v>6.935999999962605</v>
      </c>
      <c r="S390" s="300">
        <v>5.7970000002615061</v>
      </c>
      <c r="T390" s="300">
        <f t="shared" ref="T390:T391" si="1022">SUM(Q390:S390)</f>
        <v>33.638999999841111</v>
      </c>
      <c r="U390" s="300"/>
      <c r="V390" s="300">
        <v>23.011999999352007</v>
      </c>
      <c r="W390" s="300">
        <v>7.8959999999518349</v>
      </c>
      <c r="X390" s="300">
        <v>6.1430000001219272</v>
      </c>
      <c r="Y390" s="300">
        <f t="shared" ref="Y390:Y391" si="1023">SUM(V390:X390)</f>
        <v>37.05099999942577</v>
      </c>
    </row>
    <row r="391" spans="1:25" ht="12.45" x14ac:dyDescent="0.3">
      <c r="A391" s="260" t="s">
        <v>354</v>
      </c>
      <c r="B391" s="300">
        <f>SUM(B389:B390)</f>
        <v>37.135999999293901</v>
      </c>
      <c r="C391" s="300">
        <f t="shared" ref="C391" si="1024">SUM(C389:C390)</f>
        <v>14.165999999892326</v>
      </c>
      <c r="D391" s="300">
        <f t="shared" ref="D391" si="1025">SUM(D389:D390)</f>
        <v>11.369000000098509</v>
      </c>
      <c r="E391" s="300">
        <f t="shared" si="1019"/>
        <v>62.670999999284739</v>
      </c>
      <c r="F391" s="300"/>
      <c r="G391" s="300">
        <f>SUM(G389:G390)</f>
        <v>38.984999999174164</v>
      </c>
      <c r="H391" s="300">
        <f t="shared" ref="H391" si="1026">SUM(H389:H390)</f>
        <v>21.50299999986445</v>
      </c>
      <c r="I391" s="300">
        <f t="shared" ref="I391" si="1027">SUM(I389:I390)</f>
        <v>11.844999999905312</v>
      </c>
      <c r="J391" s="300">
        <f t="shared" si="1020"/>
        <v>72.332999998943933</v>
      </c>
      <c r="K391" s="300"/>
      <c r="L391" s="300">
        <f>SUM(L389:L390)</f>
        <v>36.795999999728579</v>
      </c>
      <c r="M391" s="300">
        <f t="shared" ref="M391" si="1028">SUM(M389:M390)</f>
        <v>21.452000000088461</v>
      </c>
      <c r="N391" s="300">
        <f t="shared" ref="N391" si="1029">SUM(N389:N390)</f>
        <v>7.6820000000445638</v>
      </c>
      <c r="O391" s="300">
        <f t="shared" si="1021"/>
        <v>65.929999999861607</v>
      </c>
      <c r="P391" s="300"/>
      <c r="Q391" s="300">
        <f>SUM(Q389:Q390)</f>
        <v>39.459000000250498</v>
      </c>
      <c r="R391" s="300">
        <f t="shared" ref="R391" si="1030">SUM(R389:R390)</f>
        <v>23.309000000111425</v>
      </c>
      <c r="S391" s="300">
        <f t="shared" ref="S391" si="1031">SUM(S389:S390)</f>
        <v>8.1820000002819686</v>
      </c>
      <c r="T391" s="300">
        <f t="shared" si="1022"/>
        <v>70.950000000643897</v>
      </c>
      <c r="U391" s="300"/>
      <c r="V391" s="300">
        <f>SUM(V389:V390)</f>
        <v>42.565999999597096</v>
      </c>
      <c r="W391" s="300">
        <f t="shared" ref="W391" si="1032">SUM(W389:W390)</f>
        <v>25.761000000124596</v>
      </c>
      <c r="X391" s="300">
        <f t="shared" ref="X391" si="1033">SUM(X389:X390)</f>
        <v>8.6850000001530354</v>
      </c>
      <c r="Y391" s="300">
        <f t="shared" si="1023"/>
        <v>77.011999999874732</v>
      </c>
    </row>
    <row r="392" spans="1:25" ht="12.45" x14ac:dyDescent="0.3">
      <c r="C392" s="319"/>
      <c r="D392" s="319"/>
      <c r="E392" s="319"/>
      <c r="F392" s="319"/>
      <c r="G392" s="319"/>
      <c r="H392" s="319"/>
      <c r="I392" s="319"/>
      <c r="J392" s="319"/>
      <c r="K392" s="319"/>
      <c r="L392" s="319"/>
      <c r="M392" s="319"/>
      <c r="N392" s="319"/>
      <c r="O392" s="319"/>
      <c r="P392" s="319"/>
      <c r="Q392" s="319"/>
      <c r="R392" s="319"/>
      <c r="S392" s="319"/>
      <c r="T392" s="319"/>
      <c r="U392" s="319"/>
      <c r="V392" s="319"/>
      <c r="W392" s="319"/>
      <c r="X392" s="319"/>
      <c r="Y392" s="319"/>
    </row>
    <row r="393" spans="1:25" ht="12.45" x14ac:dyDescent="0.3">
      <c r="A393" s="261" t="str">
        <f>name!A55</f>
        <v>Head offices, etc</v>
      </c>
      <c r="C393" s="263"/>
    </row>
    <row r="394" spans="1:25" ht="12.45" x14ac:dyDescent="0.3">
      <c r="A394" s="260" t="s">
        <v>356</v>
      </c>
      <c r="B394" s="300">
        <v>17.722999999593423</v>
      </c>
      <c r="C394" s="300">
        <v>16.89599999989327</v>
      </c>
      <c r="D394" s="300">
        <v>4.4159999999732271</v>
      </c>
      <c r="E394" s="300">
        <f>SUM(B394:D394)</f>
        <v>39.034999999459913</v>
      </c>
      <c r="F394" s="300"/>
      <c r="G394" s="300">
        <v>19.360999999508365</v>
      </c>
      <c r="H394" s="300">
        <v>15.741999999922047</v>
      </c>
      <c r="I394" s="300">
        <v>2.1359999999899588</v>
      </c>
      <c r="J394" s="300">
        <f>SUM(G394:I394)</f>
        <v>37.238999999420365</v>
      </c>
      <c r="K394" s="300"/>
      <c r="L394" s="300">
        <v>18.126000000163494</v>
      </c>
      <c r="M394" s="300">
        <v>12.132000000094076</v>
      </c>
      <c r="N394" s="300">
        <v>1.9580000000117372</v>
      </c>
      <c r="O394" s="300">
        <f>SUM(L394:N394)</f>
        <v>32.216000000269304</v>
      </c>
      <c r="P394" s="300"/>
      <c r="Q394" s="300">
        <v>19.022000000649488</v>
      </c>
      <c r="R394" s="300">
        <v>12.850000000116799</v>
      </c>
      <c r="S394" s="300">
        <v>1.9660000000168683</v>
      </c>
      <c r="T394" s="300">
        <f>SUM(Q394:S394)</f>
        <v>33.838000000783154</v>
      </c>
      <c r="U394" s="300"/>
      <c r="V394" s="300">
        <v>20.217000000253446</v>
      </c>
      <c r="W394" s="300">
        <v>13.875000000134181</v>
      </c>
      <c r="X394" s="300">
        <v>1.9000000000232509</v>
      </c>
      <c r="Y394" s="300">
        <f>SUM(V394:X394)</f>
        <v>35.992000000410876</v>
      </c>
    </row>
    <row r="395" spans="1:25" ht="12.45" x14ac:dyDescent="0.3">
      <c r="A395" s="260" t="s">
        <v>355</v>
      </c>
      <c r="B395" s="300">
        <v>27.588999999585358</v>
      </c>
      <c r="C395" s="300">
        <v>4.7089999999478103</v>
      </c>
      <c r="D395" s="300">
        <v>4.4060000000769968</v>
      </c>
      <c r="E395" s="300">
        <f t="shared" ref="E395:E396" si="1034">SUM(B395:D395)</f>
        <v>36.703999999610161</v>
      </c>
      <c r="F395" s="300"/>
      <c r="G395" s="300">
        <v>30.84799999945918</v>
      </c>
      <c r="H395" s="300">
        <v>3.8889999999568015</v>
      </c>
      <c r="I395" s="300">
        <v>4.6299999999585939</v>
      </c>
      <c r="J395" s="300">
        <f t="shared" ref="J395:J396" si="1035">SUM(G395:I395)</f>
        <v>39.366999999374571</v>
      </c>
      <c r="K395" s="300"/>
      <c r="L395" s="300">
        <v>34.059999999242741</v>
      </c>
      <c r="M395" s="300">
        <v>4.73599999997806</v>
      </c>
      <c r="N395" s="300">
        <v>3.5820000000204941</v>
      </c>
      <c r="O395" s="300">
        <f t="shared" ref="O395:O396" si="1036">SUM(L395:N395)</f>
        <v>42.377999999241297</v>
      </c>
      <c r="P395" s="300"/>
      <c r="Q395" s="300">
        <v>34.745999999363441</v>
      </c>
      <c r="R395" s="300">
        <v>4.9959999999730691</v>
      </c>
      <c r="S395" s="300">
        <v>3.725000000168035</v>
      </c>
      <c r="T395" s="300">
        <f t="shared" ref="T395:T396" si="1037">SUM(Q395:S395)</f>
        <v>43.466999999504552</v>
      </c>
      <c r="U395" s="300"/>
      <c r="V395" s="300">
        <v>34.888999999017571</v>
      </c>
      <c r="W395" s="300">
        <v>5.3579999999673236</v>
      </c>
      <c r="X395" s="300">
        <v>3.8890000000771887</v>
      </c>
      <c r="Y395" s="300">
        <f t="shared" ref="Y395:Y396" si="1038">SUM(V395:X395)</f>
        <v>44.135999999062086</v>
      </c>
    </row>
    <row r="396" spans="1:25" ht="12.45" x14ac:dyDescent="0.3">
      <c r="A396" s="260" t="s">
        <v>354</v>
      </c>
      <c r="B396" s="300">
        <f>SUM(B394:B395)</f>
        <v>45.311999999178781</v>
      </c>
      <c r="C396" s="300">
        <f t="shared" ref="C396" si="1039">SUM(C394:C395)</f>
        <v>21.60499999984108</v>
      </c>
      <c r="D396" s="300">
        <f t="shared" ref="D396" si="1040">SUM(D394:D395)</f>
        <v>8.8220000000502239</v>
      </c>
      <c r="E396" s="300">
        <f t="shared" si="1034"/>
        <v>75.738999999070089</v>
      </c>
      <c r="F396" s="300"/>
      <c r="G396" s="300">
        <f>SUM(G394:G395)</f>
        <v>50.208999998967542</v>
      </c>
      <c r="H396" s="300">
        <f t="shared" ref="H396" si="1041">SUM(H394:H395)</f>
        <v>19.630999999878849</v>
      </c>
      <c r="I396" s="300">
        <f t="shared" ref="I396" si="1042">SUM(I394:I395)</f>
        <v>6.7659999999485532</v>
      </c>
      <c r="J396" s="300">
        <f t="shared" si="1035"/>
        <v>76.605999998794942</v>
      </c>
      <c r="K396" s="300"/>
      <c r="L396" s="300">
        <f>SUM(L394:L395)</f>
        <v>52.185999999406235</v>
      </c>
      <c r="M396" s="300">
        <f t="shared" ref="M396" si="1043">SUM(M394:M395)</f>
        <v>16.868000000072136</v>
      </c>
      <c r="N396" s="300">
        <f t="shared" ref="N396" si="1044">SUM(N394:N395)</f>
        <v>5.5400000000322311</v>
      </c>
      <c r="O396" s="300">
        <f t="shared" si="1036"/>
        <v>74.593999999510615</v>
      </c>
      <c r="P396" s="300"/>
      <c r="Q396" s="300">
        <f>SUM(Q394:Q395)</f>
        <v>53.768000000012933</v>
      </c>
      <c r="R396" s="300">
        <f t="shared" ref="R396" si="1045">SUM(R394:R395)</f>
        <v>17.846000000089866</v>
      </c>
      <c r="S396" s="300">
        <f t="shared" ref="S396" si="1046">SUM(S394:S395)</f>
        <v>5.6910000001849035</v>
      </c>
      <c r="T396" s="300">
        <f t="shared" si="1037"/>
        <v>77.305000000287706</v>
      </c>
      <c r="U396" s="300"/>
      <c r="V396" s="300">
        <f>SUM(V394:V395)</f>
        <v>55.10599999927102</v>
      </c>
      <c r="W396" s="300">
        <f t="shared" ref="W396" si="1047">SUM(W394:W395)</f>
        <v>19.233000000101505</v>
      </c>
      <c r="X396" s="300">
        <f t="shared" ref="X396" si="1048">SUM(X394:X395)</f>
        <v>5.7890000001004394</v>
      </c>
      <c r="Y396" s="300">
        <f t="shared" si="1038"/>
        <v>80.127999999472976</v>
      </c>
    </row>
    <row r="397" spans="1:25" ht="12.45" x14ac:dyDescent="0.3">
      <c r="C397" s="319"/>
      <c r="D397" s="319"/>
      <c r="E397" s="319"/>
      <c r="F397" s="319"/>
      <c r="G397" s="319"/>
      <c r="H397" s="319"/>
      <c r="I397" s="319"/>
      <c r="J397" s="319"/>
      <c r="K397" s="319"/>
      <c r="L397" s="319"/>
      <c r="M397" s="319"/>
      <c r="N397" s="319"/>
      <c r="O397" s="319"/>
      <c r="P397" s="319"/>
      <c r="Q397" s="319"/>
      <c r="R397" s="319"/>
      <c r="S397" s="319"/>
      <c r="T397" s="319"/>
      <c r="U397" s="319"/>
      <c r="V397" s="319"/>
      <c r="W397" s="319"/>
      <c r="X397" s="319"/>
      <c r="Y397" s="319"/>
    </row>
    <row r="398" spans="1:25" ht="12.45" x14ac:dyDescent="0.3">
      <c r="A398" s="261" t="str">
        <f>name!A56</f>
        <v>Architectural and related</v>
      </c>
      <c r="C398" s="263"/>
    </row>
    <row r="399" spans="1:25" ht="12.45" x14ac:dyDescent="0.3">
      <c r="A399" s="260" t="s">
        <v>356</v>
      </c>
      <c r="B399" s="300">
        <v>9.4419999997834037</v>
      </c>
      <c r="C399" s="300">
        <v>3.5289999999777057</v>
      </c>
      <c r="D399" s="300">
        <v>1.4239999999913677</v>
      </c>
      <c r="E399" s="300">
        <f>SUM(B399:D399)</f>
        <v>14.394999999752477</v>
      </c>
      <c r="F399" s="300"/>
      <c r="G399" s="300">
        <v>10.401999999735853</v>
      </c>
      <c r="H399" s="300">
        <v>5.6409999999720624</v>
      </c>
      <c r="I399" s="300">
        <v>0.66599999999686876</v>
      </c>
      <c r="J399" s="300">
        <f>SUM(G399:I399)</f>
        <v>16.708999999704787</v>
      </c>
      <c r="K399" s="300"/>
      <c r="L399" s="300">
        <v>10.445000000094213</v>
      </c>
      <c r="M399" s="300">
        <v>4.0680000000315442</v>
      </c>
      <c r="N399" s="300">
        <v>0.87300000000523326</v>
      </c>
      <c r="O399" s="300">
        <f>SUM(L399:N399)</f>
        <v>15.38600000013099</v>
      </c>
      <c r="P399" s="300"/>
      <c r="Q399" s="300">
        <v>11.015000000376109</v>
      </c>
      <c r="R399" s="300">
        <v>4.1950000000381316</v>
      </c>
      <c r="S399" s="300">
        <v>0.87300000000749078</v>
      </c>
      <c r="T399" s="300">
        <f>SUM(Q399:S399)</f>
        <v>16.08300000042173</v>
      </c>
      <c r="U399" s="300"/>
      <c r="V399" s="300">
        <v>12.346000000154758</v>
      </c>
      <c r="W399" s="300">
        <v>4.5270000000437811</v>
      </c>
      <c r="X399" s="300">
        <v>0.88300000001080581</v>
      </c>
      <c r="Y399" s="300">
        <f>SUM(V399:X399)</f>
        <v>17.756000000209344</v>
      </c>
    </row>
    <row r="400" spans="1:25" ht="12.45" x14ac:dyDescent="0.3">
      <c r="A400" s="260" t="s">
        <v>355</v>
      </c>
      <c r="B400" s="300">
        <v>25.757999999612913</v>
      </c>
      <c r="C400" s="300">
        <v>2.1869999999757623</v>
      </c>
      <c r="D400" s="300">
        <v>5.2050000000909522</v>
      </c>
      <c r="E400" s="300">
        <f t="shared" ref="E400:E401" si="1049">SUM(B400:D400)</f>
        <v>33.149999999679629</v>
      </c>
      <c r="F400" s="300"/>
      <c r="G400" s="300">
        <v>34.156999999401172</v>
      </c>
      <c r="H400" s="300">
        <v>5.0299999999441152</v>
      </c>
      <c r="I400" s="300">
        <v>8.4069999999248299</v>
      </c>
      <c r="J400" s="300">
        <f t="shared" ref="J400:J401" si="1050">SUM(G400:I400)</f>
        <v>47.593999999270117</v>
      </c>
      <c r="K400" s="300"/>
      <c r="L400" s="300">
        <v>37.78899999915982</v>
      </c>
      <c r="M400" s="300">
        <v>4.7069999999781951</v>
      </c>
      <c r="N400" s="300">
        <v>6.1540000000352215</v>
      </c>
      <c r="O400" s="300">
        <f t="shared" ref="O400:O401" si="1051">SUM(L400:N400)</f>
        <v>48.649999999173232</v>
      </c>
      <c r="P400" s="300"/>
      <c r="Q400" s="300">
        <v>38.053999999302881</v>
      </c>
      <c r="R400" s="300">
        <v>4.9279999999734354</v>
      </c>
      <c r="S400" s="300">
        <v>6.211000000280186</v>
      </c>
      <c r="T400" s="300">
        <f t="shared" ref="T400:T401" si="1052">SUM(Q400:S400)</f>
        <v>49.192999999556505</v>
      </c>
      <c r="U400" s="300"/>
      <c r="V400" s="300">
        <v>39.121999998898382</v>
      </c>
      <c r="W400" s="300">
        <v>5.4739999999666153</v>
      </c>
      <c r="X400" s="300">
        <v>6.418000000127388</v>
      </c>
      <c r="Y400" s="300">
        <f t="shared" ref="Y400:Y401" si="1053">SUM(V400:X400)</f>
        <v>51.013999998992382</v>
      </c>
    </row>
    <row r="401" spans="1:25" ht="12.45" x14ac:dyDescent="0.3">
      <c r="A401" s="260" t="s">
        <v>354</v>
      </c>
      <c r="B401" s="300">
        <f>SUM(B399:B400)</f>
        <v>35.199999999396319</v>
      </c>
      <c r="C401" s="300">
        <f t="shared" ref="C401" si="1054">SUM(C399:C400)</f>
        <v>5.7159999999534676</v>
      </c>
      <c r="D401" s="300">
        <f t="shared" ref="D401" si="1055">SUM(D399:D400)</f>
        <v>6.6290000000823195</v>
      </c>
      <c r="E401" s="300">
        <f t="shared" si="1049"/>
        <v>47.544999999432108</v>
      </c>
      <c r="F401" s="300"/>
      <c r="G401" s="300">
        <f>SUM(G399:G400)</f>
        <v>44.558999999137029</v>
      </c>
      <c r="H401" s="300">
        <f t="shared" ref="H401" si="1056">SUM(H399:H400)</f>
        <v>10.670999999916177</v>
      </c>
      <c r="I401" s="300">
        <f t="shared" ref="I401" si="1057">SUM(I399:I400)</f>
        <v>9.0729999999216986</v>
      </c>
      <c r="J401" s="300">
        <f t="shared" si="1050"/>
        <v>64.302999998974911</v>
      </c>
      <c r="K401" s="300"/>
      <c r="L401" s="300">
        <f>SUM(L399:L400)</f>
        <v>48.233999999254031</v>
      </c>
      <c r="M401" s="300">
        <f t="shared" ref="M401" si="1058">SUM(M399:M400)</f>
        <v>8.7750000000097401</v>
      </c>
      <c r="N401" s="300">
        <f t="shared" ref="N401" si="1059">SUM(N399:N400)</f>
        <v>7.0270000000404549</v>
      </c>
      <c r="O401" s="300">
        <f t="shared" si="1051"/>
        <v>64.035999999304224</v>
      </c>
      <c r="P401" s="300"/>
      <c r="Q401" s="300">
        <f>SUM(Q399:Q400)</f>
        <v>49.068999999678994</v>
      </c>
      <c r="R401" s="300">
        <f t="shared" ref="R401" si="1060">SUM(R399:R400)</f>
        <v>9.123000000011567</v>
      </c>
      <c r="S401" s="300">
        <f t="shared" ref="S401" si="1061">SUM(S399:S400)</f>
        <v>7.0840000002876771</v>
      </c>
      <c r="T401" s="300">
        <f t="shared" si="1052"/>
        <v>65.275999999978239</v>
      </c>
      <c r="U401" s="300"/>
      <c r="V401" s="300">
        <f>SUM(V399:V400)</f>
        <v>51.467999999053141</v>
      </c>
      <c r="W401" s="300">
        <f t="shared" ref="W401" si="1062">SUM(W399:W400)</f>
        <v>10.001000000010396</v>
      </c>
      <c r="X401" s="300">
        <f t="shared" ref="X401" si="1063">SUM(X399:X400)</f>
        <v>7.3010000001381936</v>
      </c>
      <c r="Y401" s="300">
        <f t="shared" si="1053"/>
        <v>68.76999999920173</v>
      </c>
    </row>
    <row r="402" spans="1:25" ht="12.45" x14ac:dyDescent="0.3">
      <c r="C402" s="319"/>
      <c r="D402" s="319"/>
      <c r="E402" s="319"/>
      <c r="F402" s="319"/>
      <c r="G402" s="319"/>
      <c r="H402" s="319"/>
      <c r="I402" s="319"/>
      <c r="J402" s="319"/>
      <c r="K402" s="319"/>
      <c r="L402" s="319"/>
      <c r="M402" s="319"/>
      <c r="N402" s="319"/>
      <c r="O402" s="319"/>
      <c r="P402" s="319"/>
      <c r="Q402" s="319"/>
      <c r="R402" s="319"/>
      <c r="S402" s="319"/>
      <c r="T402" s="319"/>
      <c r="U402" s="319"/>
      <c r="V402" s="319"/>
      <c r="W402" s="319"/>
      <c r="X402" s="319"/>
      <c r="Y402" s="319"/>
    </row>
    <row r="403" spans="1:25" ht="12.45" x14ac:dyDescent="0.3">
      <c r="A403" s="261" t="str">
        <f>name!A57</f>
        <v>Scientific research and development</v>
      </c>
      <c r="C403" s="263"/>
    </row>
    <row r="404" spans="1:25" ht="12.45" x14ac:dyDescent="0.3">
      <c r="A404" s="260" t="s">
        <v>356</v>
      </c>
      <c r="B404" s="300">
        <v>6.2189999998821914</v>
      </c>
      <c r="C404" s="300">
        <v>1.8319999999674927</v>
      </c>
      <c r="D404" s="300">
        <v>5.8399999999365582</v>
      </c>
      <c r="E404" s="300">
        <f>SUM(B404:D404)</f>
        <v>13.890999999786242</v>
      </c>
      <c r="F404" s="300"/>
      <c r="G404" s="300">
        <v>8.0939999998796086</v>
      </c>
      <c r="H404" s="300">
        <v>2.1789999999674854</v>
      </c>
      <c r="I404" s="300">
        <v>4.9949999999544543</v>
      </c>
      <c r="J404" s="300">
        <f>SUM(G404:I404)</f>
        <v>15.26799999980155</v>
      </c>
      <c r="K404" s="300"/>
      <c r="L404" s="300">
        <v>8.2840000002758032</v>
      </c>
      <c r="M404" s="300">
        <v>1.7520000000003184</v>
      </c>
      <c r="N404" s="300">
        <v>3.9830000000540928</v>
      </c>
      <c r="O404" s="300">
        <f>SUM(L404:N404)</f>
        <v>14.019000000330214</v>
      </c>
      <c r="P404" s="300"/>
      <c r="Q404" s="300">
        <v>8.8990000000268275</v>
      </c>
      <c r="R404" s="300">
        <v>1.8599999999797441</v>
      </c>
      <c r="S404" s="300">
        <v>4.4390000000532552</v>
      </c>
      <c r="T404" s="300">
        <f>SUM(Q404:S404)</f>
        <v>15.198000000059826</v>
      </c>
      <c r="U404" s="300"/>
      <c r="V404" s="300">
        <v>10.003000000247082</v>
      </c>
      <c r="W404" s="300">
        <v>2.0680000000157115</v>
      </c>
      <c r="X404" s="300">
        <v>5.4980000000761757</v>
      </c>
      <c r="Y404" s="300">
        <f>SUM(V404:X404)</f>
        <v>17.569000000338971</v>
      </c>
    </row>
    <row r="405" spans="1:25" ht="12.45" x14ac:dyDescent="0.3">
      <c r="A405" s="260" t="s">
        <v>355</v>
      </c>
      <c r="B405" s="300">
        <v>14.492999999911611</v>
      </c>
      <c r="C405" s="300">
        <v>1.9399999999623052</v>
      </c>
      <c r="D405" s="300">
        <v>8.1020000000900421</v>
      </c>
      <c r="E405" s="300">
        <f t="shared" ref="E405:E406" si="1064">SUM(B405:D405)</f>
        <v>24.534999999963958</v>
      </c>
      <c r="F405" s="300"/>
      <c r="G405" s="300">
        <v>20.824999999762799</v>
      </c>
      <c r="H405" s="300">
        <v>2.0399999999546821</v>
      </c>
      <c r="I405" s="300">
        <v>11.517999999833277</v>
      </c>
      <c r="J405" s="300">
        <f t="shared" ref="J405:J406" si="1065">SUM(G405:I405)</f>
        <v>34.382999999550755</v>
      </c>
      <c r="K405" s="300"/>
      <c r="L405" s="300">
        <v>20.988999999693313</v>
      </c>
      <c r="M405" s="300">
        <v>1.6270000000067202</v>
      </c>
      <c r="N405" s="300">
        <v>7.2329999999957009</v>
      </c>
      <c r="O405" s="300">
        <f t="shared" ref="O405:O406" si="1066">SUM(L405:N405)</f>
        <v>29.848999999695735</v>
      </c>
      <c r="P405" s="300"/>
      <c r="Q405" s="300">
        <v>22.236999999523672</v>
      </c>
      <c r="R405" s="300">
        <v>1.7979999999892449</v>
      </c>
      <c r="S405" s="300">
        <v>7.8250000002620173</v>
      </c>
      <c r="T405" s="300">
        <f t="shared" ref="T405:T406" si="1067">SUM(Q405:S405)</f>
        <v>31.859999999774935</v>
      </c>
      <c r="U405" s="300"/>
      <c r="V405" s="300">
        <v>24.265999999386015</v>
      </c>
      <c r="W405" s="300">
        <v>2.1689999999818053</v>
      </c>
      <c r="X405" s="300">
        <v>9.0150000000995032</v>
      </c>
      <c r="Y405" s="300">
        <f t="shared" ref="Y405:Y406" si="1068">SUM(V405:X405)</f>
        <v>35.449999999467323</v>
      </c>
    </row>
    <row r="406" spans="1:25" ht="12.45" x14ac:dyDescent="0.3">
      <c r="A406" s="260" t="s">
        <v>354</v>
      </c>
      <c r="B406" s="300">
        <f>SUM(B404:B405)</f>
        <v>20.711999999793804</v>
      </c>
      <c r="C406" s="300">
        <f t="shared" ref="C406" si="1069">SUM(C404:C405)</f>
        <v>3.7719999999297977</v>
      </c>
      <c r="D406" s="300">
        <f t="shared" ref="D406" si="1070">SUM(D404:D405)</f>
        <v>13.942000000026599</v>
      </c>
      <c r="E406" s="300">
        <f t="shared" si="1064"/>
        <v>38.425999999750204</v>
      </c>
      <c r="F406" s="300"/>
      <c r="G406" s="300">
        <f>SUM(G404:G405)</f>
        <v>28.918999999642409</v>
      </c>
      <c r="H406" s="300">
        <f t="shared" ref="H406" si="1071">SUM(H404:H405)</f>
        <v>4.2189999999221675</v>
      </c>
      <c r="I406" s="300">
        <f t="shared" ref="I406" si="1072">SUM(I404:I405)</f>
        <v>16.512999999787731</v>
      </c>
      <c r="J406" s="300">
        <f t="shared" si="1065"/>
        <v>49.650999999352308</v>
      </c>
      <c r="K406" s="300"/>
      <c r="L406" s="300">
        <f>SUM(L404:L405)</f>
        <v>29.272999999969116</v>
      </c>
      <c r="M406" s="300">
        <f t="shared" ref="M406" si="1073">SUM(M404:M405)</f>
        <v>3.3790000000070384</v>
      </c>
      <c r="N406" s="300">
        <f t="shared" ref="N406" si="1074">SUM(N404:N405)</f>
        <v>11.216000000049794</v>
      </c>
      <c r="O406" s="300">
        <f t="shared" si="1066"/>
        <v>43.868000000025951</v>
      </c>
      <c r="P406" s="300"/>
      <c r="Q406" s="300">
        <f>SUM(Q404:Q405)</f>
        <v>31.135999999550499</v>
      </c>
      <c r="R406" s="300">
        <f t="shared" ref="R406" si="1075">SUM(R404:R405)</f>
        <v>3.6579999999689887</v>
      </c>
      <c r="S406" s="300">
        <f t="shared" ref="S406" si="1076">SUM(S404:S405)</f>
        <v>12.264000000315272</v>
      </c>
      <c r="T406" s="300">
        <f t="shared" si="1067"/>
        <v>47.057999999834756</v>
      </c>
      <c r="U406" s="300"/>
      <c r="V406" s="300">
        <f>SUM(V404:V405)</f>
        <v>34.268999999633095</v>
      </c>
      <c r="W406" s="300">
        <f t="shared" ref="W406" si="1077">SUM(W404:W405)</f>
        <v>4.2369999999975168</v>
      </c>
      <c r="X406" s="300">
        <f t="shared" ref="X406" si="1078">SUM(X404:X405)</f>
        <v>14.51300000017568</v>
      </c>
      <c r="Y406" s="300">
        <f t="shared" si="1068"/>
        <v>53.01899999980629</v>
      </c>
    </row>
    <row r="407" spans="1:25" ht="12.45" x14ac:dyDescent="0.3">
      <c r="C407" s="319"/>
      <c r="D407" s="319"/>
      <c r="E407" s="319"/>
      <c r="F407" s="319"/>
      <c r="G407" s="319"/>
      <c r="H407" s="319"/>
      <c r="I407" s="319"/>
      <c r="J407" s="319"/>
      <c r="K407" s="319"/>
      <c r="L407" s="319"/>
      <c r="M407" s="319"/>
      <c r="N407" s="319"/>
      <c r="O407" s="319"/>
      <c r="P407" s="319"/>
      <c r="Q407" s="319"/>
      <c r="R407" s="319"/>
      <c r="S407" s="319"/>
      <c r="T407" s="319"/>
      <c r="U407" s="319"/>
      <c r="V407" s="319"/>
      <c r="W407" s="319"/>
      <c r="X407" s="319"/>
      <c r="Y407" s="319"/>
    </row>
    <row r="408" spans="1:25" ht="12.45" x14ac:dyDescent="0.3">
      <c r="A408" s="261" t="str">
        <f>name!A58</f>
        <v>Advertising, etc</v>
      </c>
      <c r="C408" s="263"/>
    </row>
    <row r="409" spans="1:25" ht="12.45" x14ac:dyDescent="0.3">
      <c r="A409" s="260" t="s">
        <v>356</v>
      </c>
      <c r="B409" s="300">
        <v>5.4509999998749548</v>
      </c>
      <c r="C409" s="300">
        <v>2.3999999999848378</v>
      </c>
      <c r="D409" s="300">
        <v>2.4409999999852006</v>
      </c>
      <c r="E409" s="300">
        <f>SUM(B409:D409)</f>
        <v>10.291999999844993</v>
      </c>
      <c r="F409" s="300"/>
      <c r="G409" s="300">
        <v>4.574999999883822</v>
      </c>
      <c r="H409" s="300">
        <v>3.4259999999830324</v>
      </c>
      <c r="I409" s="300">
        <v>1.4769999999930563</v>
      </c>
      <c r="J409" s="300">
        <f>SUM(G409:I409)</f>
        <v>9.4779999998599109</v>
      </c>
      <c r="K409" s="300"/>
      <c r="L409" s="300">
        <v>4.6830000000422372</v>
      </c>
      <c r="M409" s="300">
        <v>2.755000000021365</v>
      </c>
      <c r="N409" s="300">
        <v>1.1780000000070603</v>
      </c>
      <c r="O409" s="300">
        <f>SUM(L409:N409)</f>
        <v>8.6160000000706631</v>
      </c>
      <c r="P409" s="300"/>
      <c r="Q409" s="300">
        <v>5.0300000001717473</v>
      </c>
      <c r="R409" s="300">
        <v>2.9250000000265843</v>
      </c>
      <c r="S409" s="300">
        <v>1.3130000000112652</v>
      </c>
      <c r="T409" s="300">
        <f>SUM(Q409:S409)</f>
        <v>9.2680000002095966</v>
      </c>
      <c r="U409" s="300"/>
      <c r="V409" s="300">
        <v>5.6540000000708766</v>
      </c>
      <c r="W409" s="300">
        <v>3.2520000000314475</v>
      </c>
      <c r="X409" s="300">
        <v>1.6260000000198971</v>
      </c>
      <c r="Y409" s="300">
        <f>SUM(V409:X409)</f>
        <v>10.53200000012222</v>
      </c>
    </row>
    <row r="410" spans="1:25" ht="12.45" x14ac:dyDescent="0.3">
      <c r="A410" s="260" t="s">
        <v>355</v>
      </c>
      <c r="B410" s="300">
        <v>3.1239999999530483</v>
      </c>
      <c r="C410" s="300">
        <v>0.5819999999935509</v>
      </c>
      <c r="D410" s="300">
        <v>1.7600000000307552</v>
      </c>
      <c r="E410" s="300">
        <f t="shared" ref="E410:E411" si="1079">SUM(B410:D410)</f>
        <v>5.4659999999773543</v>
      </c>
      <c r="F410" s="300"/>
      <c r="G410" s="300">
        <v>2.8949999999492495</v>
      </c>
      <c r="H410" s="300">
        <v>0.7349999999918343</v>
      </c>
      <c r="I410" s="300">
        <v>1.7709999999841608</v>
      </c>
      <c r="J410" s="300">
        <f t="shared" ref="J410:J411" si="1080">SUM(G410:I410)</f>
        <v>5.4009999999252445</v>
      </c>
      <c r="K410" s="300"/>
      <c r="L410" s="300">
        <v>2.9169999999351446</v>
      </c>
      <c r="M410" s="300">
        <v>0.58599999999728536</v>
      </c>
      <c r="N410" s="300">
        <v>1.1120000000063623</v>
      </c>
      <c r="O410" s="300">
        <f t="shared" ref="O410:O411" si="1081">SUM(L410:N410)</f>
        <v>4.6149999999387923</v>
      </c>
      <c r="P410" s="300"/>
      <c r="Q410" s="300">
        <v>3.0909999999433744</v>
      </c>
      <c r="R410" s="300">
        <v>0.64699999999651181</v>
      </c>
      <c r="S410" s="300">
        <v>1.2030000000542678</v>
      </c>
      <c r="T410" s="300">
        <f t="shared" ref="T410:T411" si="1082">SUM(Q410:S410)</f>
        <v>4.9409999999941538</v>
      </c>
      <c r="U410" s="300"/>
      <c r="V410" s="300">
        <v>3.3729999999050175</v>
      </c>
      <c r="W410" s="300">
        <v>0.78099999999523628</v>
      </c>
      <c r="X410" s="300">
        <v>1.3860000000275117</v>
      </c>
      <c r="Y410" s="300">
        <f t="shared" ref="Y410:Y411" si="1083">SUM(V410:X410)</f>
        <v>5.5399999999277654</v>
      </c>
    </row>
    <row r="411" spans="1:25" ht="12.45" x14ac:dyDescent="0.3">
      <c r="A411" s="260" t="s">
        <v>354</v>
      </c>
      <c r="B411" s="300">
        <f>SUM(B409:B410)</f>
        <v>8.5749999998280035</v>
      </c>
      <c r="C411" s="300">
        <f t="shared" ref="C411" si="1084">SUM(C409:C410)</f>
        <v>2.9819999999783886</v>
      </c>
      <c r="D411" s="300">
        <f t="shared" ref="D411" si="1085">SUM(D409:D410)</f>
        <v>4.2010000000159557</v>
      </c>
      <c r="E411" s="300">
        <f t="shared" si="1079"/>
        <v>15.757999999822347</v>
      </c>
      <c r="F411" s="300"/>
      <c r="G411" s="300">
        <f>SUM(G409:G410)</f>
        <v>7.4699999998330711</v>
      </c>
      <c r="H411" s="300">
        <f t="shared" ref="H411" si="1086">SUM(H409:H410)</f>
        <v>4.1609999999748668</v>
      </c>
      <c r="I411" s="300">
        <f t="shared" ref="I411" si="1087">SUM(I409:I410)</f>
        <v>3.2479999999772171</v>
      </c>
      <c r="J411" s="300">
        <f t="shared" si="1080"/>
        <v>14.878999999785155</v>
      </c>
      <c r="K411" s="300"/>
      <c r="L411" s="300">
        <f>SUM(L409:L410)</f>
        <v>7.5999999999773813</v>
      </c>
      <c r="M411" s="300">
        <f t="shared" ref="M411" si="1088">SUM(M409:M410)</f>
        <v>3.3410000000186502</v>
      </c>
      <c r="N411" s="300">
        <f t="shared" ref="N411" si="1089">SUM(N409:N410)</f>
        <v>2.2900000000134226</v>
      </c>
      <c r="O411" s="300">
        <f t="shared" si="1081"/>
        <v>13.231000000009454</v>
      </c>
      <c r="P411" s="300"/>
      <c r="Q411" s="300">
        <f>SUM(Q409:Q410)</f>
        <v>8.1210000001151208</v>
      </c>
      <c r="R411" s="300">
        <f t="shared" ref="R411" si="1090">SUM(R409:R410)</f>
        <v>3.5720000000230963</v>
      </c>
      <c r="S411" s="300">
        <f t="shared" ref="S411" si="1091">SUM(S409:S410)</f>
        <v>2.5160000000655329</v>
      </c>
      <c r="T411" s="300">
        <f t="shared" si="1082"/>
        <v>14.20900000020375</v>
      </c>
      <c r="U411" s="300"/>
      <c r="V411" s="300">
        <f>SUM(V409:V410)</f>
        <v>9.0269999999758941</v>
      </c>
      <c r="W411" s="300">
        <f t="shared" ref="W411" si="1092">SUM(W409:W410)</f>
        <v>4.0330000000266839</v>
      </c>
      <c r="X411" s="300">
        <f t="shared" ref="X411" si="1093">SUM(X409:X410)</f>
        <v>3.0120000000474088</v>
      </c>
      <c r="Y411" s="300">
        <f t="shared" si="1083"/>
        <v>16.072000000049986</v>
      </c>
    </row>
    <row r="412" spans="1:25" ht="12.45" x14ac:dyDescent="0.3">
      <c r="C412" s="319"/>
      <c r="D412" s="319"/>
      <c r="E412" s="319"/>
      <c r="F412" s="319"/>
      <c r="G412" s="319"/>
      <c r="H412" s="319"/>
      <c r="I412" s="319"/>
      <c r="J412" s="319"/>
      <c r="K412" s="319"/>
      <c r="L412" s="319"/>
      <c r="M412" s="319"/>
      <c r="N412" s="319"/>
      <c r="O412" s="319"/>
      <c r="P412" s="319"/>
      <c r="Q412" s="319"/>
      <c r="R412" s="319"/>
      <c r="S412" s="319"/>
      <c r="T412" s="319"/>
      <c r="U412" s="319"/>
      <c r="V412" s="319"/>
      <c r="W412" s="319"/>
      <c r="X412" s="319"/>
      <c r="Y412" s="319"/>
    </row>
    <row r="413" spans="1:25" ht="12.45" x14ac:dyDescent="0.3">
      <c r="A413" s="261" t="str">
        <f>name!A59</f>
        <v>Other professional</v>
      </c>
      <c r="C413" s="263"/>
    </row>
    <row r="414" spans="1:25" ht="12.45" x14ac:dyDescent="0.3">
      <c r="A414" s="260" t="s">
        <v>356</v>
      </c>
      <c r="B414" s="300">
        <v>8.1419999998550363</v>
      </c>
      <c r="C414" s="300">
        <v>4.6420000000466111</v>
      </c>
      <c r="D414" s="300">
        <v>3.3049999999858399</v>
      </c>
      <c r="E414" s="300">
        <f>SUM(B414:D414)</f>
        <v>16.088999999887488</v>
      </c>
      <c r="F414" s="300"/>
      <c r="G414" s="300">
        <v>10.768999999781888</v>
      </c>
      <c r="H414" s="300">
        <v>7.5920000000638739</v>
      </c>
      <c r="I414" s="300">
        <v>2.9189999999919509</v>
      </c>
      <c r="J414" s="300">
        <f>SUM(G414:I414)</f>
        <v>21.279999999837713</v>
      </c>
      <c r="K414" s="300"/>
      <c r="L414" s="300">
        <v>11.022000000058654</v>
      </c>
      <c r="M414" s="300">
        <v>6.1060000000090993</v>
      </c>
      <c r="N414" s="300">
        <v>2.3270000000103117</v>
      </c>
      <c r="O414" s="300">
        <f>SUM(L414:N414)</f>
        <v>19.455000000078066</v>
      </c>
      <c r="P414" s="300"/>
      <c r="Q414" s="300">
        <v>11.840000000334445</v>
      </c>
      <c r="R414" s="300">
        <v>6.482000000070486</v>
      </c>
      <c r="S414" s="300">
        <v>2.5940000000216279</v>
      </c>
      <c r="T414" s="300">
        <f>SUM(Q414:S414)</f>
        <v>20.916000000426557</v>
      </c>
      <c r="U414" s="300"/>
      <c r="V414" s="300">
        <v>13.309000000129748</v>
      </c>
      <c r="W414" s="300">
        <v>7.2070000000312797</v>
      </c>
      <c r="X414" s="300">
        <v>3.2130000000335244</v>
      </c>
      <c r="Y414" s="300">
        <f>SUM(V414:X414)</f>
        <v>23.729000000194553</v>
      </c>
    </row>
    <row r="415" spans="1:25" ht="12.45" x14ac:dyDescent="0.3">
      <c r="A415" s="260" t="s">
        <v>355</v>
      </c>
      <c r="B415" s="300">
        <v>5.4459999999413284</v>
      </c>
      <c r="C415" s="300">
        <v>1.4260000000106077</v>
      </c>
      <c r="D415" s="300">
        <v>4.329000000071046</v>
      </c>
      <c r="E415" s="300">
        <f t="shared" ref="E415:E416" si="1094">SUM(B415:D415)</f>
        <v>11.201000000022983</v>
      </c>
      <c r="F415" s="300"/>
      <c r="G415" s="300">
        <v>7.9519999999043991</v>
      </c>
      <c r="H415" s="300">
        <v>2.0610000000177355</v>
      </c>
      <c r="I415" s="300">
        <v>6.3549999999611675</v>
      </c>
      <c r="J415" s="300">
        <f t="shared" ref="J415:J416" si="1095">SUM(G415:I415)</f>
        <v>16.367999999883303</v>
      </c>
      <c r="K415" s="300"/>
      <c r="L415" s="300">
        <v>8.0149999998774959</v>
      </c>
      <c r="M415" s="300">
        <v>1.6430000000095777</v>
      </c>
      <c r="N415" s="300">
        <v>3.9910000000278996</v>
      </c>
      <c r="O415" s="300">
        <f t="shared" ref="O415:O416" si="1096">SUM(L415:N415)</f>
        <v>13.648999999914972</v>
      </c>
      <c r="P415" s="300"/>
      <c r="Q415" s="300">
        <v>8.4909999998958181</v>
      </c>
      <c r="R415" s="300">
        <v>1.8160000000116845</v>
      </c>
      <c r="S415" s="300">
        <v>4.3180000001827548</v>
      </c>
      <c r="T415" s="300">
        <f t="shared" ref="T415:T416" si="1097">SUM(Q415:S415)</f>
        <v>14.625000000090257</v>
      </c>
      <c r="U415" s="300"/>
      <c r="V415" s="300">
        <v>9.2659999998112923</v>
      </c>
      <c r="W415" s="300">
        <v>2.1910000000221914</v>
      </c>
      <c r="X415" s="300">
        <v>4.9740000000993039</v>
      </c>
      <c r="Y415" s="300">
        <f t="shared" ref="Y415:Y416" si="1098">SUM(V415:X415)</f>
        <v>16.430999999932787</v>
      </c>
    </row>
    <row r="416" spans="1:25" ht="12.45" x14ac:dyDescent="0.3">
      <c r="A416" s="260" t="s">
        <v>354</v>
      </c>
      <c r="B416" s="300">
        <f>SUM(B414:B415)</f>
        <v>13.587999999796365</v>
      </c>
      <c r="C416" s="300">
        <f t="shared" ref="C416" si="1099">SUM(C414:C415)</f>
        <v>6.0680000000572187</v>
      </c>
      <c r="D416" s="300">
        <f t="shared" ref="D416" si="1100">SUM(D414:D415)</f>
        <v>7.6340000000568864</v>
      </c>
      <c r="E416" s="300">
        <f t="shared" si="1094"/>
        <v>27.289999999910471</v>
      </c>
      <c r="F416" s="300"/>
      <c r="G416" s="300">
        <f>SUM(G414:G415)</f>
        <v>18.720999999686288</v>
      </c>
      <c r="H416" s="300">
        <f t="shared" ref="H416" si="1101">SUM(H414:H415)</f>
        <v>9.6530000000816099</v>
      </c>
      <c r="I416" s="300">
        <f t="shared" ref="I416" si="1102">SUM(I414:I415)</f>
        <v>9.2739999999531193</v>
      </c>
      <c r="J416" s="300">
        <f t="shared" si="1095"/>
        <v>37.647999999721016</v>
      </c>
      <c r="K416" s="300"/>
      <c r="L416" s="300">
        <f>SUM(L414:L415)</f>
        <v>19.03699999993615</v>
      </c>
      <c r="M416" s="300">
        <f t="shared" ref="M416" si="1103">SUM(M414:M415)</f>
        <v>7.7490000000186772</v>
      </c>
      <c r="N416" s="300">
        <f t="shared" ref="N416" si="1104">SUM(N414:N415)</f>
        <v>6.3180000000382108</v>
      </c>
      <c r="O416" s="300">
        <f t="shared" si="1096"/>
        <v>33.103999999993036</v>
      </c>
      <c r="P416" s="300"/>
      <c r="Q416" s="300">
        <f>SUM(Q414:Q415)</f>
        <v>20.331000000230262</v>
      </c>
      <c r="R416" s="300">
        <f t="shared" ref="R416" si="1105">SUM(R414:R415)</f>
        <v>8.2980000000821708</v>
      </c>
      <c r="S416" s="300">
        <f t="shared" ref="S416" si="1106">SUM(S414:S415)</f>
        <v>6.9120000002043831</v>
      </c>
      <c r="T416" s="300">
        <f t="shared" si="1097"/>
        <v>35.541000000516817</v>
      </c>
      <c r="U416" s="300"/>
      <c r="V416" s="300">
        <f>SUM(V414:V415)</f>
        <v>22.574999999941042</v>
      </c>
      <c r="W416" s="300">
        <f t="shared" ref="W416" si="1107">SUM(W414:W415)</f>
        <v>9.3980000000534716</v>
      </c>
      <c r="X416" s="300">
        <f t="shared" ref="X416" si="1108">SUM(X414:X415)</f>
        <v>8.1870000001328282</v>
      </c>
      <c r="Y416" s="300">
        <f t="shared" si="1098"/>
        <v>40.16000000012734</v>
      </c>
    </row>
    <row r="417" spans="1:25" ht="12.45" x14ac:dyDescent="0.3">
      <c r="A417" s="261"/>
      <c r="C417" s="319"/>
      <c r="D417" s="319"/>
      <c r="E417" s="319"/>
      <c r="F417" s="319"/>
      <c r="G417" s="319"/>
      <c r="H417" s="319"/>
      <c r="I417" s="319"/>
      <c r="J417" s="319"/>
      <c r="K417" s="319"/>
      <c r="L417" s="319"/>
      <c r="M417" s="319"/>
      <c r="N417" s="319"/>
      <c r="O417" s="319"/>
      <c r="P417" s="319"/>
      <c r="Q417" s="319"/>
      <c r="R417" s="319"/>
      <c r="S417" s="319"/>
      <c r="T417" s="319"/>
      <c r="U417" s="319"/>
      <c r="V417" s="319"/>
      <c r="W417" s="319"/>
      <c r="X417" s="319"/>
      <c r="Y417" s="319"/>
    </row>
    <row r="418" spans="1:25" ht="12.45" x14ac:dyDescent="0.3">
      <c r="A418" s="261" t="str">
        <f>name!A60</f>
        <v>Veterinary</v>
      </c>
      <c r="C418" s="263"/>
    </row>
    <row r="419" spans="1:25" ht="12.45" x14ac:dyDescent="0.3">
      <c r="A419" s="260" t="s">
        <v>356</v>
      </c>
      <c r="B419" s="300">
        <v>3.6309999999491041</v>
      </c>
      <c r="C419" s="300">
        <v>1.1469999999814391</v>
      </c>
      <c r="D419" s="300">
        <v>2.1379999998272141</v>
      </c>
      <c r="E419" s="300">
        <f>SUM(B419:D419)</f>
        <v>6.9159999997577568</v>
      </c>
      <c r="F419" s="300"/>
      <c r="G419" s="300">
        <v>4.7689999999426949</v>
      </c>
      <c r="H419" s="300">
        <v>3.2149999999633092</v>
      </c>
      <c r="I419" s="300">
        <v>2.2769999998281616</v>
      </c>
      <c r="J419" s="300">
        <f>SUM(G419:I419)</f>
        <v>10.260999999734166</v>
      </c>
      <c r="K419" s="300"/>
      <c r="L419" s="300">
        <v>4.8810000000683953</v>
      </c>
      <c r="M419" s="300">
        <v>2.5859999999521164</v>
      </c>
      <c r="N419" s="300">
        <v>1.8160000001581706</v>
      </c>
      <c r="O419" s="300">
        <f>SUM(L419:N419)</f>
        <v>9.2830000001786832</v>
      </c>
      <c r="P419" s="300"/>
      <c r="Q419" s="300">
        <v>5.244000000032222</v>
      </c>
      <c r="R419" s="300">
        <v>2.744999999914179</v>
      </c>
      <c r="S419" s="300">
        <v>2.0240000000173826</v>
      </c>
      <c r="T419" s="300">
        <f>SUM(Q419:S419)</f>
        <v>10.012999999963784</v>
      </c>
      <c r="U419" s="300"/>
      <c r="V419" s="300">
        <v>5.8940000000529063</v>
      </c>
      <c r="W419" s="300">
        <v>3.0519999999892575</v>
      </c>
      <c r="X419" s="300">
        <v>2.5059999999977762</v>
      </c>
      <c r="Y419" s="300">
        <f>SUM(V419:X419)</f>
        <v>11.45200000003994</v>
      </c>
    </row>
    <row r="420" spans="1:25" ht="12.45" x14ac:dyDescent="0.3">
      <c r="A420" s="260" t="s">
        <v>355</v>
      </c>
      <c r="B420" s="300">
        <v>2.1839999999925865</v>
      </c>
      <c r="C420" s="300">
        <v>0.46999999999826203</v>
      </c>
      <c r="D420" s="300">
        <v>0.44900000001912438</v>
      </c>
      <c r="E420" s="300">
        <f t="shared" ref="E420:E421" si="1109">SUM(B420:D420)</f>
        <v>3.1030000000099731</v>
      </c>
      <c r="F420" s="300"/>
      <c r="G420" s="300">
        <v>3.1659999999828266</v>
      </c>
      <c r="H420" s="300">
        <v>1.1649999999954082</v>
      </c>
      <c r="I420" s="300">
        <v>0.79399999999106219</v>
      </c>
      <c r="J420" s="300">
        <f t="shared" ref="J420:J421" si="1110">SUM(G420:I420)</f>
        <v>5.1249999999692966</v>
      </c>
      <c r="K420" s="300"/>
      <c r="L420" s="300">
        <v>3.1909999999749452</v>
      </c>
      <c r="M420" s="300">
        <v>0.92900000000139271</v>
      </c>
      <c r="N420" s="300">
        <v>0.4990000000095608</v>
      </c>
      <c r="O420" s="300">
        <f t="shared" ref="O420:O421" si="1111">SUM(L420:N420)</f>
        <v>4.6189999999858991</v>
      </c>
      <c r="P420" s="300"/>
      <c r="Q420" s="300">
        <v>3.3809999999651916</v>
      </c>
      <c r="R420" s="300">
        <v>1.0269999999981951</v>
      </c>
      <c r="S420" s="300">
        <v>0.5400000000447106</v>
      </c>
      <c r="T420" s="300">
        <f t="shared" ref="T420:T421" si="1112">SUM(Q420:S420)</f>
        <v>4.9480000000080979</v>
      </c>
      <c r="U420" s="300"/>
      <c r="V420" s="300">
        <v>3.6889999999548899</v>
      </c>
      <c r="W420" s="300">
        <v>1.2379999999921922</v>
      </c>
      <c r="X420" s="300">
        <v>0.62200000002971123</v>
      </c>
      <c r="Y420" s="300">
        <f t="shared" ref="Y420:Y421" si="1113">SUM(V420:X420)</f>
        <v>5.5489999999767932</v>
      </c>
    </row>
    <row r="421" spans="1:25" ht="12.45" x14ac:dyDescent="0.3">
      <c r="A421" s="260" t="s">
        <v>354</v>
      </c>
      <c r="B421" s="300">
        <f>SUM(B419:B420)</f>
        <v>5.8149999999416906</v>
      </c>
      <c r="C421" s="300">
        <f t="shared" ref="C421" si="1114">SUM(C419:C420)</f>
        <v>1.6169999999797011</v>
      </c>
      <c r="D421" s="300">
        <f t="shared" ref="D421" si="1115">SUM(D419:D420)</f>
        <v>2.5869999998463387</v>
      </c>
      <c r="E421" s="300">
        <f t="shared" si="1109"/>
        <v>10.018999999767729</v>
      </c>
      <c r="F421" s="300"/>
      <c r="G421" s="300">
        <f>SUM(G419:G420)</f>
        <v>7.9349999999255214</v>
      </c>
      <c r="H421" s="300">
        <f t="shared" ref="H421" si="1116">SUM(H419:H420)</f>
        <v>4.3799999999587174</v>
      </c>
      <c r="I421" s="300">
        <f t="shared" ref="I421" si="1117">SUM(I419:I420)</f>
        <v>3.0709999998192239</v>
      </c>
      <c r="J421" s="300">
        <f t="shared" si="1110"/>
        <v>15.385999999703463</v>
      </c>
      <c r="K421" s="300"/>
      <c r="L421" s="300">
        <f>SUM(L419:L420)</f>
        <v>8.0720000000433405</v>
      </c>
      <c r="M421" s="300">
        <f t="shared" ref="M421" si="1118">SUM(M419:M420)</f>
        <v>3.5149999999535089</v>
      </c>
      <c r="N421" s="300">
        <f t="shared" ref="N421" si="1119">SUM(N419:N420)</f>
        <v>2.3150000001677316</v>
      </c>
      <c r="O421" s="300">
        <f t="shared" si="1111"/>
        <v>13.90200000016458</v>
      </c>
      <c r="P421" s="300"/>
      <c r="Q421" s="300">
        <f>SUM(Q419:Q420)</f>
        <v>8.6249999999974136</v>
      </c>
      <c r="R421" s="300">
        <f t="shared" ref="R421" si="1120">SUM(R419:R420)</f>
        <v>3.7719999999123743</v>
      </c>
      <c r="S421" s="300">
        <f t="shared" ref="S421" si="1121">SUM(S419:S420)</f>
        <v>2.5640000000620931</v>
      </c>
      <c r="T421" s="300">
        <f t="shared" si="1112"/>
        <v>14.960999999971881</v>
      </c>
      <c r="U421" s="300"/>
      <c r="V421" s="300">
        <f>SUM(V419:V420)</f>
        <v>9.5830000000077966</v>
      </c>
      <c r="W421" s="300">
        <f t="shared" ref="W421" si="1122">SUM(W419:W420)</f>
        <v>4.2899999999814495</v>
      </c>
      <c r="X421" s="300">
        <f t="shared" ref="X421" si="1123">SUM(X419:X420)</f>
        <v>3.1280000000274875</v>
      </c>
      <c r="Y421" s="300">
        <f t="shared" si="1113"/>
        <v>17.001000000016735</v>
      </c>
    </row>
    <row r="423" spans="1:25" x14ac:dyDescent="0.35">
      <c r="A423" s="261" t="s">
        <v>361</v>
      </c>
    </row>
    <row r="424" spans="1:25" ht="12.45" x14ac:dyDescent="0.3">
      <c r="A424" s="260" t="s">
        <v>356</v>
      </c>
      <c r="B424" s="300">
        <f>SUM(B389,B394,B399,B404,B409,B414,B419)</f>
        <v>69.311999998509037</v>
      </c>
      <c r="C424" s="300">
        <f t="shared" ref="C424:D425" si="1124">SUM(C389,C394,C399,C404,C409,C414,C419)</f>
        <v>40.791999999786022</v>
      </c>
      <c r="D424" s="300">
        <f t="shared" si="1124"/>
        <v>23.818999999673608</v>
      </c>
      <c r="E424" s="300">
        <f>SUM(B424:D424)</f>
        <v>133.92299999796865</v>
      </c>
      <c r="F424" s="300"/>
      <c r="G424" s="300">
        <f>SUM(G389,G394,G399,G404,G409,G414,G419)</f>
        <v>76.080999998272347</v>
      </c>
      <c r="H424" s="300">
        <f t="shared" ref="H424:I424" si="1125">SUM(H389,H394,H399,H404,H409,H414,H419)</f>
        <v>54.574999999788737</v>
      </c>
      <c r="I424" s="300">
        <f t="shared" si="1125"/>
        <v>17.118999999741995</v>
      </c>
      <c r="J424" s="300">
        <f>SUM(G424:I424)</f>
        <v>147.77499999780306</v>
      </c>
      <c r="K424" s="300"/>
      <c r="L424" s="300">
        <f>SUM(L389,L394,L399,L404,L409,L414,L419)</f>
        <v>74.933000000860559</v>
      </c>
      <c r="M424" s="300">
        <f t="shared" ref="M424:N424" si="1126">SUM(M389,M394,M399,M404,M409,M414,M419)</f>
        <v>44.563000000226097</v>
      </c>
      <c r="N424" s="300">
        <f t="shared" si="1126"/>
        <v>14.369000000259996</v>
      </c>
      <c r="O424" s="300">
        <f>SUM(L424:N424)</f>
        <v>133.86500000134666</v>
      </c>
      <c r="P424" s="300"/>
      <c r="Q424" s="300">
        <f>SUM(Q389,Q394,Q399,Q404,Q409,Q414,Q419)</f>
        <v>79.603000002224334</v>
      </c>
      <c r="R424" s="300">
        <f t="shared" ref="R424:S424" si="1127">SUM(R389,R394,R399,R404,R409,R414,R419)</f>
        <v>47.43000000029474</v>
      </c>
      <c r="S424" s="300">
        <f t="shared" si="1127"/>
        <v>15.594000000148352</v>
      </c>
      <c r="T424" s="300">
        <f>SUM(Q424:S424)</f>
        <v>142.62700000266742</v>
      </c>
      <c r="U424" s="300"/>
      <c r="V424" s="300">
        <f>SUM(V389,V394,V399,V404,V409,V414,V419)</f>
        <v>86.977000001153911</v>
      </c>
      <c r="W424" s="300">
        <f t="shared" ref="W424:X424" si="1128">SUM(W389,W394,W399,W404,W409,W414,W419)</f>
        <v>51.846000000418414</v>
      </c>
      <c r="X424" s="300">
        <f t="shared" si="1128"/>
        <v>18.168000000192539</v>
      </c>
      <c r="Y424" s="300">
        <f>SUM(V424:X424)</f>
        <v>156.99100000176486</v>
      </c>
    </row>
    <row r="425" spans="1:25" ht="12.45" x14ac:dyDescent="0.3">
      <c r="A425" s="260" t="s">
        <v>355</v>
      </c>
      <c r="B425" s="300">
        <f>SUM(B390,B395,B400,B405,B410,B415,B420)</f>
        <v>97.025999998719811</v>
      </c>
      <c r="C425" s="300">
        <f t="shared" si="1124"/>
        <v>15.133999999845965</v>
      </c>
      <c r="D425" s="300">
        <f t="shared" si="1124"/>
        <v>31.36500000050323</v>
      </c>
      <c r="E425" s="300">
        <f t="shared" ref="E425:E426" si="1129">SUM(B425:D425)</f>
        <v>143.524999999069</v>
      </c>
      <c r="F425" s="300"/>
      <c r="G425" s="300">
        <f>SUM(G390,G395,G400,G405,G410,G415,G420)</f>
        <v>120.71699999809366</v>
      </c>
      <c r="H425" s="300">
        <f t="shared" ref="H425:I425" si="1130">SUM(H390,H395,H400,H405,H410,H415,H420)</f>
        <v>19.642999999808108</v>
      </c>
      <c r="I425" s="300">
        <f t="shared" si="1130"/>
        <v>42.67099999957086</v>
      </c>
      <c r="J425" s="300">
        <f t="shared" ref="J425:J426" si="1131">SUM(G425:I425)</f>
        <v>183.03099999747261</v>
      </c>
      <c r="K425" s="300"/>
      <c r="L425" s="300">
        <f>SUM(L390,L395,L400,L405,L410,L415,L420)</f>
        <v>126.26499999745427</v>
      </c>
      <c r="M425" s="300">
        <f t="shared" ref="M425:N425" si="1132">SUM(M390,M395,M400,M405,M410,M415,M420)</f>
        <v>20.515999999942096</v>
      </c>
      <c r="N425" s="300">
        <f t="shared" si="1132"/>
        <v>28.019000000126411</v>
      </c>
      <c r="O425" s="300">
        <f t="shared" ref="O425:O426" si="1133">SUM(L425:N425)</f>
        <v>174.79999999752278</v>
      </c>
      <c r="P425" s="300"/>
      <c r="Q425" s="300">
        <f>SUM(Q390,Q395,Q400,Q405,Q410,Q415,Q420)</f>
        <v>130.90599999761139</v>
      </c>
      <c r="R425" s="300">
        <f t="shared" ref="R425:S425" si="1134">SUM(R390,R395,R400,R405,R410,R415,R420)</f>
        <v>22.147999999904744</v>
      </c>
      <c r="S425" s="300">
        <f t="shared" si="1134"/>
        <v>29.619000001253479</v>
      </c>
      <c r="T425" s="300">
        <f t="shared" ref="T425:T426" si="1135">SUM(Q425:S425)</f>
        <v>182.67299999876963</v>
      </c>
      <c r="U425" s="300"/>
      <c r="V425" s="300">
        <f>SUM(V390,V395,V400,V405,V410,V415,V420)</f>
        <v>137.61699999632518</v>
      </c>
      <c r="W425" s="300">
        <f t="shared" ref="W425:X425" si="1136">SUM(W390,W395,W400,W405,W410,W415,W420)</f>
        <v>25.1069999998772</v>
      </c>
      <c r="X425" s="300">
        <f t="shared" si="1136"/>
        <v>32.447000000582534</v>
      </c>
      <c r="Y425" s="300">
        <f t="shared" ref="Y425:Y426" si="1137">SUM(V425:X425)</f>
        <v>195.1709999967849</v>
      </c>
    </row>
    <row r="426" spans="1:25" ht="12.45" x14ac:dyDescent="0.3">
      <c r="A426" s="264" t="s">
        <v>354</v>
      </c>
      <c r="B426" s="301">
        <f>SUM(B424:B425)</f>
        <v>166.33799999722885</v>
      </c>
      <c r="C426" s="301">
        <f t="shared" ref="C426" si="1138">SUM(C424:C425)</f>
        <v>55.925999999631983</v>
      </c>
      <c r="D426" s="301">
        <f t="shared" ref="D426" si="1139">SUM(D424:D425)</f>
        <v>55.184000000176837</v>
      </c>
      <c r="E426" s="301">
        <f t="shared" si="1129"/>
        <v>277.44799999703764</v>
      </c>
      <c r="F426" s="301"/>
      <c r="G426" s="301">
        <f>SUM(G424:G425)</f>
        <v>196.797999996366</v>
      </c>
      <c r="H426" s="301">
        <f t="shared" ref="H426" si="1140">SUM(H424:H425)</f>
        <v>74.217999999596842</v>
      </c>
      <c r="I426" s="301">
        <f t="shared" ref="I426" si="1141">SUM(I424:I425)</f>
        <v>59.789999999312855</v>
      </c>
      <c r="J426" s="301">
        <f t="shared" si="1131"/>
        <v>330.80599999527567</v>
      </c>
      <c r="K426" s="301"/>
      <c r="L426" s="301">
        <f>SUM(L424:L425)</f>
        <v>201.19799999831483</v>
      </c>
      <c r="M426" s="301">
        <f t="shared" ref="M426" si="1142">SUM(M424:M425)</f>
        <v>65.079000000168193</v>
      </c>
      <c r="N426" s="301">
        <f t="shared" ref="N426" si="1143">SUM(N424:N425)</f>
        <v>42.388000000386405</v>
      </c>
      <c r="O426" s="301">
        <f t="shared" si="1133"/>
        <v>308.6649999988694</v>
      </c>
      <c r="P426" s="301"/>
      <c r="Q426" s="301">
        <f>SUM(Q424:Q425)</f>
        <v>210.50899999983574</v>
      </c>
      <c r="R426" s="301">
        <f t="shared" ref="R426" si="1144">SUM(R424:R425)</f>
        <v>69.578000000199481</v>
      </c>
      <c r="S426" s="301">
        <f t="shared" ref="S426" si="1145">SUM(S424:S425)</f>
        <v>45.213000001401831</v>
      </c>
      <c r="T426" s="301">
        <f t="shared" si="1135"/>
        <v>325.30000000143707</v>
      </c>
      <c r="U426" s="301"/>
      <c r="V426" s="301">
        <f>SUM(V424:V425)</f>
        <v>224.5939999974791</v>
      </c>
      <c r="W426" s="301">
        <f t="shared" ref="W426" si="1146">SUM(W424:W425)</f>
        <v>76.953000000295617</v>
      </c>
      <c r="X426" s="301">
        <f t="shared" ref="X426" si="1147">SUM(X424:X425)</f>
        <v>50.615000000775069</v>
      </c>
      <c r="Y426" s="301">
        <f t="shared" si="1137"/>
        <v>352.16199999854979</v>
      </c>
    </row>
    <row r="427" spans="1:25" ht="12.45" x14ac:dyDescent="0.3">
      <c r="C427" s="263"/>
    </row>
    <row r="428" spans="1:25" x14ac:dyDescent="0.35">
      <c r="A428" s="261"/>
    </row>
    <row r="429" spans="1:25" ht="12.45" x14ac:dyDescent="0.3">
      <c r="C429" s="263"/>
    </row>
    <row r="430" spans="1:25" ht="14.15" x14ac:dyDescent="0.35">
      <c r="A430" s="265" t="str">
        <f>"Industry 17 : "&amp; name!B20</f>
        <v>Industry 17 : Support services</v>
      </c>
      <c r="B430" s="372">
        <f>$B$5</f>
        <v>2015</v>
      </c>
      <c r="C430" s="372"/>
      <c r="D430" s="372"/>
      <c r="E430" s="372"/>
      <c r="F430" s="320"/>
      <c r="G430" s="372">
        <f>$G$5</f>
        <v>2019</v>
      </c>
      <c r="H430" s="372"/>
      <c r="I430" s="372"/>
      <c r="J430" s="372"/>
      <c r="K430" s="320"/>
      <c r="L430" s="372">
        <f>$L$5</f>
        <v>2020</v>
      </c>
      <c r="M430" s="372"/>
      <c r="N430" s="372"/>
      <c r="O430" s="372"/>
      <c r="P430" s="318"/>
      <c r="Q430" s="372">
        <f>$Q$5</f>
        <v>2025</v>
      </c>
      <c r="R430" s="372"/>
      <c r="S430" s="372"/>
      <c r="T430" s="372"/>
      <c r="U430" s="320"/>
      <c r="V430" s="372">
        <f>$V$5</f>
        <v>2035</v>
      </c>
      <c r="W430" s="372"/>
      <c r="X430" s="372"/>
      <c r="Y430" s="372"/>
    </row>
    <row r="431" spans="1:25" ht="12.45" x14ac:dyDescent="0.3">
      <c r="A431" s="264"/>
      <c r="B431" s="268" t="str">
        <f>$B$6</f>
        <v>FT</v>
      </c>
      <c r="C431" s="268" t="str">
        <f>$C$6</f>
        <v>PT</v>
      </c>
      <c r="D431" s="268" t="str">
        <f>$D$6</f>
        <v>SE</v>
      </c>
      <c r="E431" s="268" t="str">
        <f>$E$6</f>
        <v>Total</v>
      </c>
      <c r="F431" s="268"/>
      <c r="G431" s="268" t="str">
        <f>$B$6</f>
        <v>FT</v>
      </c>
      <c r="H431" s="268" t="str">
        <f>$C$6</f>
        <v>PT</v>
      </c>
      <c r="I431" s="268" t="str">
        <f>$D$6</f>
        <v>SE</v>
      </c>
      <c r="J431" s="268" t="str">
        <f>$E$6</f>
        <v>Total</v>
      </c>
      <c r="K431" s="268"/>
      <c r="L431" s="268" t="str">
        <f>$L$6</f>
        <v>FT</v>
      </c>
      <c r="M431" s="268" t="str">
        <f>$M$6</f>
        <v>PT</v>
      </c>
      <c r="N431" s="268" t="str">
        <f>$N$6</f>
        <v>SE</v>
      </c>
      <c r="O431" s="268" t="str">
        <f>$O$6</f>
        <v>Total</v>
      </c>
      <c r="P431" s="268"/>
      <c r="Q431" s="268" t="str">
        <f>$L$6</f>
        <v>FT</v>
      </c>
      <c r="R431" s="268" t="str">
        <f>$M$6</f>
        <v>PT</v>
      </c>
      <c r="S431" s="268" t="str">
        <f>$N$6</f>
        <v>SE</v>
      </c>
      <c r="T431" s="268" t="str">
        <f>$O$6</f>
        <v>Total</v>
      </c>
      <c r="U431" s="268"/>
      <c r="V431" s="268" t="str">
        <f>$V$6</f>
        <v>FT</v>
      </c>
      <c r="W431" s="268" t="str">
        <f>$W$6</f>
        <v>PT</v>
      </c>
      <c r="X431" s="268" t="str">
        <f>$X$6</f>
        <v>SE</v>
      </c>
      <c r="Y431" s="268" t="str">
        <f>$Y$6</f>
        <v>Total</v>
      </c>
    </row>
    <row r="432" spans="1:25" x14ac:dyDescent="0.35">
      <c r="A432" s="262"/>
      <c r="C432" s="319"/>
      <c r="D432" s="319"/>
      <c r="E432" s="319"/>
      <c r="F432" s="319"/>
      <c r="G432" s="319"/>
      <c r="H432" s="319"/>
      <c r="I432" s="319"/>
      <c r="J432" s="319"/>
      <c r="K432" s="319"/>
      <c r="L432" s="319"/>
      <c r="M432" s="319"/>
      <c r="N432" s="319"/>
      <c r="O432" s="319"/>
      <c r="P432" s="319"/>
      <c r="Q432" s="319"/>
      <c r="R432" s="319"/>
      <c r="S432" s="319"/>
      <c r="T432" s="319"/>
      <c r="U432" s="319"/>
      <c r="V432" s="319"/>
      <c r="W432" s="319"/>
      <c r="X432" s="319"/>
      <c r="Y432" s="319"/>
    </row>
    <row r="433" spans="1:25" ht="12.45" x14ac:dyDescent="0.3">
      <c r="A433" s="261" t="str">
        <f>name!A61</f>
        <v>Rental and leasing</v>
      </c>
      <c r="C433" s="263"/>
    </row>
    <row r="434" spans="1:25" ht="12.45" x14ac:dyDescent="0.3">
      <c r="A434" s="260" t="s">
        <v>356</v>
      </c>
      <c r="B434" s="300">
        <v>2.8059999999851017</v>
      </c>
      <c r="C434" s="300">
        <v>0.78200000001734382</v>
      </c>
      <c r="D434" s="300">
        <v>1.0720000000057748</v>
      </c>
      <c r="E434" s="300">
        <f>SUM(B434:D434)</f>
        <v>4.6600000000082202</v>
      </c>
      <c r="F434" s="300"/>
      <c r="G434" s="300">
        <v>1.137999999991016</v>
      </c>
      <c r="H434" s="300">
        <v>0.98700000001905075</v>
      </c>
      <c r="I434" s="300">
        <v>0.62500000000323097</v>
      </c>
      <c r="J434" s="300">
        <f>SUM(G434:I434)</f>
        <v>2.7500000000132978</v>
      </c>
      <c r="K434" s="300"/>
      <c r="L434" s="300">
        <v>1.1919999999841686</v>
      </c>
      <c r="M434" s="300">
        <v>0.86400000001159483</v>
      </c>
      <c r="N434" s="300">
        <v>0.41699999999914522</v>
      </c>
      <c r="O434" s="300">
        <f>SUM(L434:N434)</f>
        <v>2.4729999999949088</v>
      </c>
      <c r="P434" s="300"/>
      <c r="Q434" s="300">
        <v>1.2920000000260412</v>
      </c>
      <c r="R434" s="300">
        <v>0.90300000003021819</v>
      </c>
      <c r="S434" s="300">
        <v>0.4360000000015532</v>
      </c>
      <c r="T434" s="300">
        <f>SUM(Q434:S434)</f>
        <v>2.6310000000578126</v>
      </c>
      <c r="U434" s="300"/>
      <c r="V434" s="300">
        <v>1.4259999999873052</v>
      </c>
      <c r="W434" s="300">
        <v>0.94099999999639827</v>
      </c>
      <c r="X434" s="300">
        <v>0.47500000000233733</v>
      </c>
      <c r="Y434" s="300">
        <f>SUM(V434:X434)</f>
        <v>2.841999999986041</v>
      </c>
    </row>
    <row r="435" spans="1:25" ht="12.45" x14ac:dyDescent="0.3">
      <c r="A435" s="260" t="s">
        <v>355</v>
      </c>
      <c r="B435" s="300">
        <v>17.397999999964988</v>
      </c>
      <c r="C435" s="300">
        <v>1.0980000000063783</v>
      </c>
      <c r="D435" s="300">
        <v>3.3520000000381867</v>
      </c>
      <c r="E435" s="300">
        <f t="shared" ref="E435:E436" si="1148">SUM(B435:D435)</f>
        <v>21.848000000009556</v>
      </c>
      <c r="F435" s="300"/>
      <c r="G435" s="300">
        <v>8.0839999999886256</v>
      </c>
      <c r="H435" s="300">
        <v>1.4080000000103647</v>
      </c>
      <c r="I435" s="300">
        <v>1.526000000000749</v>
      </c>
      <c r="J435" s="300">
        <f t="shared" ref="J435:J436" si="1149">SUM(G435:I435)</f>
        <v>11.01799999999974</v>
      </c>
      <c r="K435" s="300"/>
      <c r="L435" s="300">
        <v>8.0449999999817035</v>
      </c>
      <c r="M435" s="300">
        <v>1.3010000000039166</v>
      </c>
      <c r="N435" s="300">
        <v>1.4590000000114733</v>
      </c>
      <c r="O435" s="300">
        <f t="shared" ref="O435:O436" si="1150">SUM(L435:N435)</f>
        <v>10.804999999997094</v>
      </c>
      <c r="P435" s="300"/>
      <c r="Q435" s="300">
        <v>8.5669999999968542</v>
      </c>
      <c r="R435" s="300">
        <v>1.3830000000064617</v>
      </c>
      <c r="S435" s="300">
        <v>1.5290000000331487</v>
      </c>
      <c r="T435" s="300">
        <f t="shared" ref="T435:T436" si="1151">SUM(Q435:S435)</f>
        <v>11.479000000036464</v>
      </c>
      <c r="U435" s="300"/>
      <c r="V435" s="300">
        <v>9.2449999999784644</v>
      </c>
      <c r="W435" s="300">
        <v>1.4780000000057962</v>
      </c>
      <c r="X435" s="300">
        <v>1.6550000000208975</v>
      </c>
      <c r="Y435" s="300">
        <f t="shared" ref="Y435:Y436" si="1152">SUM(V435:X435)</f>
        <v>12.378000000005159</v>
      </c>
    </row>
    <row r="436" spans="1:25" ht="12.45" x14ac:dyDescent="0.3">
      <c r="A436" s="260" t="s">
        <v>354</v>
      </c>
      <c r="B436" s="300">
        <f>SUM(B434:B435)</f>
        <v>20.203999999950089</v>
      </c>
      <c r="C436" s="300">
        <f t="shared" ref="C436" si="1153">SUM(C434:C435)</f>
        <v>1.8800000000237223</v>
      </c>
      <c r="D436" s="300">
        <f t="shared" ref="D436" si="1154">SUM(D434:D435)</f>
        <v>4.4240000000439617</v>
      </c>
      <c r="E436" s="300">
        <f t="shared" si="1148"/>
        <v>26.508000000017773</v>
      </c>
      <c r="F436" s="300"/>
      <c r="G436" s="300">
        <f>SUM(G434:G435)</f>
        <v>9.2219999999796407</v>
      </c>
      <c r="H436" s="300">
        <f t="shared" ref="H436" si="1155">SUM(H434:H435)</f>
        <v>2.3950000000294156</v>
      </c>
      <c r="I436" s="300">
        <f t="shared" ref="I436" si="1156">SUM(I434:I435)</f>
        <v>2.1510000000039797</v>
      </c>
      <c r="J436" s="300">
        <f t="shared" si="1149"/>
        <v>13.768000000013036</v>
      </c>
      <c r="K436" s="300"/>
      <c r="L436" s="300">
        <f>SUM(L434:L435)</f>
        <v>9.2369999999658727</v>
      </c>
      <c r="M436" s="300">
        <f t="shared" ref="M436" si="1157">SUM(M434:M435)</f>
        <v>2.1650000000155112</v>
      </c>
      <c r="N436" s="300">
        <f t="shared" ref="N436" si="1158">SUM(N434:N435)</f>
        <v>1.8760000000106185</v>
      </c>
      <c r="O436" s="300">
        <f t="shared" si="1150"/>
        <v>13.277999999992003</v>
      </c>
      <c r="P436" s="300"/>
      <c r="Q436" s="300">
        <f>SUM(Q434:Q435)</f>
        <v>9.8590000000228954</v>
      </c>
      <c r="R436" s="300">
        <f t="shared" ref="R436" si="1159">SUM(R434:R435)</f>
        <v>2.28600000003668</v>
      </c>
      <c r="S436" s="300">
        <f t="shared" ref="S436" si="1160">SUM(S434:S435)</f>
        <v>1.9650000000347019</v>
      </c>
      <c r="T436" s="300">
        <f t="shared" si="1151"/>
        <v>14.110000000094278</v>
      </c>
      <c r="U436" s="300"/>
      <c r="V436" s="300">
        <f>SUM(V434:V435)</f>
        <v>10.670999999965769</v>
      </c>
      <c r="W436" s="300">
        <f t="shared" ref="W436" si="1161">SUM(W434:W435)</f>
        <v>2.4190000000021943</v>
      </c>
      <c r="X436" s="300">
        <f t="shared" ref="X436" si="1162">SUM(X434:X435)</f>
        <v>2.1300000000232346</v>
      </c>
      <c r="Y436" s="300">
        <f t="shared" si="1152"/>
        <v>15.219999999991199</v>
      </c>
    </row>
    <row r="437" spans="1:25" ht="12.45" x14ac:dyDescent="0.3">
      <c r="C437" s="319"/>
      <c r="D437" s="319"/>
      <c r="E437" s="319"/>
      <c r="F437" s="319"/>
      <c r="G437" s="319"/>
      <c r="H437" s="319"/>
      <c r="I437" s="319"/>
      <c r="J437" s="319"/>
      <c r="K437" s="319"/>
      <c r="L437" s="319"/>
      <c r="M437" s="319"/>
      <c r="N437" s="319"/>
      <c r="O437" s="319"/>
      <c r="P437" s="319"/>
      <c r="Q437" s="319"/>
      <c r="R437" s="319"/>
      <c r="S437" s="319"/>
      <c r="T437" s="319"/>
      <c r="U437" s="319"/>
      <c r="V437" s="319"/>
      <c r="W437" s="319"/>
      <c r="X437" s="319"/>
      <c r="Y437" s="319"/>
    </row>
    <row r="438" spans="1:25" ht="12.45" x14ac:dyDescent="0.3">
      <c r="A438" s="261" t="str">
        <f>name!A62</f>
        <v>Employment activities</v>
      </c>
      <c r="C438" s="263"/>
    </row>
    <row r="439" spans="1:25" ht="12.45" x14ac:dyDescent="0.3">
      <c r="A439" s="260" t="s">
        <v>356</v>
      </c>
      <c r="B439" s="300">
        <v>16.55700000000007</v>
      </c>
      <c r="C439" s="300">
        <v>14.341000000363605</v>
      </c>
      <c r="D439" s="300">
        <v>8.7740000000555103</v>
      </c>
      <c r="E439" s="300">
        <f>SUM(B439:D439)</f>
        <v>39.672000000419182</v>
      </c>
      <c r="F439" s="300"/>
      <c r="G439" s="300">
        <v>12.841999999973838</v>
      </c>
      <c r="H439" s="300">
        <v>18.840000000450964</v>
      </c>
      <c r="I439" s="300">
        <v>8.8920000000679646</v>
      </c>
      <c r="J439" s="300">
        <f>SUM(G439:I439)</f>
        <v>40.574000000492767</v>
      </c>
      <c r="K439" s="300"/>
      <c r="L439" s="300">
        <v>13.454999999821572</v>
      </c>
      <c r="M439" s="300">
        <v>16.492999999872126</v>
      </c>
      <c r="N439" s="300">
        <v>5.9229999999682086</v>
      </c>
      <c r="O439" s="300">
        <f>SUM(L439:N439)</f>
        <v>35.870999999661905</v>
      </c>
      <c r="P439" s="300"/>
      <c r="Q439" s="300">
        <v>14.586000000158604</v>
      </c>
      <c r="R439" s="300">
        <v>17.233000000225235</v>
      </c>
      <c r="S439" s="300">
        <v>6.2020000000289404</v>
      </c>
      <c r="T439" s="300">
        <f>SUM(Q439:S439)</f>
        <v>38.021000000412776</v>
      </c>
      <c r="U439" s="300"/>
      <c r="V439" s="300">
        <v>16.0919999998574</v>
      </c>
      <c r="W439" s="300">
        <v>17.961999999884537</v>
      </c>
      <c r="X439" s="300">
        <v>6.7540000000350249</v>
      </c>
      <c r="Y439" s="300">
        <f>SUM(V439:X439)</f>
        <v>40.80799999977696</v>
      </c>
    </row>
    <row r="440" spans="1:25" ht="12.45" x14ac:dyDescent="0.3">
      <c r="A440" s="260" t="s">
        <v>355</v>
      </c>
      <c r="B440" s="300">
        <v>44.128000000012108</v>
      </c>
      <c r="C440" s="300">
        <v>24.283000000302096</v>
      </c>
      <c r="D440" s="300">
        <v>11.636000000194954</v>
      </c>
      <c r="E440" s="300">
        <f t="shared" ref="E440:E441" si="1163">SUM(B440:D440)</f>
        <v>80.047000000509158</v>
      </c>
      <c r="F440" s="300"/>
      <c r="G440" s="300">
        <v>39.224000000056797</v>
      </c>
      <c r="H440" s="300">
        <v>32.404000000482348</v>
      </c>
      <c r="I440" s="300">
        <v>9.1990000000529903</v>
      </c>
      <c r="J440" s="300">
        <f t="shared" ref="J440:J441" si="1164">SUM(G440:I440)</f>
        <v>80.827000000592136</v>
      </c>
      <c r="K440" s="300"/>
      <c r="L440" s="300">
        <v>39.03600000006233</v>
      </c>
      <c r="M440" s="300">
        <v>29.946000000234921</v>
      </c>
      <c r="N440" s="300">
        <v>8.79600000012252</v>
      </c>
      <c r="O440" s="300">
        <f t="shared" ref="O440:O441" si="1165">SUM(L440:N440)</f>
        <v>77.778000000419766</v>
      </c>
      <c r="P440" s="300"/>
      <c r="Q440" s="300">
        <v>41.568000000129373</v>
      </c>
      <c r="R440" s="300">
        <v>31.822000000302054</v>
      </c>
      <c r="S440" s="300">
        <v>9.2200000002985618</v>
      </c>
      <c r="T440" s="300">
        <f t="shared" ref="T440:T441" si="1166">SUM(Q440:S440)</f>
        <v>82.610000000729997</v>
      </c>
      <c r="U440" s="300"/>
      <c r="V440" s="300">
        <v>44.861000000170428</v>
      </c>
      <c r="W440" s="300">
        <v>34.030000000478857</v>
      </c>
      <c r="X440" s="300">
        <v>9.9820000002183651</v>
      </c>
      <c r="Y440" s="300">
        <f t="shared" ref="Y440:Y441" si="1167">SUM(V440:X440)</f>
        <v>88.873000000867648</v>
      </c>
    </row>
    <row r="441" spans="1:25" ht="12.45" x14ac:dyDescent="0.3">
      <c r="A441" s="260" t="s">
        <v>354</v>
      </c>
      <c r="B441" s="300">
        <f>SUM(B439:B440)</f>
        <v>60.685000000012181</v>
      </c>
      <c r="C441" s="300">
        <f t="shared" ref="C441" si="1168">SUM(C439:C440)</f>
        <v>38.624000000665703</v>
      </c>
      <c r="D441" s="300">
        <f t="shared" ref="D441" si="1169">SUM(D439:D440)</f>
        <v>20.410000000250463</v>
      </c>
      <c r="E441" s="300">
        <f t="shared" si="1163"/>
        <v>119.71900000092835</v>
      </c>
      <c r="F441" s="300"/>
      <c r="G441" s="300">
        <f>SUM(G439:G440)</f>
        <v>52.066000000030634</v>
      </c>
      <c r="H441" s="300">
        <f t="shared" ref="H441" si="1170">SUM(H439:H440)</f>
        <v>51.244000000933312</v>
      </c>
      <c r="I441" s="300">
        <f t="shared" ref="I441" si="1171">SUM(I439:I440)</f>
        <v>18.091000000120957</v>
      </c>
      <c r="J441" s="300">
        <f t="shared" si="1164"/>
        <v>121.40100000108491</v>
      </c>
      <c r="K441" s="300"/>
      <c r="L441" s="300">
        <f>SUM(L439:L440)</f>
        <v>52.490999999883904</v>
      </c>
      <c r="M441" s="300">
        <f t="shared" ref="M441" si="1172">SUM(M439:M440)</f>
        <v>46.439000000107043</v>
      </c>
      <c r="N441" s="300">
        <f t="shared" ref="N441" si="1173">SUM(N439:N440)</f>
        <v>14.719000000090729</v>
      </c>
      <c r="O441" s="300">
        <f t="shared" si="1165"/>
        <v>113.64900000008167</v>
      </c>
      <c r="P441" s="300"/>
      <c r="Q441" s="300">
        <f>SUM(Q439:Q440)</f>
        <v>56.154000000287979</v>
      </c>
      <c r="R441" s="300">
        <f t="shared" ref="R441" si="1174">SUM(R439:R440)</f>
        <v>49.055000000527286</v>
      </c>
      <c r="S441" s="300">
        <f t="shared" ref="S441" si="1175">SUM(S439:S440)</f>
        <v>15.422000000327502</v>
      </c>
      <c r="T441" s="300">
        <f t="shared" si="1166"/>
        <v>120.63100000114277</v>
      </c>
      <c r="U441" s="300"/>
      <c r="V441" s="300">
        <f>SUM(V439:V440)</f>
        <v>60.953000000027828</v>
      </c>
      <c r="W441" s="300">
        <f t="shared" ref="W441" si="1176">SUM(W439:W440)</f>
        <v>51.99200000036339</v>
      </c>
      <c r="X441" s="300">
        <f t="shared" ref="X441" si="1177">SUM(X439:X440)</f>
        <v>16.736000000253391</v>
      </c>
      <c r="Y441" s="300">
        <f t="shared" si="1167"/>
        <v>129.68100000064462</v>
      </c>
    </row>
    <row r="442" spans="1:25" ht="12.45" x14ac:dyDescent="0.3">
      <c r="C442" s="319"/>
      <c r="D442" s="319"/>
      <c r="E442" s="319"/>
      <c r="F442" s="319"/>
      <c r="G442" s="319"/>
      <c r="H442" s="319"/>
      <c r="I442" s="319"/>
      <c r="J442" s="319"/>
      <c r="K442" s="319"/>
      <c r="L442" s="319"/>
      <c r="M442" s="319"/>
      <c r="N442" s="319"/>
      <c r="O442" s="319"/>
      <c r="P442" s="319"/>
      <c r="Q442" s="319"/>
      <c r="R442" s="319"/>
      <c r="S442" s="319"/>
      <c r="T442" s="319"/>
      <c r="U442" s="319"/>
      <c r="V442" s="319"/>
      <c r="W442" s="319"/>
      <c r="X442" s="319"/>
      <c r="Y442" s="319"/>
    </row>
    <row r="443" spans="1:25" ht="12.45" x14ac:dyDescent="0.3">
      <c r="A443" s="261" t="str">
        <f>name!A63</f>
        <v>Travel, etc</v>
      </c>
      <c r="C443" s="263"/>
    </row>
    <row r="444" spans="1:25" ht="12.45" x14ac:dyDescent="0.3">
      <c r="A444" s="260" t="s">
        <v>356</v>
      </c>
      <c r="B444" s="300">
        <v>0.77999999999877179</v>
      </c>
      <c r="C444" s="300">
        <v>0.55600000001069927</v>
      </c>
      <c r="D444" s="300">
        <v>0.74400000001511513</v>
      </c>
      <c r="E444" s="300">
        <f>SUM(B444:D444)</f>
        <v>2.0800000000245862</v>
      </c>
      <c r="F444" s="300"/>
      <c r="G444" s="300">
        <v>0.76599999999590529</v>
      </c>
      <c r="H444" s="300">
        <v>0.49600000001005701</v>
      </c>
      <c r="I444" s="300">
        <v>0.74500000001669342</v>
      </c>
      <c r="J444" s="300">
        <f>SUM(G444:I444)</f>
        <v>2.0070000000226558</v>
      </c>
      <c r="K444" s="300"/>
      <c r="L444" s="300">
        <v>0.80299999998204785</v>
      </c>
      <c r="M444" s="300">
        <v>0.4339999999982399</v>
      </c>
      <c r="N444" s="300">
        <v>0.49599999998810074</v>
      </c>
      <c r="O444" s="300">
        <f>SUM(L444:N444)</f>
        <v>1.7329999999683885</v>
      </c>
      <c r="P444" s="300"/>
      <c r="Q444" s="300">
        <v>0.87000000001932076</v>
      </c>
      <c r="R444" s="300">
        <v>0.45300000000635138</v>
      </c>
      <c r="S444" s="300">
        <v>0.51899999999889057</v>
      </c>
      <c r="T444" s="300">
        <f>SUM(Q444:S444)</f>
        <v>1.8420000000245627</v>
      </c>
      <c r="U444" s="300"/>
      <c r="V444" s="300">
        <v>0.95999999998824759</v>
      </c>
      <c r="W444" s="300">
        <v>0.47199999999737224</v>
      </c>
      <c r="X444" s="300">
        <v>0.5659999999980837</v>
      </c>
      <c r="Y444" s="300">
        <f>SUM(V444:X444)</f>
        <v>1.9979999999837035</v>
      </c>
    </row>
    <row r="445" spans="1:25" ht="12.45" x14ac:dyDescent="0.3">
      <c r="A445" s="260" t="s">
        <v>355</v>
      </c>
      <c r="B445" s="300">
        <v>2.7640000000013427</v>
      </c>
      <c r="C445" s="300">
        <v>1.0860000000102099</v>
      </c>
      <c r="D445" s="300">
        <v>0.30800000000450012</v>
      </c>
      <c r="E445" s="300">
        <f t="shared" ref="E445:E446" si="1178">SUM(B445:D445)</f>
        <v>4.1580000000160524</v>
      </c>
      <c r="F445" s="300"/>
      <c r="G445" s="300">
        <v>3.112000000010767</v>
      </c>
      <c r="H445" s="300">
        <v>0.98300000001200127</v>
      </c>
      <c r="I445" s="300">
        <v>0.23999999999885727</v>
      </c>
      <c r="J445" s="300">
        <f t="shared" ref="J445:J446" si="1179">SUM(G445:I445)</f>
        <v>4.3350000000216253</v>
      </c>
      <c r="K445" s="300"/>
      <c r="L445" s="300">
        <v>3.0970000000140998</v>
      </c>
      <c r="M445" s="300">
        <v>0.90800000000583059</v>
      </c>
      <c r="N445" s="300">
        <v>0.23000000000300008</v>
      </c>
      <c r="O445" s="300">
        <f t="shared" ref="O445:O446" si="1180">SUM(L445:N445)</f>
        <v>4.2350000000229304</v>
      </c>
      <c r="P445" s="300"/>
      <c r="Q445" s="300">
        <v>3.2980000000276717</v>
      </c>
      <c r="R445" s="300">
        <v>0.96500000000846897</v>
      </c>
      <c r="S445" s="300">
        <v>0.24100000000856917</v>
      </c>
      <c r="T445" s="300">
        <f t="shared" ref="T445:T446" si="1181">SUM(Q445:S445)</f>
        <v>4.5040000000447096</v>
      </c>
      <c r="U445" s="300"/>
      <c r="V445" s="300">
        <v>3.5590000000340032</v>
      </c>
      <c r="W445" s="300">
        <v>1.0320000000118221</v>
      </c>
      <c r="X445" s="300">
        <v>0.26100000000561785</v>
      </c>
      <c r="Y445" s="300">
        <f t="shared" ref="Y445:Y446" si="1182">SUM(V445:X445)</f>
        <v>4.8520000000514436</v>
      </c>
    </row>
    <row r="446" spans="1:25" ht="12.45" x14ac:dyDescent="0.3">
      <c r="A446" s="260" t="s">
        <v>354</v>
      </c>
      <c r="B446" s="300">
        <f>SUM(B444:B445)</f>
        <v>3.5440000000001146</v>
      </c>
      <c r="C446" s="300">
        <f t="shared" ref="C446" si="1183">SUM(C444:C445)</f>
        <v>1.6420000000209092</v>
      </c>
      <c r="D446" s="300">
        <f t="shared" ref="D446" si="1184">SUM(D444:D445)</f>
        <v>1.0520000000196152</v>
      </c>
      <c r="E446" s="300">
        <f t="shared" si="1178"/>
        <v>6.238000000040639</v>
      </c>
      <c r="F446" s="300"/>
      <c r="G446" s="300">
        <f>SUM(G444:G445)</f>
        <v>3.8780000000066721</v>
      </c>
      <c r="H446" s="300">
        <f t="shared" ref="H446" si="1185">SUM(H444:H445)</f>
        <v>1.4790000000220582</v>
      </c>
      <c r="I446" s="300">
        <f t="shared" ref="I446" si="1186">SUM(I444:I445)</f>
        <v>0.98500000001555066</v>
      </c>
      <c r="J446" s="300">
        <f t="shared" si="1179"/>
        <v>6.3420000000442807</v>
      </c>
      <c r="K446" s="300"/>
      <c r="L446" s="300">
        <f>SUM(L444:L445)</f>
        <v>3.8999999999961474</v>
      </c>
      <c r="M446" s="300">
        <f t="shared" ref="M446" si="1187">SUM(M444:M445)</f>
        <v>1.3420000000040706</v>
      </c>
      <c r="N446" s="300">
        <f t="shared" ref="N446" si="1188">SUM(N444:N445)</f>
        <v>0.72599999999110088</v>
      </c>
      <c r="O446" s="300">
        <f t="shared" si="1180"/>
        <v>5.9679999999913189</v>
      </c>
      <c r="P446" s="300"/>
      <c r="Q446" s="300">
        <f>SUM(Q444:Q445)</f>
        <v>4.1680000000469928</v>
      </c>
      <c r="R446" s="300">
        <f t="shared" ref="R446" si="1189">SUM(R444:R445)</f>
        <v>1.4180000000148203</v>
      </c>
      <c r="S446" s="300">
        <f t="shared" ref="S446" si="1190">SUM(S444:S445)</f>
        <v>0.76000000000745971</v>
      </c>
      <c r="T446" s="300">
        <f t="shared" si="1181"/>
        <v>6.3460000000692727</v>
      </c>
      <c r="U446" s="300"/>
      <c r="V446" s="300">
        <f>SUM(V444:V445)</f>
        <v>4.5190000000222508</v>
      </c>
      <c r="W446" s="300">
        <f t="shared" ref="W446" si="1191">SUM(W444:W445)</f>
        <v>1.5040000000091944</v>
      </c>
      <c r="X446" s="300">
        <f t="shared" ref="X446" si="1192">SUM(X444:X445)</f>
        <v>0.82700000000370155</v>
      </c>
      <c r="Y446" s="300">
        <f t="shared" si="1182"/>
        <v>6.8500000000351466</v>
      </c>
    </row>
    <row r="447" spans="1:25" ht="12.45" x14ac:dyDescent="0.3">
      <c r="C447" s="319"/>
      <c r="D447" s="319"/>
      <c r="E447" s="319"/>
      <c r="F447" s="319"/>
      <c r="G447" s="319"/>
      <c r="H447" s="319"/>
      <c r="I447" s="319"/>
      <c r="J447" s="319"/>
      <c r="K447" s="319"/>
      <c r="L447" s="319"/>
      <c r="M447" s="319"/>
      <c r="N447" s="319"/>
      <c r="O447" s="319"/>
      <c r="P447" s="319"/>
      <c r="Q447" s="319"/>
      <c r="R447" s="319"/>
      <c r="S447" s="319"/>
      <c r="T447" s="319"/>
      <c r="U447" s="319"/>
      <c r="V447" s="319"/>
      <c r="W447" s="319"/>
      <c r="X447" s="319"/>
      <c r="Y447" s="319"/>
    </row>
    <row r="448" spans="1:25" ht="12.45" x14ac:dyDescent="0.3">
      <c r="A448" s="261" t="str">
        <f>name!A64</f>
        <v>Security, etc</v>
      </c>
      <c r="C448" s="263"/>
    </row>
    <row r="449" spans="1:25" ht="12.45" x14ac:dyDescent="0.3">
      <c r="A449" s="260" t="s">
        <v>356</v>
      </c>
      <c r="B449" s="300">
        <v>1.8920000000006216</v>
      </c>
      <c r="C449" s="300">
        <v>1.1530000000310925</v>
      </c>
      <c r="D449" s="300">
        <v>0.33000000000233676</v>
      </c>
      <c r="E449" s="300">
        <f>SUM(B449:D449)</f>
        <v>3.375000000034051</v>
      </c>
      <c r="F449" s="300"/>
      <c r="G449" s="300">
        <v>2.2929999999959008</v>
      </c>
      <c r="H449" s="300">
        <v>2.6890000000688157</v>
      </c>
      <c r="I449" s="300">
        <v>0.53100000000422354</v>
      </c>
      <c r="J449" s="300">
        <f>SUM(G449:I449)</f>
        <v>5.5130000000689403</v>
      </c>
      <c r="K449" s="300"/>
      <c r="L449" s="300">
        <v>2.4029999999659837</v>
      </c>
      <c r="M449" s="300">
        <v>2.3539999999794365</v>
      </c>
      <c r="N449" s="300">
        <v>0.35399999999801451</v>
      </c>
      <c r="O449" s="300">
        <f>SUM(L449:N449)</f>
        <v>5.1109999999434343</v>
      </c>
      <c r="P449" s="300"/>
      <c r="Q449" s="300">
        <v>2.6040000000285608</v>
      </c>
      <c r="R449" s="300">
        <v>2.4590000000330581</v>
      </c>
      <c r="S449" s="300">
        <v>0.37000000000166916</v>
      </c>
      <c r="T449" s="300">
        <f>SUM(Q449:S449)</f>
        <v>5.4330000000632879</v>
      </c>
      <c r="U449" s="300"/>
      <c r="V449" s="300">
        <v>2.8729999999731461</v>
      </c>
      <c r="W449" s="300">
        <v>2.562999999980291</v>
      </c>
      <c r="X449" s="300">
        <v>0.40300000000217745</v>
      </c>
      <c r="Y449" s="300">
        <f>SUM(V449:X449)</f>
        <v>5.8389999999556146</v>
      </c>
    </row>
    <row r="450" spans="1:25" ht="12.45" x14ac:dyDescent="0.3">
      <c r="A450" s="260" t="s">
        <v>355</v>
      </c>
      <c r="B450" s="300">
        <v>5.7440000000020577</v>
      </c>
      <c r="C450" s="300">
        <v>1.4420000000184681</v>
      </c>
      <c r="D450" s="300">
        <v>1.8110000000265065</v>
      </c>
      <c r="E450" s="300">
        <f t="shared" ref="E450:E451" si="1193">SUM(B450:D450)</f>
        <v>8.9970000000470325</v>
      </c>
      <c r="F450" s="300"/>
      <c r="G450" s="300">
        <v>7.9780000000123579</v>
      </c>
      <c r="H450" s="300">
        <v>3.4130000000522744</v>
      </c>
      <c r="I450" s="300">
        <v>2.2720000000171807</v>
      </c>
      <c r="J450" s="300">
        <f t="shared" ref="J450:J451" si="1194">SUM(G450:I450)</f>
        <v>13.663000000081814</v>
      </c>
      <c r="K450" s="300"/>
      <c r="L450" s="300">
        <v>7.940000000013673</v>
      </c>
      <c r="M450" s="300">
        <v>3.1550000000248484</v>
      </c>
      <c r="N450" s="300">
        <v>2.1730000000284324</v>
      </c>
      <c r="O450" s="300">
        <f t="shared" ref="O450:O451" si="1195">SUM(L450:N450)</f>
        <v>13.268000000066953</v>
      </c>
      <c r="P450" s="300"/>
      <c r="Q450" s="300">
        <v>8.4540000000269018</v>
      </c>
      <c r="R450" s="300">
        <v>3.3520000000322487</v>
      </c>
      <c r="S450" s="300">
        <v>2.2780000000618785</v>
      </c>
      <c r="T450" s="300">
        <f t="shared" ref="T450:T451" si="1196">SUM(Q450:S450)</f>
        <v>14.084000000121028</v>
      </c>
      <c r="U450" s="300"/>
      <c r="V450" s="300">
        <v>9.1240000000340888</v>
      </c>
      <c r="W450" s="300">
        <v>3.585000000051664</v>
      </c>
      <c r="X450" s="300">
        <v>2.4660000000492772</v>
      </c>
      <c r="Y450" s="300">
        <f t="shared" ref="Y450:Y451" si="1197">SUM(V450:X450)</f>
        <v>15.17500000013503</v>
      </c>
    </row>
    <row r="451" spans="1:25" ht="12.45" x14ac:dyDescent="0.3">
      <c r="A451" s="260" t="s">
        <v>354</v>
      </c>
      <c r="B451" s="300">
        <f>SUM(B449:B450)</f>
        <v>7.6360000000026798</v>
      </c>
      <c r="C451" s="300">
        <f t="shared" ref="C451" si="1198">SUM(C449:C450)</f>
        <v>2.5950000000495606</v>
      </c>
      <c r="D451" s="300">
        <f t="shared" ref="D451" si="1199">SUM(D449:D450)</f>
        <v>2.1410000000288432</v>
      </c>
      <c r="E451" s="300">
        <f t="shared" si="1193"/>
        <v>12.372000000081083</v>
      </c>
      <c r="F451" s="300"/>
      <c r="G451" s="300">
        <f>SUM(G449:G450)</f>
        <v>10.271000000008259</v>
      </c>
      <c r="H451" s="300">
        <f t="shared" ref="H451" si="1200">SUM(H449:H450)</f>
        <v>6.1020000001210901</v>
      </c>
      <c r="I451" s="300">
        <f t="shared" ref="I451" si="1201">SUM(I449:I450)</f>
        <v>2.8030000000214041</v>
      </c>
      <c r="J451" s="300">
        <f t="shared" si="1194"/>
        <v>19.176000000150751</v>
      </c>
      <c r="K451" s="300"/>
      <c r="L451" s="300">
        <f>SUM(L449:L450)</f>
        <v>10.342999999979657</v>
      </c>
      <c r="M451" s="300">
        <f t="shared" ref="M451" si="1202">SUM(M449:M450)</f>
        <v>5.5090000000042849</v>
      </c>
      <c r="N451" s="300">
        <f t="shared" ref="N451" si="1203">SUM(N449:N450)</f>
        <v>2.527000000026447</v>
      </c>
      <c r="O451" s="300">
        <f t="shared" si="1195"/>
        <v>18.379000000010389</v>
      </c>
      <c r="P451" s="300"/>
      <c r="Q451" s="300">
        <f>SUM(Q449:Q450)</f>
        <v>11.058000000055463</v>
      </c>
      <c r="R451" s="300">
        <f t="shared" ref="R451" si="1204">SUM(R449:R450)</f>
        <v>5.8110000000653068</v>
      </c>
      <c r="S451" s="300">
        <f t="shared" ref="S451" si="1205">SUM(S449:S450)</f>
        <v>2.6480000000635475</v>
      </c>
      <c r="T451" s="300">
        <f t="shared" si="1196"/>
        <v>19.517000000184318</v>
      </c>
      <c r="U451" s="300"/>
      <c r="V451" s="300">
        <f>SUM(V449:V450)</f>
        <v>11.997000000007235</v>
      </c>
      <c r="W451" s="300">
        <f t="shared" ref="W451" si="1206">SUM(W449:W450)</f>
        <v>6.1480000000319546</v>
      </c>
      <c r="X451" s="300">
        <f t="shared" ref="X451" si="1207">SUM(X449:X450)</f>
        <v>2.8690000000514546</v>
      </c>
      <c r="Y451" s="300">
        <f t="shared" si="1197"/>
        <v>21.014000000090643</v>
      </c>
    </row>
    <row r="452" spans="1:25" ht="12.45" x14ac:dyDescent="0.3">
      <c r="C452" s="319"/>
      <c r="D452" s="319"/>
      <c r="E452" s="319"/>
      <c r="F452" s="319"/>
      <c r="G452" s="319"/>
      <c r="H452" s="319"/>
      <c r="I452" s="319"/>
      <c r="J452" s="319"/>
      <c r="K452" s="319"/>
      <c r="L452" s="319"/>
      <c r="M452" s="319"/>
      <c r="N452" s="319"/>
      <c r="O452" s="319"/>
      <c r="P452" s="319"/>
      <c r="Q452" s="319"/>
      <c r="R452" s="319"/>
      <c r="S452" s="319"/>
      <c r="T452" s="319"/>
      <c r="U452" s="319"/>
      <c r="V452" s="319"/>
      <c r="W452" s="319"/>
      <c r="X452" s="319"/>
      <c r="Y452" s="319"/>
    </row>
    <row r="453" spans="1:25" ht="12.45" x14ac:dyDescent="0.3">
      <c r="A453" s="261" t="str">
        <f>name!A65</f>
        <v>Services to buildings</v>
      </c>
      <c r="C453" s="263"/>
    </row>
    <row r="454" spans="1:25" ht="12.45" x14ac:dyDescent="0.3">
      <c r="A454" s="260" t="s">
        <v>356</v>
      </c>
      <c r="B454" s="300">
        <v>24.114999999998595</v>
      </c>
      <c r="C454" s="300">
        <v>36.600000000875397</v>
      </c>
      <c r="D454" s="300">
        <v>7.8730000000518592</v>
      </c>
      <c r="E454" s="300">
        <f>SUM(B454:D454)</f>
        <v>68.588000000925845</v>
      </c>
      <c r="F454" s="300"/>
      <c r="G454" s="300">
        <v>25.878999999955301</v>
      </c>
      <c r="H454" s="300">
        <v>38.265000000881102</v>
      </c>
      <c r="I454" s="300">
        <v>8.4440000000592725</v>
      </c>
      <c r="J454" s="300">
        <f>SUM(G454:I454)</f>
        <v>72.588000000895676</v>
      </c>
      <c r="K454" s="300"/>
      <c r="L454" s="300">
        <v>27.114999999641743</v>
      </c>
      <c r="M454" s="300">
        <v>33.496999999723855</v>
      </c>
      <c r="N454" s="300">
        <v>5.6249999999753584</v>
      </c>
      <c r="O454" s="300">
        <f>SUM(L454:N454)</f>
        <v>66.236999999340952</v>
      </c>
      <c r="P454" s="300"/>
      <c r="Q454" s="300">
        <v>29.393000000297441</v>
      </c>
      <c r="R454" s="300">
        <v>34.999000000423536</v>
      </c>
      <c r="S454" s="300">
        <v>5.8900000000246662</v>
      </c>
      <c r="T454" s="300">
        <f>SUM(Q454:S454)</f>
        <v>70.28200000074564</v>
      </c>
      <c r="U454" s="300"/>
      <c r="V454" s="300">
        <v>32.427999999700752</v>
      </c>
      <c r="W454" s="300">
        <v>36.48099999975345</v>
      </c>
      <c r="X454" s="300">
        <v>6.413000000033219</v>
      </c>
      <c r="Y454" s="300">
        <f>SUM(V454:X454)</f>
        <v>75.321999999487431</v>
      </c>
    </row>
    <row r="455" spans="1:25" ht="12.45" x14ac:dyDescent="0.3">
      <c r="A455" s="260" t="s">
        <v>355</v>
      </c>
      <c r="B455" s="300">
        <v>15.862999999999822</v>
      </c>
      <c r="C455" s="300">
        <v>6.1230000000730671</v>
      </c>
      <c r="D455" s="300">
        <v>6.9580000000795064</v>
      </c>
      <c r="E455" s="300">
        <f t="shared" ref="E455:E456" si="1208">SUM(B455:D455)</f>
        <v>28.944000000152393</v>
      </c>
      <c r="F455" s="300"/>
      <c r="G455" s="300">
        <v>19.50900000002218</v>
      </c>
      <c r="H455" s="300">
        <v>6.5020000000919547</v>
      </c>
      <c r="I455" s="300">
        <v>5.8200000000425129</v>
      </c>
      <c r="J455" s="300">
        <f t="shared" ref="J455:J456" si="1209">SUM(G455:I455)</f>
        <v>31.831000000156646</v>
      </c>
      <c r="K455" s="300"/>
      <c r="L455" s="300">
        <v>19.415000000022633</v>
      </c>
      <c r="M455" s="300">
        <v>6.0090000000440229</v>
      </c>
      <c r="N455" s="300">
        <v>5.5660000000576018</v>
      </c>
      <c r="O455" s="300">
        <f t="shared" ref="O455:O456" si="1210">SUM(L455:N455)</f>
        <v>30.990000000124258</v>
      </c>
      <c r="P455" s="300"/>
      <c r="Q455" s="300">
        <v>20.674000000056175</v>
      </c>
      <c r="R455" s="300">
        <v>6.3860000000564741</v>
      </c>
      <c r="S455" s="300">
        <v>5.8340000001310175</v>
      </c>
      <c r="T455" s="300">
        <f t="shared" ref="T455:T456" si="1211">SUM(Q455:S455)</f>
        <v>32.894000000243665</v>
      </c>
      <c r="U455" s="300"/>
      <c r="V455" s="300">
        <v>22.312000000072551</v>
      </c>
      <c r="W455" s="300">
        <v>6.8290000000879001</v>
      </c>
      <c r="X455" s="300">
        <v>6.3160000001078922</v>
      </c>
      <c r="Y455" s="300">
        <f t="shared" ref="Y455:Y456" si="1212">SUM(V455:X455)</f>
        <v>35.457000000268344</v>
      </c>
    </row>
    <row r="456" spans="1:25" ht="12.45" x14ac:dyDescent="0.3">
      <c r="A456" s="260" t="s">
        <v>354</v>
      </c>
      <c r="B456" s="300">
        <f>SUM(B454:B455)</f>
        <v>39.977999999998417</v>
      </c>
      <c r="C456" s="300">
        <f t="shared" ref="C456" si="1213">SUM(C454:C455)</f>
        <v>42.723000000948467</v>
      </c>
      <c r="D456" s="300">
        <f t="shared" ref="D456" si="1214">SUM(D454:D455)</f>
        <v>14.831000000131365</v>
      </c>
      <c r="E456" s="300">
        <f t="shared" si="1208"/>
        <v>97.532000001078259</v>
      </c>
      <c r="F456" s="300"/>
      <c r="G456" s="300">
        <f>SUM(G454:G455)</f>
        <v>45.387999999977481</v>
      </c>
      <c r="H456" s="300">
        <f t="shared" ref="H456" si="1215">SUM(H454:H455)</f>
        <v>44.767000000973056</v>
      </c>
      <c r="I456" s="300">
        <f t="shared" ref="I456" si="1216">SUM(I454:I455)</f>
        <v>14.264000000101785</v>
      </c>
      <c r="J456" s="300">
        <f t="shared" si="1209"/>
        <v>104.41900000105232</v>
      </c>
      <c r="K456" s="300"/>
      <c r="L456" s="300">
        <f>SUM(L454:L455)</f>
        <v>46.529999999664376</v>
      </c>
      <c r="M456" s="300">
        <f t="shared" ref="M456" si="1217">SUM(M454:M455)</f>
        <v>39.50599999976788</v>
      </c>
      <c r="N456" s="300">
        <f t="shared" ref="N456" si="1218">SUM(N454:N455)</f>
        <v>11.191000000032961</v>
      </c>
      <c r="O456" s="300">
        <f t="shared" si="1210"/>
        <v>97.226999999465207</v>
      </c>
      <c r="P456" s="300"/>
      <c r="Q456" s="300">
        <f>SUM(Q454:Q455)</f>
        <v>50.067000000353616</v>
      </c>
      <c r="R456" s="300">
        <f t="shared" ref="R456" si="1219">SUM(R454:R455)</f>
        <v>41.385000000480012</v>
      </c>
      <c r="S456" s="300">
        <f t="shared" ref="S456" si="1220">SUM(S454:S455)</f>
        <v>11.724000000155684</v>
      </c>
      <c r="T456" s="300">
        <f t="shared" si="1211"/>
        <v>103.17600000098932</v>
      </c>
      <c r="U456" s="300"/>
      <c r="V456" s="300">
        <f>SUM(V454:V455)</f>
        <v>54.739999999773303</v>
      </c>
      <c r="W456" s="300">
        <f t="shared" ref="W456" si="1221">SUM(W454:W455)</f>
        <v>43.309999999841352</v>
      </c>
      <c r="X456" s="300">
        <f t="shared" ref="X456" si="1222">SUM(X454:X455)</f>
        <v>12.729000000141111</v>
      </c>
      <c r="Y456" s="300">
        <f t="shared" si="1212"/>
        <v>110.77899999975577</v>
      </c>
    </row>
    <row r="457" spans="1:25" ht="12.45" x14ac:dyDescent="0.3">
      <c r="C457" s="319"/>
      <c r="D457" s="319"/>
      <c r="E457" s="319"/>
      <c r="F457" s="319"/>
      <c r="G457" s="319"/>
      <c r="H457" s="319"/>
      <c r="I457" s="319"/>
      <c r="J457" s="319"/>
      <c r="K457" s="319"/>
      <c r="L457" s="319"/>
      <c r="M457" s="319"/>
      <c r="N457" s="319"/>
      <c r="O457" s="319"/>
      <c r="P457" s="319"/>
      <c r="Q457" s="319"/>
      <c r="R457" s="319"/>
      <c r="S457" s="319"/>
      <c r="T457" s="319"/>
      <c r="U457" s="319"/>
      <c r="V457" s="319"/>
      <c r="W457" s="319"/>
      <c r="X457" s="319"/>
      <c r="Y457" s="319"/>
    </row>
    <row r="458" spans="1:25" ht="12.45" x14ac:dyDescent="0.3">
      <c r="A458" s="261" t="str">
        <f>name!A66</f>
        <v>Office administrative</v>
      </c>
      <c r="C458" s="263"/>
    </row>
    <row r="459" spans="1:25" ht="12.45" x14ac:dyDescent="0.3">
      <c r="A459" s="260" t="s">
        <v>356</v>
      </c>
      <c r="B459" s="300">
        <v>9.3570000000030547</v>
      </c>
      <c r="C459" s="300">
        <v>1.9370000000522336</v>
      </c>
      <c r="D459" s="300">
        <v>2.811000000019904</v>
      </c>
      <c r="E459" s="300">
        <f>SUM(B459:D459)</f>
        <v>14.105000000075192</v>
      </c>
      <c r="F459" s="300"/>
      <c r="G459" s="300">
        <v>8.0899999999855456</v>
      </c>
      <c r="H459" s="300">
        <v>4.4030000001126757</v>
      </c>
      <c r="I459" s="300">
        <v>3.4050000000270804</v>
      </c>
      <c r="J459" s="300">
        <f>SUM(G459:I459)</f>
        <v>15.8980000001253</v>
      </c>
      <c r="K459" s="300"/>
      <c r="L459" s="300">
        <v>8.4769999998800127</v>
      </c>
      <c r="M459" s="300">
        <v>3.854999999966326</v>
      </c>
      <c r="N459" s="300">
        <v>2.2679999999872802</v>
      </c>
      <c r="O459" s="300">
        <f>SUM(L459:N459)</f>
        <v>14.599999999833619</v>
      </c>
      <c r="P459" s="300"/>
      <c r="Q459" s="300">
        <v>9.1890000001007976</v>
      </c>
      <c r="R459" s="300">
        <v>4.0280000000541483</v>
      </c>
      <c r="S459" s="300">
        <v>2.3750000000107132</v>
      </c>
      <c r="T459" s="300">
        <f>SUM(Q459:S459)</f>
        <v>15.59200000016566</v>
      </c>
      <c r="U459" s="300"/>
      <c r="V459" s="300">
        <v>10.137999999905226</v>
      </c>
      <c r="W459" s="300">
        <v>4.1979999999677142</v>
      </c>
      <c r="X459" s="300">
        <v>2.58600000001397</v>
      </c>
      <c r="Y459" s="300">
        <f>SUM(V459:X459)</f>
        <v>16.921999999886911</v>
      </c>
    </row>
    <row r="460" spans="1:25" ht="12.45" x14ac:dyDescent="0.3">
      <c r="A460" s="260" t="s">
        <v>355</v>
      </c>
      <c r="B460" s="300">
        <v>20.467000000007346</v>
      </c>
      <c r="C460" s="300">
        <v>2.1000000000268946</v>
      </c>
      <c r="D460" s="300">
        <v>3.5950000000526185</v>
      </c>
      <c r="E460" s="300">
        <f t="shared" ref="E460:E461" si="1223">SUM(B460:D460)</f>
        <v>26.162000000086859</v>
      </c>
      <c r="F460" s="300"/>
      <c r="G460" s="300">
        <v>20.281000000031412</v>
      </c>
      <c r="H460" s="300">
        <v>4.8490000000742697</v>
      </c>
      <c r="I460" s="300">
        <v>3.397000000025689</v>
      </c>
      <c r="J460" s="300">
        <f t="shared" ref="J460:J461" si="1224">SUM(G460:I460)</f>
        <v>28.52700000013137</v>
      </c>
      <c r="K460" s="300"/>
      <c r="L460" s="300">
        <v>20.184000000034747</v>
      </c>
      <c r="M460" s="300">
        <v>4.481000000035289</v>
      </c>
      <c r="N460" s="300">
        <v>3.2490000000425159</v>
      </c>
      <c r="O460" s="300">
        <f t="shared" ref="O460:O461" si="1225">SUM(L460:N460)</f>
        <v>27.914000000112551</v>
      </c>
      <c r="P460" s="300"/>
      <c r="Q460" s="300">
        <v>21.492000000068369</v>
      </c>
      <c r="R460" s="300">
        <v>4.7620000000458136</v>
      </c>
      <c r="S460" s="300">
        <v>3.4050000000924898</v>
      </c>
      <c r="T460" s="300">
        <f t="shared" ref="T460:T461" si="1226">SUM(Q460:S460)</f>
        <v>29.659000000206671</v>
      </c>
      <c r="U460" s="300"/>
      <c r="V460" s="300">
        <v>23.195000000086655</v>
      </c>
      <c r="W460" s="300">
        <v>5.0920000000733801</v>
      </c>
      <c r="X460" s="300">
        <v>3.6870000000736733</v>
      </c>
      <c r="Y460" s="300">
        <f t="shared" ref="Y460:Y461" si="1227">SUM(V460:X460)</f>
        <v>31.974000000233708</v>
      </c>
    </row>
    <row r="461" spans="1:25" ht="12.45" x14ac:dyDescent="0.3">
      <c r="A461" s="260" t="s">
        <v>354</v>
      </c>
      <c r="B461" s="300">
        <f>SUM(B459:B460)</f>
        <v>29.8240000000104</v>
      </c>
      <c r="C461" s="300">
        <f t="shared" ref="C461" si="1228">SUM(C459:C460)</f>
        <v>4.0370000000791286</v>
      </c>
      <c r="D461" s="300">
        <f t="shared" ref="D461" si="1229">SUM(D459:D460)</f>
        <v>6.4060000000725221</v>
      </c>
      <c r="E461" s="300">
        <f t="shared" si="1223"/>
        <v>40.267000000162056</v>
      </c>
      <c r="F461" s="300"/>
      <c r="G461" s="300">
        <f>SUM(G459:G460)</f>
        <v>28.371000000016956</v>
      </c>
      <c r="H461" s="300">
        <f t="shared" ref="H461" si="1230">SUM(H459:H460)</f>
        <v>9.2520000001869462</v>
      </c>
      <c r="I461" s="300">
        <f t="shared" ref="I461" si="1231">SUM(I459:I460)</f>
        <v>6.8020000000527698</v>
      </c>
      <c r="J461" s="300">
        <f t="shared" si="1224"/>
        <v>44.425000000256674</v>
      </c>
      <c r="K461" s="300"/>
      <c r="L461" s="300">
        <f>SUM(L459:L460)</f>
        <v>28.660999999914758</v>
      </c>
      <c r="M461" s="300">
        <f t="shared" ref="M461" si="1232">SUM(M459:M460)</f>
        <v>8.336000000001615</v>
      </c>
      <c r="N461" s="300">
        <f t="shared" ref="N461" si="1233">SUM(N459:N460)</f>
        <v>5.5170000000297961</v>
      </c>
      <c r="O461" s="300">
        <f t="shared" si="1225"/>
        <v>42.513999999946165</v>
      </c>
      <c r="P461" s="300"/>
      <c r="Q461" s="300">
        <f>SUM(Q459:Q460)</f>
        <v>30.681000000169167</v>
      </c>
      <c r="R461" s="300">
        <f t="shared" ref="R461" si="1234">SUM(R459:R460)</f>
        <v>8.7900000000999619</v>
      </c>
      <c r="S461" s="300">
        <f t="shared" ref="S461" si="1235">SUM(S459:S460)</f>
        <v>5.780000000103203</v>
      </c>
      <c r="T461" s="300">
        <f t="shared" si="1226"/>
        <v>45.251000000372329</v>
      </c>
      <c r="U461" s="300"/>
      <c r="V461" s="300">
        <f>SUM(V459:V460)</f>
        <v>33.332999999991884</v>
      </c>
      <c r="W461" s="300">
        <f t="shared" ref="W461" si="1236">SUM(W459:W460)</f>
        <v>9.2900000000410934</v>
      </c>
      <c r="X461" s="300">
        <f t="shared" ref="X461" si="1237">SUM(X459:X460)</f>
        <v>6.2730000000876434</v>
      </c>
      <c r="Y461" s="300">
        <f t="shared" si="1227"/>
        <v>48.896000000120615</v>
      </c>
    </row>
    <row r="462" spans="1:25" ht="12.45" x14ac:dyDescent="0.3">
      <c r="C462" s="319"/>
      <c r="D462" s="319"/>
      <c r="E462" s="319"/>
      <c r="F462" s="319"/>
      <c r="G462" s="319"/>
      <c r="H462" s="319"/>
      <c r="I462" s="319"/>
      <c r="J462" s="319"/>
      <c r="K462" s="319"/>
      <c r="L462" s="319"/>
      <c r="M462" s="319"/>
      <c r="N462" s="319"/>
      <c r="O462" s="319"/>
      <c r="P462" s="319"/>
      <c r="Q462" s="319"/>
      <c r="R462" s="319"/>
      <c r="S462" s="319"/>
      <c r="T462" s="319"/>
      <c r="U462" s="319"/>
      <c r="V462" s="319"/>
      <c r="W462" s="319"/>
      <c r="X462" s="319"/>
      <c r="Y462" s="319"/>
    </row>
    <row r="463" spans="1:25" ht="12.45" x14ac:dyDescent="0.3">
      <c r="A463" s="261" t="s">
        <v>360</v>
      </c>
      <c r="C463" s="263"/>
    </row>
    <row r="464" spans="1:25" ht="12.45" x14ac:dyDescent="0.3">
      <c r="A464" s="260" t="s">
        <v>356</v>
      </c>
      <c r="B464" s="300">
        <f>SUM(B434,B439,B444,B449,B454,B459)</f>
        <v>55.506999999986213</v>
      </c>
      <c r="C464" s="300">
        <f t="shared" ref="C464:D465" si="1238">SUM(C434,C439,C444,C449,C454,C459)</f>
        <v>55.369000001350372</v>
      </c>
      <c r="D464" s="300">
        <f t="shared" si="1238"/>
        <v>21.604000000150499</v>
      </c>
      <c r="E464" s="300">
        <f>SUM(B464:D464)</f>
        <v>132.4800000014871</v>
      </c>
      <c r="F464" s="300"/>
      <c r="G464" s="300">
        <f>SUM(G434,G439,G444,G449,G454,G459)</f>
        <v>51.0079999998975</v>
      </c>
      <c r="H464" s="300">
        <f t="shared" ref="H464:I464" si="1239">SUM(H434,H439,H444,H449,H454,H459)</f>
        <v>65.680000001542666</v>
      </c>
      <c r="I464" s="300">
        <f t="shared" si="1239"/>
        <v>22.642000000178463</v>
      </c>
      <c r="J464" s="300">
        <f>SUM(G464:I464)</f>
        <v>139.33000000161863</v>
      </c>
      <c r="K464" s="300"/>
      <c r="L464" s="300">
        <f>SUM(L434,L439,L444,L449,L454,L459)</f>
        <v>53.444999999275531</v>
      </c>
      <c r="M464" s="300">
        <f t="shared" ref="M464:N464" si="1240">SUM(M434,M439,M444,M449,M454,M459)</f>
        <v>57.496999999551576</v>
      </c>
      <c r="N464" s="300">
        <f t="shared" si="1240"/>
        <v>15.082999999916106</v>
      </c>
      <c r="O464" s="300">
        <f>SUM(L464:N464)</f>
        <v>126.02499999874321</v>
      </c>
      <c r="P464" s="300"/>
      <c r="Q464" s="300">
        <f>SUM(Q434,Q439,Q444,Q449,Q454,Q459)</f>
        <v>57.934000000630768</v>
      </c>
      <c r="R464" s="300">
        <f t="shared" ref="R464:S464" si="1241">SUM(R434,R439,R444,R449,R454,R459)</f>
        <v>60.075000000772548</v>
      </c>
      <c r="S464" s="300">
        <f t="shared" si="1241"/>
        <v>15.792000000066432</v>
      </c>
      <c r="T464" s="300">
        <f>SUM(Q464:S464)</f>
        <v>133.80100000146973</v>
      </c>
      <c r="U464" s="300"/>
      <c r="V464" s="300">
        <f>SUM(V434,V439,V444,V449,V454,V459)</f>
        <v>63.916999999412077</v>
      </c>
      <c r="W464" s="300">
        <f t="shared" ref="W464:X464" si="1242">SUM(W434,W439,W444,W449,W454,W459)</f>
        <v>62.616999999579761</v>
      </c>
      <c r="X464" s="300">
        <f t="shared" si="1242"/>
        <v>17.197000000084813</v>
      </c>
      <c r="Y464" s="300">
        <f>SUM(V464:X464)</f>
        <v>143.73099999907666</v>
      </c>
    </row>
    <row r="465" spans="1:25" ht="12.45" x14ac:dyDescent="0.3">
      <c r="A465" s="260" t="s">
        <v>355</v>
      </c>
      <c r="B465" s="300">
        <f>SUM(B435,B440,B445,B450,B455,B460)</f>
        <v>106.36399999998767</v>
      </c>
      <c r="C465" s="300">
        <f t="shared" si="1238"/>
        <v>36.132000000437117</v>
      </c>
      <c r="D465" s="300">
        <f t="shared" si="1238"/>
        <v>27.66000000039627</v>
      </c>
      <c r="E465" s="300">
        <f t="shared" ref="E465:E466" si="1243">SUM(B465:D465)</f>
        <v>170.15600000082105</v>
      </c>
      <c r="F465" s="300"/>
      <c r="G465" s="300">
        <f>SUM(G435,G440,G445,G450,G455,G460)</f>
        <v>98.188000000122145</v>
      </c>
      <c r="H465" s="300">
        <f t="shared" ref="H465:I465" si="1244">SUM(H435,H440,H445,H450,H455,H460)</f>
        <v>49.559000000723209</v>
      </c>
      <c r="I465" s="300">
        <f t="shared" si="1244"/>
        <v>22.454000000137981</v>
      </c>
      <c r="J465" s="300">
        <f t="shared" ref="J465:J466" si="1245">SUM(G465:I465)</f>
        <v>170.20100000098336</v>
      </c>
      <c r="K465" s="300"/>
      <c r="L465" s="300">
        <f>SUM(L435,L440,L445,L450,L455,L460)</f>
        <v>97.71700000012919</v>
      </c>
      <c r="M465" s="300">
        <f t="shared" ref="M465:N465" si="1246">SUM(M435,M440,M445,M450,M455,M460)</f>
        <v>45.800000000348831</v>
      </c>
      <c r="N465" s="300">
        <f t="shared" si="1246"/>
        <v>21.473000000265543</v>
      </c>
      <c r="O465" s="300">
        <f t="shared" ref="O465:O466" si="1247">SUM(L465:N465)</f>
        <v>164.99000000074358</v>
      </c>
      <c r="P465" s="300"/>
      <c r="Q465" s="300">
        <f>SUM(Q435,Q440,Q445,Q450,Q455,Q460)</f>
        <v>104.05300000030535</v>
      </c>
      <c r="R465" s="300">
        <f t="shared" ref="R465:S465" si="1248">SUM(R435,R440,R445,R450,R455,R460)</f>
        <v>48.670000000451523</v>
      </c>
      <c r="S465" s="300">
        <f t="shared" si="1248"/>
        <v>22.507000000625663</v>
      </c>
      <c r="T465" s="300">
        <f t="shared" ref="T465:T466" si="1249">SUM(Q465:S465)</f>
        <v>175.23000000138254</v>
      </c>
      <c r="U465" s="300"/>
      <c r="V465" s="300">
        <f>SUM(V435,V440,V445,V450,V455,V460)</f>
        <v>112.29600000037618</v>
      </c>
      <c r="W465" s="300">
        <f t="shared" ref="W465:X465" si="1250">SUM(W435,W440,W445,W450,W455,W460)</f>
        <v>52.046000000709427</v>
      </c>
      <c r="X465" s="300">
        <f t="shared" si="1250"/>
        <v>24.367000000475723</v>
      </c>
      <c r="Y465" s="300">
        <f t="shared" ref="Y465:Y466" si="1251">SUM(V465:X465)</f>
        <v>188.70900000156132</v>
      </c>
    </row>
    <row r="466" spans="1:25" ht="12.45" x14ac:dyDescent="0.3">
      <c r="A466" s="264" t="s">
        <v>354</v>
      </c>
      <c r="B466" s="301">
        <f>SUM(B464:B465)</f>
        <v>161.87099999997389</v>
      </c>
      <c r="C466" s="301">
        <f t="shared" ref="C466" si="1252">SUM(C464:C465)</f>
        <v>91.501000001787489</v>
      </c>
      <c r="D466" s="301">
        <f t="shared" ref="D466" si="1253">SUM(D464:D465)</f>
        <v>49.264000000546773</v>
      </c>
      <c r="E466" s="301">
        <f t="shared" si="1243"/>
        <v>302.63600000230815</v>
      </c>
      <c r="F466" s="301"/>
      <c r="G466" s="301">
        <f>SUM(G464:G465)</f>
        <v>149.19600000001964</v>
      </c>
      <c r="H466" s="301">
        <f t="shared" ref="H466" si="1254">SUM(H464:H465)</f>
        <v>115.23900000226587</v>
      </c>
      <c r="I466" s="301">
        <f t="shared" ref="I466" si="1255">SUM(I464:I465)</f>
        <v>45.096000000316444</v>
      </c>
      <c r="J466" s="301">
        <f t="shared" si="1245"/>
        <v>309.53100000260196</v>
      </c>
      <c r="K466" s="301"/>
      <c r="L466" s="301">
        <f>SUM(L464:L465)</f>
        <v>151.16199999940471</v>
      </c>
      <c r="M466" s="301">
        <f t="shared" ref="M466" si="1256">SUM(M464:M465)</f>
        <v>103.29699999990041</v>
      </c>
      <c r="N466" s="301">
        <f t="shared" ref="N466" si="1257">SUM(N464:N465)</f>
        <v>36.556000000181648</v>
      </c>
      <c r="O466" s="301">
        <f t="shared" si="1247"/>
        <v>291.01499999948675</v>
      </c>
      <c r="P466" s="301"/>
      <c r="Q466" s="301">
        <f>SUM(Q464:Q465)</f>
        <v>161.98700000093612</v>
      </c>
      <c r="R466" s="301">
        <f t="shared" ref="R466" si="1258">SUM(R464:R465)</f>
        <v>108.74500000122407</v>
      </c>
      <c r="S466" s="301">
        <f t="shared" ref="S466" si="1259">SUM(S464:S465)</f>
        <v>38.299000000692097</v>
      </c>
      <c r="T466" s="301">
        <f t="shared" si="1249"/>
        <v>309.03100000285229</v>
      </c>
      <c r="U466" s="301"/>
      <c r="V466" s="301">
        <f>SUM(V464:V465)</f>
        <v>176.21299999978825</v>
      </c>
      <c r="W466" s="301">
        <f t="shared" ref="W466" si="1260">SUM(W464:W465)</f>
        <v>114.66300000028919</v>
      </c>
      <c r="X466" s="301">
        <f t="shared" ref="X466" si="1261">SUM(X464:X465)</f>
        <v>41.56400000056054</v>
      </c>
      <c r="Y466" s="301">
        <f t="shared" si="1251"/>
        <v>332.44000000063801</v>
      </c>
    </row>
    <row r="467" spans="1:25" ht="12.45" x14ac:dyDescent="0.3">
      <c r="C467" s="263"/>
    </row>
    <row r="468" spans="1:25" x14ac:dyDescent="0.35">
      <c r="A468" s="261"/>
    </row>
    <row r="469" spans="1:25" ht="12.45" x14ac:dyDescent="0.3">
      <c r="C469" s="263"/>
    </row>
    <row r="470" spans="1:25" ht="14.15" x14ac:dyDescent="0.35">
      <c r="A470" s="265" t="str">
        <f>"Industry 18 : "&amp; name!B21</f>
        <v>Industry 18 : Public admin. and defence</v>
      </c>
      <c r="B470" s="372">
        <f>$B$5</f>
        <v>2015</v>
      </c>
      <c r="C470" s="372"/>
      <c r="D470" s="372"/>
      <c r="E470" s="372"/>
      <c r="F470" s="320"/>
      <c r="G470" s="372">
        <f>$G$5</f>
        <v>2019</v>
      </c>
      <c r="H470" s="372"/>
      <c r="I470" s="372"/>
      <c r="J470" s="372"/>
      <c r="K470" s="320"/>
      <c r="L470" s="372">
        <f>$L$5</f>
        <v>2020</v>
      </c>
      <c r="M470" s="372"/>
      <c r="N470" s="372"/>
      <c r="O470" s="372"/>
      <c r="P470" s="318"/>
      <c r="Q470" s="372">
        <f>$Q$5</f>
        <v>2025</v>
      </c>
      <c r="R470" s="372"/>
      <c r="S470" s="372"/>
      <c r="T470" s="372"/>
      <c r="U470" s="320"/>
      <c r="V470" s="372">
        <f>$V$5</f>
        <v>2035</v>
      </c>
      <c r="W470" s="372"/>
      <c r="X470" s="372"/>
      <c r="Y470" s="372"/>
    </row>
    <row r="471" spans="1:25" ht="12.45" x14ac:dyDescent="0.3">
      <c r="A471" s="264"/>
      <c r="B471" s="268" t="str">
        <f>$B$6</f>
        <v>FT</v>
      </c>
      <c r="C471" s="268" t="str">
        <f>$C$6</f>
        <v>PT</v>
      </c>
      <c r="D471" s="268" t="str">
        <f>$D$6</f>
        <v>SE</v>
      </c>
      <c r="E471" s="268" t="str">
        <f>$E$6</f>
        <v>Total</v>
      </c>
      <c r="F471" s="268"/>
      <c r="G471" s="268" t="str">
        <f>$B$6</f>
        <v>FT</v>
      </c>
      <c r="H471" s="268" t="str">
        <f>$C$6</f>
        <v>PT</v>
      </c>
      <c r="I471" s="268" t="str">
        <f>$D$6</f>
        <v>SE</v>
      </c>
      <c r="J471" s="268" t="str">
        <f>$E$6</f>
        <v>Total</v>
      </c>
      <c r="K471" s="268"/>
      <c r="L471" s="268" t="str">
        <f>$L$6</f>
        <v>FT</v>
      </c>
      <c r="M471" s="268" t="str">
        <f>$M$6</f>
        <v>PT</v>
      </c>
      <c r="N471" s="268" t="str">
        <f>$N$6</f>
        <v>SE</v>
      </c>
      <c r="O471" s="268" t="str">
        <f>$O$6</f>
        <v>Total</v>
      </c>
      <c r="P471" s="268"/>
      <c r="Q471" s="268" t="str">
        <f>$L$6</f>
        <v>FT</v>
      </c>
      <c r="R471" s="268" t="str">
        <f>$M$6</f>
        <v>PT</v>
      </c>
      <c r="S471" s="268" t="str">
        <f>$N$6</f>
        <v>SE</v>
      </c>
      <c r="T471" s="268" t="str">
        <f>$O$6</f>
        <v>Total</v>
      </c>
      <c r="U471" s="268"/>
      <c r="V471" s="268" t="str">
        <f>$V$6</f>
        <v>FT</v>
      </c>
      <c r="W471" s="268" t="str">
        <f>$W$6</f>
        <v>PT</v>
      </c>
      <c r="X471" s="268" t="str">
        <f>$X$6</f>
        <v>SE</v>
      </c>
      <c r="Y471" s="268" t="str">
        <f>$Y$6</f>
        <v>Total</v>
      </c>
    </row>
    <row r="472" spans="1:25" x14ac:dyDescent="0.35">
      <c r="A472" s="262"/>
      <c r="C472" s="319"/>
      <c r="D472" s="319"/>
      <c r="E472" s="319"/>
      <c r="F472" s="319"/>
      <c r="G472" s="319"/>
      <c r="H472" s="319"/>
      <c r="I472" s="319"/>
      <c r="J472" s="319"/>
      <c r="K472" s="319"/>
      <c r="L472" s="319"/>
      <c r="M472" s="319"/>
      <c r="N472" s="319"/>
      <c r="O472" s="319"/>
      <c r="P472" s="319"/>
      <c r="Q472" s="319"/>
      <c r="R472" s="319"/>
      <c r="S472" s="319"/>
      <c r="T472" s="319"/>
      <c r="U472" s="319"/>
      <c r="V472" s="319"/>
      <c r="W472" s="319"/>
      <c r="X472" s="319"/>
      <c r="Y472" s="319"/>
    </row>
    <row r="473" spans="1:25" ht="12.45" x14ac:dyDescent="0.3">
      <c r="A473" s="261" t="str">
        <f>name!A67</f>
        <v>Public administration and defence</v>
      </c>
      <c r="C473" s="263"/>
    </row>
    <row r="474" spans="1:25" ht="12.45" x14ac:dyDescent="0.3">
      <c r="A474" s="260" t="s">
        <v>356</v>
      </c>
      <c r="B474" s="300">
        <v>27.059999999663503</v>
      </c>
      <c r="C474" s="300">
        <v>26.692999999886023</v>
      </c>
      <c r="D474" s="300">
        <v>0</v>
      </c>
      <c r="E474" s="300">
        <f>SUM(B474:D474)</f>
        <v>53.75299999954953</v>
      </c>
      <c r="F474" s="300"/>
      <c r="G474" s="300">
        <v>26.999999999633562</v>
      </c>
      <c r="H474" s="300">
        <v>21.543999999942997</v>
      </c>
      <c r="I474" s="300">
        <v>1.7879999999638951</v>
      </c>
      <c r="J474" s="300">
        <f>SUM(G474:I474)</f>
        <v>50.33199999954045</v>
      </c>
      <c r="K474" s="300"/>
      <c r="L474" s="300">
        <v>28.293000000091268</v>
      </c>
      <c r="M474" s="300">
        <v>22.764000000047481</v>
      </c>
      <c r="N474" s="300">
        <v>0</v>
      </c>
      <c r="O474" s="300">
        <f>SUM(L474:N474)</f>
        <v>51.05700000013875</v>
      </c>
      <c r="P474" s="300"/>
      <c r="Q474" s="300">
        <v>30.269000000566386</v>
      </c>
      <c r="R474" s="300">
        <v>24.404000000101259</v>
      </c>
      <c r="S474" s="300">
        <v>0</v>
      </c>
      <c r="T474" s="300">
        <f>SUM(Q474:S474)</f>
        <v>54.673000000667642</v>
      </c>
      <c r="U474" s="300"/>
      <c r="V474" s="300">
        <v>32.366000000229661</v>
      </c>
      <c r="W474" s="300">
        <v>26.106000000037593</v>
      </c>
      <c r="X474" s="300">
        <v>0</v>
      </c>
      <c r="Y474" s="300">
        <f>SUM(V474:X474)</f>
        <v>58.472000000267258</v>
      </c>
    </row>
    <row r="475" spans="1:25" ht="12.45" x14ac:dyDescent="0.3">
      <c r="A475" s="260" t="s">
        <v>355</v>
      </c>
      <c r="B475" s="300">
        <v>31.100999999818701</v>
      </c>
      <c r="C475" s="300">
        <v>4.6039999999683552</v>
      </c>
      <c r="D475" s="300">
        <v>3.7120000000084734</v>
      </c>
      <c r="E475" s="300">
        <f t="shared" ref="E475:E476" si="1262">SUM(B475:D475)</f>
        <v>39.416999999795529</v>
      </c>
      <c r="F475" s="300"/>
      <c r="G475" s="300">
        <v>30.778999999795815</v>
      </c>
      <c r="H475" s="300">
        <v>4.2479999999711344</v>
      </c>
      <c r="I475" s="300">
        <v>1.6949999999646692</v>
      </c>
      <c r="J475" s="300">
        <f t="shared" ref="J475:J476" si="1263">SUM(G475:I475)</f>
        <v>36.721999999731622</v>
      </c>
      <c r="K475" s="300"/>
      <c r="L475" s="300">
        <v>32.322999999711676</v>
      </c>
      <c r="M475" s="300">
        <v>4.652999999975747</v>
      </c>
      <c r="N475" s="300">
        <v>1.3119999999985124</v>
      </c>
      <c r="O475" s="300">
        <f t="shared" ref="O475:O476" si="1264">SUM(L475:N475)</f>
        <v>38.287999999685937</v>
      </c>
      <c r="P475" s="300"/>
      <c r="Q475" s="300">
        <v>33.881999999770308</v>
      </c>
      <c r="R475" s="300">
        <v>5.2459999999663172</v>
      </c>
      <c r="S475" s="300">
        <v>1.4050000000406353</v>
      </c>
      <c r="T475" s="300">
        <f t="shared" ref="T475:T476" si="1265">SUM(Q475:S475)</f>
        <v>40.53299999977726</v>
      </c>
      <c r="U475" s="300"/>
      <c r="V475" s="300">
        <v>34.753999999562204</v>
      </c>
      <c r="W475" s="300">
        <v>6.1879999999512103</v>
      </c>
      <c r="X475" s="300">
        <v>1.5190000000183692</v>
      </c>
      <c r="Y475" s="300">
        <f t="shared" ref="Y475:Y476" si="1266">SUM(V475:X475)</f>
        <v>42.460999999531779</v>
      </c>
    </row>
    <row r="476" spans="1:25" ht="12.45" x14ac:dyDescent="0.3">
      <c r="A476" s="264" t="s">
        <v>354</v>
      </c>
      <c r="B476" s="301">
        <f>SUM(B474:B475)</f>
        <v>58.1609999994822</v>
      </c>
      <c r="C476" s="301">
        <f t="shared" ref="C476" si="1267">SUM(C474:C475)</f>
        <v>31.296999999854378</v>
      </c>
      <c r="D476" s="301">
        <f t="shared" ref="D476" si="1268">SUM(D474:D475)</f>
        <v>3.7120000000084734</v>
      </c>
      <c r="E476" s="301">
        <f t="shared" si="1262"/>
        <v>93.169999999345052</v>
      </c>
      <c r="F476" s="301"/>
      <c r="G476" s="301">
        <f>SUM(G474:G475)</f>
        <v>57.778999999429374</v>
      </c>
      <c r="H476" s="301">
        <f t="shared" ref="H476" si="1269">SUM(H474:H475)</f>
        <v>25.791999999914133</v>
      </c>
      <c r="I476" s="301">
        <f t="shared" ref="I476" si="1270">SUM(I474:I475)</f>
        <v>3.4829999999285643</v>
      </c>
      <c r="J476" s="301">
        <f t="shared" si="1263"/>
        <v>87.053999999272079</v>
      </c>
      <c r="K476" s="301"/>
      <c r="L476" s="301">
        <f>SUM(L474:L475)</f>
        <v>60.615999999802945</v>
      </c>
      <c r="M476" s="301">
        <f t="shared" ref="M476" si="1271">SUM(M474:M475)</f>
        <v>27.417000000023229</v>
      </c>
      <c r="N476" s="301">
        <f t="shared" ref="N476" si="1272">SUM(N474:N475)</f>
        <v>1.3119999999985124</v>
      </c>
      <c r="O476" s="301">
        <f t="shared" si="1264"/>
        <v>89.34499999982468</v>
      </c>
      <c r="P476" s="301"/>
      <c r="Q476" s="301">
        <f>SUM(Q474:Q475)</f>
        <v>64.151000000336694</v>
      </c>
      <c r="R476" s="301">
        <f t="shared" ref="R476" si="1273">SUM(R474:R475)</f>
        <v>29.650000000067578</v>
      </c>
      <c r="S476" s="301">
        <f t="shared" ref="S476" si="1274">SUM(S474:S475)</f>
        <v>1.4050000000406353</v>
      </c>
      <c r="T476" s="301">
        <f t="shared" si="1265"/>
        <v>95.206000000444902</v>
      </c>
      <c r="U476" s="301"/>
      <c r="V476" s="301">
        <f>SUM(V474:V475)</f>
        <v>67.119999999791872</v>
      </c>
      <c r="W476" s="301">
        <f t="shared" ref="W476" si="1275">SUM(W474:W475)</f>
        <v>32.293999999988806</v>
      </c>
      <c r="X476" s="301">
        <f t="shared" ref="X476" si="1276">SUM(X474:X475)</f>
        <v>1.5190000000183692</v>
      </c>
      <c r="Y476" s="301">
        <f t="shared" si="1266"/>
        <v>100.93299999979905</v>
      </c>
    </row>
    <row r="480" spans="1:25" ht="14.15" x14ac:dyDescent="0.35">
      <c r="A480" s="265" t="str">
        <f>"Industry 19 : "&amp; name!B22</f>
        <v>Industry 19 : Education</v>
      </c>
      <c r="B480" s="372">
        <f>$B$5</f>
        <v>2015</v>
      </c>
      <c r="C480" s="372"/>
      <c r="D480" s="372"/>
      <c r="E480" s="372"/>
      <c r="F480" s="320"/>
      <c r="G480" s="372">
        <f>$G$5</f>
        <v>2019</v>
      </c>
      <c r="H480" s="372"/>
      <c r="I480" s="372"/>
      <c r="J480" s="372"/>
      <c r="K480" s="320"/>
      <c r="L480" s="372">
        <f>$L$5</f>
        <v>2020</v>
      </c>
      <c r="M480" s="372"/>
      <c r="N480" s="372"/>
      <c r="O480" s="372"/>
      <c r="P480" s="318"/>
      <c r="Q480" s="372">
        <f>$Q$5</f>
        <v>2025</v>
      </c>
      <c r="R480" s="372"/>
      <c r="S480" s="372"/>
      <c r="T480" s="372"/>
      <c r="U480" s="320"/>
      <c r="V480" s="372">
        <f>$V$5</f>
        <v>2035</v>
      </c>
      <c r="W480" s="372"/>
      <c r="X480" s="372"/>
      <c r="Y480" s="372"/>
    </row>
    <row r="481" spans="1:25" ht="12.45" x14ac:dyDescent="0.3">
      <c r="A481" s="264"/>
      <c r="B481" s="268" t="str">
        <f>$B$6</f>
        <v>FT</v>
      </c>
      <c r="C481" s="268" t="str">
        <f>$C$6</f>
        <v>PT</v>
      </c>
      <c r="D481" s="268" t="str">
        <f>$D$6</f>
        <v>SE</v>
      </c>
      <c r="E481" s="268" t="str">
        <f>$E$6</f>
        <v>Total</v>
      </c>
      <c r="F481" s="268"/>
      <c r="G481" s="268" t="str">
        <f>$B$6</f>
        <v>FT</v>
      </c>
      <c r="H481" s="268" t="str">
        <f>$C$6</f>
        <v>PT</v>
      </c>
      <c r="I481" s="268" t="str">
        <f>$D$6</f>
        <v>SE</v>
      </c>
      <c r="J481" s="268" t="str">
        <f>$E$6</f>
        <v>Total</v>
      </c>
      <c r="K481" s="268"/>
      <c r="L481" s="268" t="str">
        <f>$L$6</f>
        <v>FT</v>
      </c>
      <c r="M481" s="268" t="str">
        <f>$M$6</f>
        <v>PT</v>
      </c>
      <c r="N481" s="268" t="str">
        <f>$N$6</f>
        <v>SE</v>
      </c>
      <c r="O481" s="268" t="str">
        <f>$O$6</f>
        <v>Total</v>
      </c>
      <c r="P481" s="268"/>
      <c r="Q481" s="268" t="str">
        <f>$L$6</f>
        <v>FT</v>
      </c>
      <c r="R481" s="268" t="str">
        <f>$M$6</f>
        <v>PT</v>
      </c>
      <c r="S481" s="268" t="str">
        <f>$N$6</f>
        <v>SE</v>
      </c>
      <c r="T481" s="268" t="str">
        <f>$O$6</f>
        <v>Total</v>
      </c>
      <c r="U481" s="268"/>
      <c r="V481" s="268" t="str">
        <f>$V$6</f>
        <v>FT</v>
      </c>
      <c r="W481" s="268" t="str">
        <f>$W$6</f>
        <v>PT</v>
      </c>
      <c r="X481" s="268" t="str">
        <f>$X$6</f>
        <v>SE</v>
      </c>
      <c r="Y481" s="268" t="str">
        <f>$Y$6</f>
        <v>Total</v>
      </c>
    </row>
    <row r="482" spans="1:25" ht="12.45" x14ac:dyDescent="0.3">
      <c r="C482" s="319"/>
      <c r="D482" s="319"/>
      <c r="E482" s="319"/>
      <c r="F482" s="319"/>
      <c r="G482" s="319"/>
      <c r="H482" s="319"/>
      <c r="I482" s="319"/>
      <c r="J482" s="319"/>
      <c r="K482" s="319"/>
      <c r="L482" s="319"/>
      <c r="M482" s="319"/>
      <c r="N482" s="319"/>
      <c r="O482" s="319"/>
      <c r="P482" s="319"/>
      <c r="Q482" s="319"/>
      <c r="R482" s="319"/>
      <c r="S482" s="319"/>
      <c r="T482" s="319"/>
      <c r="U482" s="319"/>
      <c r="V482" s="319"/>
      <c r="W482" s="319"/>
      <c r="X482" s="319"/>
      <c r="Y482" s="319"/>
    </row>
    <row r="483" spans="1:25" ht="12.45" x14ac:dyDescent="0.3">
      <c r="A483" s="261" t="str">
        <f>name!A68</f>
        <v xml:space="preserve">Education </v>
      </c>
      <c r="C483" s="263"/>
    </row>
    <row r="484" spans="1:25" ht="12.45" x14ac:dyDescent="0.3">
      <c r="A484" s="260" t="s">
        <v>356</v>
      </c>
      <c r="B484" s="300">
        <v>68.997000000825338</v>
      </c>
      <c r="C484" s="300">
        <v>104.98899999556873</v>
      </c>
      <c r="D484" s="300">
        <v>14.436999999689338</v>
      </c>
      <c r="E484" s="300">
        <f>SUM(B484:D484)</f>
        <v>188.4229999960834</v>
      </c>
      <c r="F484" s="300"/>
      <c r="G484" s="300">
        <v>76.193000002428946</v>
      </c>
      <c r="H484" s="300">
        <v>116.51199999501681</v>
      </c>
      <c r="I484" s="300">
        <v>15.867999999727797</v>
      </c>
      <c r="J484" s="300">
        <f>SUM(G484:I484)</f>
        <v>208.57299999717355</v>
      </c>
      <c r="K484" s="300"/>
      <c r="L484" s="300">
        <v>76.877000005100129</v>
      </c>
      <c r="M484" s="300">
        <v>119.45999999677451</v>
      </c>
      <c r="N484" s="300">
        <v>13.750000000395438</v>
      </c>
      <c r="O484" s="300">
        <f>SUM(L484:N484)</f>
        <v>210.08700000227006</v>
      </c>
      <c r="P484" s="300"/>
      <c r="Q484" s="300">
        <v>77.677999992882604</v>
      </c>
      <c r="R484" s="300">
        <v>115.53799999179205</v>
      </c>
      <c r="S484" s="300">
        <v>13.743000000208406</v>
      </c>
      <c r="T484" s="300">
        <f>SUM(Q484:S484)</f>
        <v>206.95899998488306</v>
      </c>
      <c r="U484" s="300"/>
      <c r="V484" s="300">
        <v>83.140000002477734</v>
      </c>
      <c r="W484" s="300">
        <v>113.04300000154508</v>
      </c>
      <c r="X484" s="300">
        <v>14.077000000216513</v>
      </c>
      <c r="Y484" s="300">
        <f>SUM(V484:X484)</f>
        <v>210.26000000423932</v>
      </c>
    </row>
    <row r="485" spans="1:25" ht="12.45" x14ac:dyDescent="0.3">
      <c r="A485" s="260" t="s">
        <v>355</v>
      </c>
      <c r="B485" s="300">
        <v>45.848000001665035</v>
      </c>
      <c r="C485" s="300">
        <v>19.460999999007875</v>
      </c>
      <c r="D485" s="300">
        <v>9.4270000001969692</v>
      </c>
      <c r="E485" s="300">
        <f t="shared" ref="E485" si="1277">SUM(B485:D485)</f>
        <v>74.736000000869879</v>
      </c>
      <c r="F485" s="300"/>
      <c r="G485" s="300">
        <v>43.323000000660244</v>
      </c>
      <c r="H485" s="300">
        <v>17.885999998881612</v>
      </c>
      <c r="I485" s="300">
        <v>11.609999999576557</v>
      </c>
      <c r="J485" s="300">
        <f t="shared" ref="J485:J486" si="1278">SUM(G485:I485)</f>
        <v>72.818999999118418</v>
      </c>
      <c r="K485" s="300"/>
      <c r="L485" s="300">
        <v>43.169000000628053</v>
      </c>
      <c r="M485" s="300">
        <v>21.43600000030165</v>
      </c>
      <c r="N485" s="300">
        <v>8.5430000002163045</v>
      </c>
      <c r="O485" s="300">
        <f t="shared" ref="O485:O486" si="1279">SUM(L485:N485)</f>
        <v>73.148000001146016</v>
      </c>
      <c r="P485" s="300"/>
      <c r="Q485" s="300">
        <v>42.112999997962909</v>
      </c>
      <c r="R485" s="300">
        <v>21.471999999537982</v>
      </c>
      <c r="S485" s="300">
        <v>8.6080000007407431</v>
      </c>
      <c r="T485" s="300">
        <f t="shared" ref="T485:T486" si="1280">SUM(Q485:S485)</f>
        <v>72.192999998241632</v>
      </c>
      <c r="U485" s="300"/>
      <c r="V485" s="300">
        <v>41.98799999846856</v>
      </c>
      <c r="W485" s="300">
        <v>22.438999999274209</v>
      </c>
      <c r="X485" s="300">
        <v>9.0750000005943914</v>
      </c>
      <c r="Y485" s="300">
        <f t="shared" ref="Y485:Y486" si="1281">SUM(V485:X485)</f>
        <v>73.501999998337155</v>
      </c>
    </row>
    <row r="486" spans="1:25" ht="12.45" x14ac:dyDescent="0.3">
      <c r="A486" s="264" t="s">
        <v>354</v>
      </c>
      <c r="B486" s="301">
        <f>SUM(B484:B485)</f>
        <v>114.84500000249037</v>
      </c>
      <c r="C486" s="301">
        <f t="shared" ref="C486" si="1282">SUM(C484:C485)</f>
        <v>124.44999999457661</v>
      </c>
      <c r="D486" s="301">
        <f t="shared" ref="D486" si="1283">SUM(D484:D485)</f>
        <v>23.863999999886307</v>
      </c>
      <c r="E486" s="301">
        <f>SUM(B486:D486)</f>
        <v>263.1589999969533</v>
      </c>
      <c r="F486" s="301"/>
      <c r="G486" s="301">
        <f>SUM(G484:G485)</f>
        <v>119.51600000308919</v>
      </c>
      <c r="H486" s="301">
        <f t="shared" ref="H486" si="1284">SUM(H484:H485)</f>
        <v>134.39799999389842</v>
      </c>
      <c r="I486" s="301">
        <f t="shared" ref="I486" si="1285">SUM(I484:I485)</f>
        <v>27.477999999304352</v>
      </c>
      <c r="J486" s="301">
        <f t="shared" si="1278"/>
        <v>281.39199999629199</v>
      </c>
      <c r="K486" s="301"/>
      <c r="L486" s="301">
        <f>SUM(L484:L485)</f>
        <v>120.04600000572819</v>
      </c>
      <c r="M486" s="301">
        <f t="shared" ref="M486" si="1286">SUM(M484:M485)</f>
        <v>140.89599999707616</v>
      </c>
      <c r="N486" s="301">
        <f t="shared" ref="N486" si="1287">SUM(N484:N485)</f>
        <v>22.293000000611741</v>
      </c>
      <c r="O486" s="301">
        <f t="shared" si="1279"/>
        <v>283.23500000341608</v>
      </c>
      <c r="P486" s="301"/>
      <c r="Q486" s="301">
        <f>SUM(Q484:Q485)</f>
        <v>119.79099999084551</v>
      </c>
      <c r="R486" s="301">
        <f t="shared" ref="R486" si="1288">SUM(R484:R485)</f>
        <v>137.00999999133003</v>
      </c>
      <c r="S486" s="301">
        <f t="shared" ref="S486" si="1289">SUM(S484:S485)</f>
        <v>22.351000000949149</v>
      </c>
      <c r="T486" s="301">
        <f t="shared" si="1280"/>
        <v>279.15199998312471</v>
      </c>
      <c r="U486" s="301"/>
      <c r="V486" s="301">
        <f>SUM(V484:V485)</f>
        <v>125.12800000094629</v>
      </c>
      <c r="W486" s="301">
        <f t="shared" ref="W486" si="1290">SUM(W484:W485)</f>
        <v>135.48200000081928</v>
      </c>
      <c r="X486" s="301">
        <f t="shared" ref="X486" si="1291">SUM(X484:X485)</f>
        <v>23.152000000810904</v>
      </c>
      <c r="Y486" s="301">
        <f t="shared" si="1281"/>
        <v>283.76200000257649</v>
      </c>
    </row>
    <row r="490" spans="1:25" ht="14.15" x14ac:dyDescent="0.35">
      <c r="A490" s="265" t="str">
        <f>"Industry 20 : "&amp; name!B23</f>
        <v>Industry 20 : Health and social work</v>
      </c>
      <c r="B490" s="372">
        <f>$B$5</f>
        <v>2015</v>
      </c>
      <c r="C490" s="372"/>
      <c r="D490" s="372"/>
      <c r="E490" s="372"/>
      <c r="F490" s="320"/>
      <c r="G490" s="372">
        <f>$G$5</f>
        <v>2019</v>
      </c>
      <c r="H490" s="372"/>
      <c r="I490" s="372"/>
      <c r="J490" s="372"/>
      <c r="K490" s="320"/>
      <c r="L490" s="372">
        <f>$L$5</f>
        <v>2020</v>
      </c>
      <c r="M490" s="372"/>
      <c r="N490" s="372"/>
      <c r="O490" s="372"/>
      <c r="P490" s="318"/>
      <c r="Q490" s="372">
        <f>$Q$5</f>
        <v>2025</v>
      </c>
      <c r="R490" s="372"/>
      <c r="S490" s="372"/>
      <c r="T490" s="372"/>
      <c r="U490" s="320"/>
      <c r="V490" s="372">
        <f>$V$5</f>
        <v>2035</v>
      </c>
      <c r="W490" s="372"/>
      <c r="X490" s="372"/>
      <c r="Y490" s="372"/>
    </row>
    <row r="491" spans="1:25" ht="12.45" x14ac:dyDescent="0.3">
      <c r="A491" s="264"/>
      <c r="B491" s="268" t="str">
        <f>$B$6</f>
        <v>FT</v>
      </c>
      <c r="C491" s="268" t="str">
        <f>$C$6</f>
        <v>PT</v>
      </c>
      <c r="D491" s="268" t="str">
        <f>$D$6</f>
        <v>SE</v>
      </c>
      <c r="E491" s="268" t="str">
        <f>$E$6</f>
        <v>Total</v>
      </c>
      <c r="F491" s="268"/>
      <c r="G491" s="268" t="str">
        <f>$B$6</f>
        <v>FT</v>
      </c>
      <c r="H491" s="268" t="str">
        <f>$C$6</f>
        <v>PT</v>
      </c>
      <c r="I491" s="268" t="str">
        <f>$D$6</f>
        <v>SE</v>
      </c>
      <c r="J491" s="268" t="str">
        <f>$E$6</f>
        <v>Total</v>
      </c>
      <c r="K491" s="268"/>
      <c r="L491" s="268" t="str">
        <f>$L$6</f>
        <v>FT</v>
      </c>
      <c r="M491" s="268" t="str">
        <f>$M$6</f>
        <v>PT</v>
      </c>
      <c r="N491" s="268" t="str">
        <f>$N$6</f>
        <v>SE</v>
      </c>
      <c r="O491" s="268" t="str">
        <f>$O$6</f>
        <v>Total</v>
      </c>
      <c r="P491" s="268"/>
      <c r="Q491" s="268" t="str">
        <f>$L$6</f>
        <v>FT</v>
      </c>
      <c r="R491" s="268" t="str">
        <f>$M$6</f>
        <v>PT</v>
      </c>
      <c r="S491" s="268" t="str">
        <f>$N$6</f>
        <v>SE</v>
      </c>
      <c r="T491" s="268" t="str">
        <f>$O$6</f>
        <v>Total</v>
      </c>
      <c r="U491" s="268"/>
      <c r="V491" s="268" t="str">
        <f>$V$6</f>
        <v>FT</v>
      </c>
      <c r="W491" s="268" t="str">
        <f>$W$6</f>
        <v>PT</v>
      </c>
      <c r="X491" s="268" t="str">
        <f>$X$6</f>
        <v>SE</v>
      </c>
      <c r="Y491" s="268" t="str">
        <f>$Y$6</f>
        <v>Total</v>
      </c>
    </row>
    <row r="492" spans="1:25" ht="12.45" x14ac:dyDescent="0.3">
      <c r="C492" s="319"/>
      <c r="D492" s="319"/>
      <c r="E492" s="319"/>
      <c r="F492" s="319"/>
      <c r="G492" s="319"/>
      <c r="H492" s="319"/>
      <c r="I492" s="319"/>
      <c r="J492" s="319"/>
      <c r="K492" s="319"/>
      <c r="L492" s="319"/>
      <c r="M492" s="319"/>
      <c r="N492" s="319"/>
      <c r="O492" s="319"/>
      <c r="P492" s="319"/>
      <c r="Q492" s="319"/>
      <c r="R492" s="319"/>
      <c r="S492" s="319"/>
      <c r="T492" s="319"/>
      <c r="U492" s="319"/>
      <c r="V492" s="319"/>
      <c r="W492" s="319"/>
      <c r="X492" s="319"/>
      <c r="Y492" s="319"/>
    </row>
    <row r="493" spans="1:25" ht="12.45" x14ac:dyDescent="0.3">
      <c r="A493" s="261" t="str">
        <f>name!A69</f>
        <v>Health</v>
      </c>
      <c r="C493" s="263"/>
    </row>
    <row r="494" spans="1:25" ht="12.45" x14ac:dyDescent="0.3">
      <c r="A494" s="260" t="s">
        <v>356</v>
      </c>
      <c r="B494" s="300">
        <v>61.636999999454112</v>
      </c>
      <c r="C494" s="300">
        <v>64.623999998929591</v>
      </c>
      <c r="D494" s="300">
        <v>9.8389999991963766</v>
      </c>
      <c r="E494" s="300">
        <f>SUM(B494:D494)</f>
        <v>136.09999999758008</v>
      </c>
      <c r="F494" s="300"/>
      <c r="G494" s="300">
        <v>74.576999999542622</v>
      </c>
      <c r="H494" s="300">
        <v>73.597999999130195</v>
      </c>
      <c r="I494" s="300">
        <v>15.376999998841711</v>
      </c>
      <c r="J494" s="300">
        <f>SUM(G494:I494)</f>
        <v>163.55199999751454</v>
      </c>
      <c r="K494" s="300"/>
      <c r="L494" s="300">
        <v>73.370000000459555</v>
      </c>
      <c r="M494" s="300">
        <v>80.104999998480977</v>
      </c>
      <c r="N494" s="300">
        <v>13.709000001195683</v>
      </c>
      <c r="O494" s="300">
        <f>SUM(L494:N494)</f>
        <v>167.18400000013619</v>
      </c>
      <c r="P494" s="300"/>
      <c r="Q494" s="300">
        <v>81.408000000095655</v>
      </c>
      <c r="R494" s="300">
        <v>86.531999997297689</v>
      </c>
      <c r="S494" s="300">
        <v>16.136000000142701</v>
      </c>
      <c r="T494" s="300">
        <f>SUM(Q494:S494)</f>
        <v>184.07599999753603</v>
      </c>
      <c r="U494" s="300"/>
      <c r="V494" s="300">
        <v>94.596999999945425</v>
      </c>
      <c r="W494" s="300">
        <v>94.985999999406772</v>
      </c>
      <c r="X494" s="300">
        <v>20.840000000010665</v>
      </c>
      <c r="Y494" s="300">
        <f>SUM(V494:X494)</f>
        <v>210.42299999936284</v>
      </c>
    </row>
    <row r="495" spans="1:25" ht="12.45" x14ac:dyDescent="0.3">
      <c r="A495" s="260" t="s">
        <v>355</v>
      </c>
      <c r="B495" s="300">
        <v>26.851999999852701</v>
      </c>
      <c r="C495" s="300">
        <v>7.0759999999694774</v>
      </c>
      <c r="D495" s="300">
        <v>6.4100000002725119</v>
      </c>
      <c r="E495" s="300">
        <f t="shared" ref="E495:E496" si="1292">SUM(B495:D495)</f>
        <v>40.338000000094688</v>
      </c>
      <c r="F495" s="300"/>
      <c r="G495" s="300">
        <v>30.570999999741755</v>
      </c>
      <c r="H495" s="300">
        <v>6.6359999999734063</v>
      </c>
      <c r="I495" s="300">
        <v>7.4179999999158817</v>
      </c>
      <c r="J495" s="300">
        <f t="shared" ref="J495:J496" si="1293">SUM(G495:I495)</f>
        <v>44.624999999631044</v>
      </c>
      <c r="K495" s="300"/>
      <c r="L495" s="300">
        <v>30.891999999649357</v>
      </c>
      <c r="M495" s="300">
        <v>6.0500000000131662</v>
      </c>
      <c r="N495" s="300">
        <v>3.6790000000678402</v>
      </c>
      <c r="O495" s="300">
        <f t="shared" ref="O495:O496" si="1294">SUM(L495:N495)</f>
        <v>40.620999999730358</v>
      </c>
      <c r="P495" s="300"/>
      <c r="Q495" s="300">
        <v>34.026999999541147</v>
      </c>
      <c r="R495" s="300">
        <v>6.8770000000017006</v>
      </c>
      <c r="S495" s="300">
        <v>3.8370000003004785</v>
      </c>
      <c r="T495" s="300">
        <f t="shared" ref="T495:T496" si="1295">SUM(Q495:S495)</f>
        <v>44.740999999843325</v>
      </c>
      <c r="U495" s="300"/>
      <c r="V495" s="300">
        <v>38.973999999422723</v>
      </c>
      <c r="W495" s="300">
        <v>8.3570000000038576</v>
      </c>
      <c r="X495" s="300">
        <v>3.9120000001719957</v>
      </c>
      <c r="Y495" s="300">
        <f t="shared" ref="Y495:Y496" si="1296">SUM(V495:X495)</f>
        <v>51.242999999598574</v>
      </c>
    </row>
    <row r="496" spans="1:25" ht="12.45" x14ac:dyDescent="0.3">
      <c r="A496" s="260" t="s">
        <v>354</v>
      </c>
      <c r="B496" s="300">
        <f>SUM(B494:B495)</f>
        <v>88.488999999306813</v>
      </c>
      <c r="C496" s="300">
        <f t="shared" ref="C496" si="1297">SUM(C494:C495)</f>
        <v>71.699999998899074</v>
      </c>
      <c r="D496" s="300">
        <f t="shared" ref="D496" si="1298">SUM(D494:D495)</f>
        <v>16.248999999468889</v>
      </c>
      <c r="E496" s="300">
        <f t="shared" si="1292"/>
        <v>176.43799999767475</v>
      </c>
      <c r="F496" s="300"/>
      <c r="G496" s="300">
        <f>SUM(G494:G495)</f>
        <v>105.14799999928438</v>
      </c>
      <c r="H496" s="300">
        <f t="shared" ref="H496" si="1299">SUM(H494:H495)</f>
        <v>80.233999999103602</v>
      </c>
      <c r="I496" s="300">
        <f t="shared" ref="I496" si="1300">SUM(I494:I495)</f>
        <v>22.794999998757593</v>
      </c>
      <c r="J496" s="300">
        <f t="shared" si="1293"/>
        <v>208.17699999714557</v>
      </c>
      <c r="K496" s="300"/>
      <c r="L496" s="300">
        <f>SUM(L494:L495)</f>
        <v>104.26200000010891</v>
      </c>
      <c r="M496" s="300">
        <f t="shared" ref="M496" si="1301">SUM(M494:M495)</f>
        <v>86.154999998494148</v>
      </c>
      <c r="N496" s="300">
        <f t="shared" ref="N496" si="1302">SUM(N494:N495)</f>
        <v>17.388000001263524</v>
      </c>
      <c r="O496" s="300">
        <f t="shared" si="1294"/>
        <v>207.80499999986657</v>
      </c>
      <c r="P496" s="300"/>
      <c r="Q496" s="300">
        <f>SUM(Q494:Q495)</f>
        <v>115.4349999996368</v>
      </c>
      <c r="R496" s="300">
        <f t="shared" ref="R496" si="1303">SUM(R494:R495)</f>
        <v>93.408999997299389</v>
      </c>
      <c r="S496" s="300">
        <f t="shared" ref="S496" si="1304">SUM(S494:S495)</f>
        <v>19.973000000443179</v>
      </c>
      <c r="T496" s="300">
        <f t="shared" si="1295"/>
        <v>228.81699999737936</v>
      </c>
      <c r="U496" s="300"/>
      <c r="V496" s="300">
        <f>SUM(V494:V495)</f>
        <v>133.57099999936815</v>
      </c>
      <c r="W496" s="300">
        <f t="shared" ref="W496" si="1305">SUM(W494:W495)</f>
        <v>103.34299999941064</v>
      </c>
      <c r="X496" s="300">
        <f t="shared" ref="X496" si="1306">SUM(X494:X495)</f>
        <v>24.752000000182662</v>
      </c>
      <c r="Y496" s="300">
        <f t="shared" si="1296"/>
        <v>261.66599999896147</v>
      </c>
    </row>
    <row r="497" spans="1:25" ht="12.45" x14ac:dyDescent="0.3">
      <c r="C497" s="319"/>
      <c r="D497" s="319"/>
      <c r="E497" s="319"/>
      <c r="F497" s="319"/>
      <c r="G497" s="319"/>
      <c r="H497" s="319"/>
      <c r="I497" s="319"/>
      <c r="J497" s="319"/>
      <c r="K497" s="319"/>
      <c r="L497" s="319"/>
      <c r="M497" s="319"/>
      <c r="N497" s="319"/>
      <c r="O497" s="319"/>
      <c r="P497" s="319"/>
      <c r="Q497" s="319"/>
      <c r="R497" s="319"/>
      <c r="S497" s="319"/>
      <c r="T497" s="319"/>
      <c r="U497" s="319"/>
      <c r="V497" s="319"/>
      <c r="W497" s="319"/>
      <c r="X497" s="319"/>
      <c r="Y497" s="319"/>
    </row>
    <row r="498" spans="1:25" ht="12.45" x14ac:dyDescent="0.3">
      <c r="A498" s="261" t="str">
        <f>name!A70</f>
        <v>Residential care</v>
      </c>
      <c r="C498" s="263"/>
    </row>
    <row r="499" spans="1:25" ht="12.45" x14ac:dyDescent="0.3">
      <c r="A499" s="260" t="s">
        <v>356</v>
      </c>
      <c r="B499" s="300">
        <v>26.396999999766191</v>
      </c>
      <c r="C499" s="300">
        <v>26.071999999568142</v>
      </c>
      <c r="D499" s="300">
        <v>5.6929999995350054</v>
      </c>
      <c r="E499" s="300">
        <f>SUM(B499:D499)</f>
        <v>58.161999998869334</v>
      </c>
      <c r="F499" s="300"/>
      <c r="G499" s="300">
        <v>30.04699999981576</v>
      </c>
      <c r="H499" s="300">
        <v>28.749999999660222</v>
      </c>
      <c r="I499" s="300">
        <v>9.5479999992807887</v>
      </c>
      <c r="J499" s="300">
        <f>SUM(G499:I499)</f>
        <v>68.344999998756776</v>
      </c>
      <c r="K499" s="300"/>
      <c r="L499" s="300">
        <v>27.240000000170653</v>
      </c>
      <c r="M499" s="300">
        <v>28.220999999464809</v>
      </c>
      <c r="N499" s="300">
        <v>7.0910000006184752</v>
      </c>
      <c r="O499" s="300">
        <f>SUM(L499:N499)</f>
        <v>62.55200000025394</v>
      </c>
      <c r="P499" s="300"/>
      <c r="Q499" s="300">
        <v>30.327000000035618</v>
      </c>
      <c r="R499" s="300">
        <v>28.296999999116338</v>
      </c>
      <c r="S499" s="300">
        <v>7.7770000000687824</v>
      </c>
      <c r="T499" s="300">
        <f>SUM(Q499:S499)</f>
        <v>66.400999999220744</v>
      </c>
      <c r="U499" s="300"/>
      <c r="V499" s="300">
        <v>35.488999999979562</v>
      </c>
      <c r="W499" s="300">
        <v>26.655999999833533</v>
      </c>
      <c r="X499" s="300">
        <v>8.4770000000043471</v>
      </c>
      <c r="Y499" s="300">
        <f>SUM(V499:X499)</f>
        <v>70.621999999817447</v>
      </c>
    </row>
    <row r="500" spans="1:25" ht="12.45" x14ac:dyDescent="0.3">
      <c r="A500" s="260" t="s">
        <v>355</v>
      </c>
      <c r="B500" s="300">
        <v>9.6669999999469844</v>
      </c>
      <c r="C500" s="300">
        <v>5.9589999999743002</v>
      </c>
      <c r="D500" s="300">
        <v>1.1790000000501242</v>
      </c>
      <c r="E500" s="300">
        <f t="shared" ref="E500:E501" si="1307">SUM(B500:D500)</f>
        <v>16.804999999971407</v>
      </c>
      <c r="F500" s="300"/>
      <c r="G500" s="300">
        <v>8.2369999999304149</v>
      </c>
      <c r="H500" s="300">
        <v>4.3749999999824665</v>
      </c>
      <c r="I500" s="300">
        <v>1.2519999999858029</v>
      </c>
      <c r="J500" s="300">
        <f t="shared" ref="J500:J501" si="1308">SUM(G500:I500)</f>
        <v>13.863999999898684</v>
      </c>
      <c r="K500" s="300"/>
      <c r="L500" s="300">
        <v>8.5539999999029188</v>
      </c>
      <c r="M500" s="300">
        <v>4.2140000000091762</v>
      </c>
      <c r="N500" s="300">
        <v>0.43800000000807671</v>
      </c>
      <c r="O500" s="300">
        <f t="shared" ref="O500:O501" si="1309">SUM(L500:N500)</f>
        <v>13.205999999920172</v>
      </c>
      <c r="P500" s="300"/>
      <c r="Q500" s="300">
        <v>9.0969999998773154</v>
      </c>
      <c r="R500" s="300">
        <v>4.4800000000011089</v>
      </c>
      <c r="S500" s="300">
        <v>0.46600000003649256</v>
      </c>
      <c r="T500" s="300">
        <f t="shared" ref="T500:T501" si="1310">SUM(Q500:S500)</f>
        <v>14.042999999914917</v>
      </c>
      <c r="U500" s="300"/>
      <c r="V500" s="300">
        <v>9.8139999998546497</v>
      </c>
      <c r="W500" s="300">
        <v>4.781000000002213</v>
      </c>
      <c r="X500" s="300">
        <v>0.49400000002171895</v>
      </c>
      <c r="Y500" s="300">
        <f t="shared" ref="Y500:Y501" si="1311">SUM(V500:X500)</f>
        <v>15.088999999878583</v>
      </c>
    </row>
    <row r="501" spans="1:25" ht="12.45" x14ac:dyDescent="0.3">
      <c r="A501" s="260" t="s">
        <v>354</v>
      </c>
      <c r="B501" s="300">
        <f>SUM(B499:B500)</f>
        <v>36.063999999713175</v>
      </c>
      <c r="C501" s="300">
        <f t="shared" ref="C501" si="1312">SUM(C499:C500)</f>
        <v>32.030999999542445</v>
      </c>
      <c r="D501" s="300">
        <f t="shared" ref="D501" si="1313">SUM(D499:D500)</f>
        <v>6.87199999958513</v>
      </c>
      <c r="E501" s="300">
        <f t="shared" si="1307"/>
        <v>74.966999998840748</v>
      </c>
      <c r="F501" s="300"/>
      <c r="G501" s="300">
        <f>SUM(G499:G500)</f>
        <v>38.283999999746172</v>
      </c>
      <c r="H501" s="300">
        <f t="shared" ref="H501" si="1314">SUM(H499:H500)</f>
        <v>33.124999999642689</v>
      </c>
      <c r="I501" s="300">
        <f t="shared" ref="I501" si="1315">SUM(I499:I500)</f>
        <v>10.799999999266591</v>
      </c>
      <c r="J501" s="300">
        <f t="shared" si="1308"/>
        <v>82.208999998655457</v>
      </c>
      <c r="K501" s="300"/>
      <c r="L501" s="300">
        <f>SUM(L499:L500)</f>
        <v>35.794000000073574</v>
      </c>
      <c r="M501" s="300">
        <f t="shared" ref="M501" si="1316">SUM(M499:M500)</f>
        <v>32.434999999473987</v>
      </c>
      <c r="N501" s="300">
        <f t="shared" ref="N501" si="1317">SUM(N499:N500)</f>
        <v>7.5290000006265521</v>
      </c>
      <c r="O501" s="300">
        <f t="shared" si="1309"/>
        <v>75.758000000174121</v>
      </c>
      <c r="P501" s="300"/>
      <c r="Q501" s="300">
        <f>SUM(Q499:Q500)</f>
        <v>39.423999999912937</v>
      </c>
      <c r="R501" s="300">
        <f t="shared" ref="R501" si="1318">SUM(R499:R500)</f>
        <v>32.77699999911745</v>
      </c>
      <c r="S501" s="300">
        <f t="shared" ref="S501" si="1319">SUM(S499:S500)</f>
        <v>8.2430000001052743</v>
      </c>
      <c r="T501" s="300">
        <f t="shared" si="1310"/>
        <v>80.443999999135656</v>
      </c>
      <c r="U501" s="300"/>
      <c r="V501" s="300">
        <f>SUM(V499:V500)</f>
        <v>45.302999999834213</v>
      </c>
      <c r="W501" s="300">
        <f t="shared" ref="W501" si="1320">SUM(W499:W500)</f>
        <v>31.436999999835745</v>
      </c>
      <c r="X501" s="300">
        <f t="shared" ref="X501" si="1321">SUM(X499:X500)</f>
        <v>8.9710000000260663</v>
      </c>
      <c r="Y501" s="300">
        <f t="shared" si="1311"/>
        <v>85.710999999696028</v>
      </c>
    </row>
    <row r="502" spans="1:25" ht="12.45" x14ac:dyDescent="0.3">
      <c r="C502" s="319"/>
      <c r="D502" s="319"/>
      <c r="E502" s="319"/>
      <c r="F502" s="319"/>
      <c r="G502" s="319"/>
      <c r="H502" s="319"/>
      <c r="I502" s="319"/>
      <c r="J502" s="319"/>
      <c r="K502" s="319"/>
      <c r="L502" s="319"/>
      <c r="M502" s="319"/>
      <c r="N502" s="319"/>
      <c r="O502" s="319"/>
      <c r="P502" s="319"/>
      <c r="Q502" s="319"/>
      <c r="R502" s="319"/>
      <c r="S502" s="319"/>
      <c r="T502" s="319"/>
      <c r="U502" s="319"/>
      <c r="V502" s="319"/>
      <c r="W502" s="319"/>
      <c r="X502" s="319"/>
      <c r="Y502" s="319"/>
    </row>
    <row r="503" spans="1:25" ht="12.45" x14ac:dyDescent="0.3">
      <c r="A503" s="261" t="str">
        <f>name!A71</f>
        <v>Social work</v>
      </c>
      <c r="C503" s="263"/>
    </row>
    <row r="504" spans="1:25" ht="12.45" x14ac:dyDescent="0.3">
      <c r="A504" s="260" t="s">
        <v>356</v>
      </c>
      <c r="B504" s="300">
        <v>26.119999999768673</v>
      </c>
      <c r="C504" s="300">
        <v>38.318999999365346</v>
      </c>
      <c r="D504" s="300">
        <v>6.4499999994731771</v>
      </c>
      <c r="E504" s="300">
        <f>SUM(B504:D504)</f>
        <v>70.88899999860719</v>
      </c>
      <c r="F504" s="300"/>
      <c r="G504" s="300">
        <v>24.462999999849973</v>
      </c>
      <c r="H504" s="300">
        <v>41.643999999507834</v>
      </c>
      <c r="I504" s="300">
        <v>9.7239999992675425</v>
      </c>
      <c r="J504" s="300">
        <f>SUM(G504:I504)</f>
        <v>75.830999998625359</v>
      </c>
      <c r="K504" s="300"/>
      <c r="L504" s="300">
        <v>22.178000000138919</v>
      </c>
      <c r="M504" s="300">
        <v>40.878999999224803</v>
      </c>
      <c r="N504" s="300">
        <v>7.2220000006298983</v>
      </c>
      <c r="O504" s="300">
        <f>SUM(L504:N504)</f>
        <v>70.27899999999363</v>
      </c>
      <c r="P504" s="300"/>
      <c r="Q504" s="300">
        <v>24.691000000029007</v>
      </c>
      <c r="R504" s="300">
        <v>40.988999998720033</v>
      </c>
      <c r="S504" s="300">
        <v>7.920000000070039</v>
      </c>
      <c r="T504" s="300">
        <f>SUM(Q504:S504)</f>
        <v>73.599999998819072</v>
      </c>
      <c r="U504" s="300"/>
      <c r="V504" s="300">
        <v>28.893999999983365</v>
      </c>
      <c r="W504" s="300">
        <v>38.610999999758924</v>
      </c>
      <c r="X504" s="300">
        <v>8.6330000000044294</v>
      </c>
      <c r="Y504" s="300">
        <f>SUM(V504:X504)</f>
        <v>76.137999999746725</v>
      </c>
    </row>
    <row r="505" spans="1:25" ht="12.45" x14ac:dyDescent="0.3">
      <c r="A505" s="260" t="s">
        <v>355</v>
      </c>
      <c r="B505" s="300">
        <v>10.94999999993993</v>
      </c>
      <c r="C505" s="300">
        <v>6.6869999999711505</v>
      </c>
      <c r="D505" s="300">
        <v>1.6880000000717612</v>
      </c>
      <c r="E505" s="300">
        <f t="shared" ref="E505:E506" si="1322">SUM(B505:D505)</f>
        <v>19.32499999998284</v>
      </c>
      <c r="F505" s="300"/>
      <c r="G505" s="300">
        <v>7.6759999999351587</v>
      </c>
      <c r="H505" s="300">
        <v>4.8389999999806106</v>
      </c>
      <c r="I505" s="300">
        <v>1.6109999999817297</v>
      </c>
      <c r="J505" s="300">
        <f t="shared" ref="J505:J506" si="1323">SUM(G505:I505)</f>
        <v>14.125999999897498</v>
      </c>
      <c r="K505" s="300"/>
      <c r="L505" s="300">
        <v>7.9719999999095137</v>
      </c>
      <c r="M505" s="300">
        <v>4.6610000000101435</v>
      </c>
      <c r="N505" s="300">
        <v>0.56300000001038131</v>
      </c>
      <c r="O505" s="300">
        <f t="shared" ref="O505:O506" si="1324">SUM(L505:N505)</f>
        <v>13.19599999993004</v>
      </c>
      <c r="P505" s="300"/>
      <c r="Q505" s="300">
        <v>8.4769999998856793</v>
      </c>
      <c r="R505" s="300">
        <v>4.9550000000012258</v>
      </c>
      <c r="S505" s="300">
        <v>0.6000000000469855</v>
      </c>
      <c r="T505" s="300">
        <f t="shared" ref="T505:T506" si="1325">SUM(Q505:S505)</f>
        <v>14.031999999933891</v>
      </c>
      <c r="U505" s="300"/>
      <c r="V505" s="300">
        <v>9.1459999998645145</v>
      </c>
      <c r="W505" s="300">
        <v>5.2880000000024401</v>
      </c>
      <c r="X505" s="300">
        <v>0.63600000002796286</v>
      </c>
      <c r="Y505" s="300">
        <f t="shared" ref="Y505:Y506" si="1326">SUM(V505:X505)</f>
        <v>15.069999999894918</v>
      </c>
    </row>
    <row r="506" spans="1:25" ht="12.45" x14ac:dyDescent="0.3">
      <c r="A506" s="260" t="s">
        <v>354</v>
      </c>
      <c r="B506" s="300">
        <f>SUM(B504:B505)</f>
        <v>37.0699999997086</v>
      </c>
      <c r="C506" s="300">
        <f t="shared" ref="C506" si="1327">SUM(C504:C505)</f>
        <v>45.005999999336495</v>
      </c>
      <c r="D506" s="300">
        <f t="shared" ref="D506" si="1328">SUM(D504:D505)</f>
        <v>8.1379999995449381</v>
      </c>
      <c r="E506" s="300">
        <f t="shared" si="1322"/>
        <v>90.213999998590026</v>
      </c>
      <c r="F506" s="300"/>
      <c r="G506" s="300">
        <f>SUM(G504:G505)</f>
        <v>32.138999999785135</v>
      </c>
      <c r="H506" s="300">
        <f t="shared" ref="H506" si="1329">SUM(H504:H505)</f>
        <v>46.482999999488442</v>
      </c>
      <c r="I506" s="300">
        <f t="shared" ref="I506" si="1330">SUM(I504:I505)</f>
        <v>11.334999999249272</v>
      </c>
      <c r="J506" s="300">
        <f t="shared" si="1323"/>
        <v>89.956999998522861</v>
      </c>
      <c r="K506" s="300"/>
      <c r="L506" s="300">
        <f>SUM(L504:L505)</f>
        <v>30.150000000048433</v>
      </c>
      <c r="M506" s="300">
        <f t="shared" ref="M506" si="1331">SUM(M504:M505)</f>
        <v>45.539999999234944</v>
      </c>
      <c r="N506" s="300">
        <f t="shared" ref="N506" si="1332">SUM(N504:N505)</f>
        <v>7.78500000064028</v>
      </c>
      <c r="O506" s="300">
        <f t="shared" si="1324"/>
        <v>83.474999999923654</v>
      </c>
      <c r="P506" s="300"/>
      <c r="Q506" s="300">
        <f>SUM(Q504:Q505)</f>
        <v>33.167999999914684</v>
      </c>
      <c r="R506" s="300">
        <f t="shared" ref="R506" si="1333">SUM(R504:R505)</f>
        <v>45.94399999872126</v>
      </c>
      <c r="S506" s="300">
        <f t="shared" ref="S506" si="1334">SUM(S504:S505)</f>
        <v>8.5200000001170242</v>
      </c>
      <c r="T506" s="300">
        <f t="shared" si="1325"/>
        <v>87.631999998752974</v>
      </c>
      <c r="U506" s="300"/>
      <c r="V506" s="300">
        <f>SUM(V504:V505)</f>
        <v>38.039999999847879</v>
      </c>
      <c r="W506" s="300">
        <f t="shared" ref="W506" si="1335">SUM(W504:W505)</f>
        <v>43.898999999761365</v>
      </c>
      <c r="X506" s="300">
        <f t="shared" ref="X506" si="1336">SUM(X504:X505)</f>
        <v>9.269000000032392</v>
      </c>
      <c r="Y506" s="300">
        <f t="shared" si="1326"/>
        <v>91.207999999641643</v>
      </c>
    </row>
    <row r="507" spans="1:25" ht="12.45" x14ac:dyDescent="0.3">
      <c r="C507" s="263"/>
    </row>
    <row r="508" spans="1:25" ht="12.45" x14ac:dyDescent="0.3">
      <c r="A508" s="261" t="s">
        <v>359</v>
      </c>
      <c r="C508" s="263"/>
    </row>
    <row r="509" spans="1:25" ht="12.45" x14ac:dyDescent="0.3">
      <c r="A509" s="260" t="s">
        <v>356</v>
      </c>
      <c r="B509" s="300">
        <f>SUM(B494,B499,B504)</f>
        <v>114.15399999898898</v>
      </c>
      <c r="C509" s="300">
        <f t="shared" ref="C509:D509" si="1337">SUM(C494,C499,C504)</f>
        <v>129.01499999786307</v>
      </c>
      <c r="D509" s="300">
        <f t="shared" si="1337"/>
        <v>21.981999998204561</v>
      </c>
      <c r="E509" s="300">
        <f>SUM(B509:D509)</f>
        <v>265.15099999505662</v>
      </c>
      <c r="F509" s="300"/>
      <c r="G509" s="300">
        <f>SUM(G494,G499,G504)</f>
        <v>129.08699999920836</v>
      </c>
      <c r="H509" s="300">
        <f t="shared" ref="H509:I509" si="1338">SUM(H494,H499,H504)</f>
        <v>143.99199999829824</v>
      </c>
      <c r="I509" s="300">
        <f t="shared" si="1338"/>
        <v>34.648999997390042</v>
      </c>
      <c r="J509" s="300">
        <f>SUM(G509:I509)</f>
        <v>307.72799999489661</v>
      </c>
      <c r="K509" s="300"/>
      <c r="L509" s="300">
        <f>SUM(L494,L499,L504)</f>
        <v>122.78800000076913</v>
      </c>
      <c r="M509" s="300">
        <f t="shared" ref="M509:N509" si="1339">SUM(M494,M499,M504)</f>
        <v>149.2049999971706</v>
      </c>
      <c r="N509" s="300">
        <f t="shared" si="1339"/>
        <v>28.022000002444056</v>
      </c>
      <c r="O509" s="300">
        <f>SUM(L509:N509)</f>
        <v>300.01500000038374</v>
      </c>
      <c r="P509" s="300"/>
      <c r="Q509" s="300">
        <f>SUM(Q494,Q499,Q504)</f>
        <v>136.42600000016029</v>
      </c>
      <c r="R509" s="300">
        <f t="shared" ref="R509:S509" si="1340">SUM(R494,R499,R504)</f>
        <v>155.81799999513407</v>
      </c>
      <c r="S509" s="300">
        <f t="shared" si="1340"/>
        <v>31.833000000281523</v>
      </c>
      <c r="T509" s="300">
        <f>SUM(Q509:S509)</f>
        <v>324.07699999557587</v>
      </c>
      <c r="U509" s="300"/>
      <c r="V509" s="300">
        <f>SUM(V494,V499,V504)</f>
        <v>158.97999999990833</v>
      </c>
      <c r="W509" s="300">
        <f t="shared" ref="W509:X509" si="1341">SUM(W494,W499,W504)</f>
        <v>160.25299999899923</v>
      </c>
      <c r="X509" s="300">
        <f t="shared" si="1341"/>
        <v>37.950000000019443</v>
      </c>
      <c r="Y509" s="300">
        <f>SUM(V509:X509)</f>
        <v>357.18299999892696</v>
      </c>
    </row>
    <row r="510" spans="1:25" ht="12.45" x14ac:dyDescent="0.3">
      <c r="A510" s="260" t="s">
        <v>355</v>
      </c>
      <c r="B510" s="300">
        <f>SUM(B495,B500,B505)</f>
        <v>47.468999999739623</v>
      </c>
      <c r="C510" s="300">
        <f t="shared" ref="C510:D510" si="1342">SUM(C495,C500,C505)</f>
        <v>19.721999999914928</v>
      </c>
      <c r="D510" s="300">
        <f t="shared" si="1342"/>
        <v>9.2770000003943984</v>
      </c>
      <c r="E510" s="300">
        <f t="shared" ref="E510:E511" si="1343">SUM(B510:D510)</f>
        <v>76.468000000048946</v>
      </c>
      <c r="F510" s="300"/>
      <c r="G510" s="300">
        <f>SUM(G495,G500,G505)</f>
        <v>46.483999999607327</v>
      </c>
      <c r="H510" s="300">
        <f t="shared" ref="H510:I510" si="1344">SUM(H495,H500,H505)</f>
        <v>15.849999999936482</v>
      </c>
      <c r="I510" s="300">
        <f t="shared" si="1344"/>
        <v>10.280999999883413</v>
      </c>
      <c r="J510" s="300">
        <f t="shared" ref="J510:J511" si="1345">SUM(G510:I510)</f>
        <v>72.614999999427226</v>
      </c>
      <c r="K510" s="300"/>
      <c r="L510" s="300">
        <f>SUM(L495,L500,L505)</f>
        <v>47.417999999461792</v>
      </c>
      <c r="M510" s="300">
        <f t="shared" ref="M510:N510" si="1346">SUM(M495,M500,M505)</f>
        <v>14.925000000032487</v>
      </c>
      <c r="N510" s="300">
        <f t="shared" si="1346"/>
        <v>4.6800000000862987</v>
      </c>
      <c r="O510" s="300">
        <f t="shared" ref="O510:O511" si="1347">SUM(L510:N510)</f>
        <v>67.022999999580577</v>
      </c>
      <c r="P510" s="300"/>
      <c r="Q510" s="300">
        <f>SUM(Q495,Q500,Q505)</f>
        <v>51.600999999304136</v>
      </c>
      <c r="R510" s="300">
        <f t="shared" ref="R510:S510" si="1348">SUM(R495,R500,R505)</f>
        <v>16.312000000004033</v>
      </c>
      <c r="S510" s="300">
        <f t="shared" si="1348"/>
        <v>4.9030000003839564</v>
      </c>
      <c r="T510" s="300">
        <f t="shared" ref="T510:T511" si="1349">SUM(Q510:S510)</f>
        <v>72.815999999692124</v>
      </c>
      <c r="U510" s="300"/>
      <c r="V510" s="300">
        <f>SUM(V495,V500,V505)</f>
        <v>57.933999999141889</v>
      </c>
      <c r="W510" s="300">
        <f t="shared" ref="W510:X510" si="1350">SUM(W495,W500,W505)</f>
        <v>18.426000000008511</v>
      </c>
      <c r="X510" s="300">
        <f t="shared" si="1350"/>
        <v>5.0420000002216776</v>
      </c>
      <c r="Y510" s="300">
        <f t="shared" ref="Y510:Y511" si="1351">SUM(V510:X510)</f>
        <v>81.40199999937208</v>
      </c>
    </row>
    <row r="511" spans="1:25" ht="12.45" x14ac:dyDescent="0.3">
      <c r="A511" s="264" t="s">
        <v>354</v>
      </c>
      <c r="B511" s="301">
        <f>SUM(B509:B510)</f>
        <v>161.6229999987286</v>
      </c>
      <c r="C511" s="301">
        <f t="shared" ref="C511" si="1352">SUM(C509:C510)</f>
        <v>148.73699999777801</v>
      </c>
      <c r="D511" s="301">
        <f t="shared" ref="D511" si="1353">SUM(D509:D510)</f>
        <v>31.258999998598959</v>
      </c>
      <c r="E511" s="301">
        <f t="shared" si="1343"/>
        <v>341.61899999510558</v>
      </c>
      <c r="F511" s="301"/>
      <c r="G511" s="301">
        <f>SUM(G509:G510)</f>
        <v>175.57099999881569</v>
      </c>
      <c r="H511" s="301">
        <f t="shared" ref="H511" si="1354">SUM(H509:H510)</f>
        <v>159.84199999823471</v>
      </c>
      <c r="I511" s="301">
        <f t="shared" ref="I511" si="1355">SUM(I509:I510)</f>
        <v>44.929999997273455</v>
      </c>
      <c r="J511" s="301">
        <f t="shared" si="1345"/>
        <v>380.34299999432386</v>
      </c>
      <c r="K511" s="301"/>
      <c r="L511" s="301">
        <f>SUM(L509:L510)</f>
        <v>170.20600000023092</v>
      </c>
      <c r="M511" s="301">
        <f t="shared" ref="M511" si="1356">SUM(M509:M510)</f>
        <v>164.1299999972031</v>
      </c>
      <c r="N511" s="301">
        <f t="shared" ref="N511" si="1357">SUM(N509:N510)</f>
        <v>32.702000002530355</v>
      </c>
      <c r="O511" s="301">
        <f t="shared" si="1347"/>
        <v>367.03799999996431</v>
      </c>
      <c r="P511" s="301"/>
      <c r="Q511" s="301">
        <f>SUM(Q509:Q510)</f>
        <v>188.02699999946441</v>
      </c>
      <c r="R511" s="301">
        <f t="shared" ref="R511" si="1358">SUM(R509:R510)</f>
        <v>172.12999999513812</v>
      </c>
      <c r="S511" s="301">
        <f t="shared" ref="S511" si="1359">SUM(S509:S510)</f>
        <v>36.736000000665477</v>
      </c>
      <c r="T511" s="301">
        <f t="shared" si="1349"/>
        <v>396.89299999526799</v>
      </c>
      <c r="U511" s="301"/>
      <c r="V511" s="301">
        <f>SUM(V509:V510)</f>
        <v>216.91399999905022</v>
      </c>
      <c r="W511" s="301">
        <f t="shared" ref="W511" si="1360">SUM(W509:W510)</f>
        <v>178.67899999900774</v>
      </c>
      <c r="X511" s="301">
        <f t="shared" ref="X511" si="1361">SUM(X509:X510)</f>
        <v>42.99200000024112</v>
      </c>
      <c r="Y511" s="301">
        <f t="shared" si="1351"/>
        <v>438.58499999829905</v>
      </c>
    </row>
    <row r="512" spans="1:25" ht="12.45" x14ac:dyDescent="0.3">
      <c r="C512" s="263"/>
    </row>
    <row r="513" spans="1:25" x14ac:dyDescent="0.35">
      <c r="A513" s="261"/>
    </row>
    <row r="514" spans="1:25" ht="12.45" x14ac:dyDescent="0.3">
      <c r="C514" s="263"/>
    </row>
    <row r="515" spans="1:25" ht="14.15" x14ac:dyDescent="0.35">
      <c r="A515" s="265" t="str">
        <f>"Industry 21 : "&amp; name!B24</f>
        <v>Industry 21 : Arts and entertainment</v>
      </c>
      <c r="B515" s="372">
        <f>$B$5</f>
        <v>2015</v>
      </c>
      <c r="C515" s="372"/>
      <c r="D515" s="372"/>
      <c r="E515" s="372"/>
      <c r="F515" s="320"/>
      <c r="G515" s="372">
        <f>$G$5</f>
        <v>2019</v>
      </c>
      <c r="H515" s="372"/>
      <c r="I515" s="372"/>
      <c r="J515" s="372"/>
      <c r="K515" s="320"/>
      <c r="L515" s="372">
        <f>$L$5</f>
        <v>2020</v>
      </c>
      <c r="M515" s="372"/>
      <c r="N515" s="372"/>
      <c r="O515" s="372"/>
      <c r="P515" s="318"/>
      <c r="Q515" s="372">
        <f>$Q$5</f>
        <v>2025</v>
      </c>
      <c r="R515" s="372"/>
      <c r="S515" s="372"/>
      <c r="T515" s="372"/>
      <c r="U515" s="320"/>
      <c r="V515" s="372">
        <f>$V$5</f>
        <v>2035</v>
      </c>
      <c r="W515" s="372"/>
      <c r="X515" s="372"/>
      <c r="Y515" s="372"/>
    </row>
    <row r="516" spans="1:25" ht="12.45" x14ac:dyDescent="0.3">
      <c r="A516" s="264"/>
      <c r="B516" s="268" t="str">
        <f>$B$6</f>
        <v>FT</v>
      </c>
      <c r="C516" s="268" t="str">
        <f>$C$6</f>
        <v>PT</v>
      </c>
      <c r="D516" s="268" t="str">
        <f>$D$6</f>
        <v>SE</v>
      </c>
      <c r="E516" s="268" t="str">
        <f>$E$6</f>
        <v>Total</v>
      </c>
      <c r="F516" s="268"/>
      <c r="G516" s="268" t="str">
        <f>$B$6</f>
        <v>FT</v>
      </c>
      <c r="H516" s="268" t="str">
        <f>$C$6</f>
        <v>PT</v>
      </c>
      <c r="I516" s="268" t="str">
        <f>$D$6</f>
        <v>SE</v>
      </c>
      <c r="J516" s="268" t="str">
        <f>$E$6</f>
        <v>Total</v>
      </c>
      <c r="K516" s="268"/>
      <c r="L516" s="268" t="str">
        <f>$L$6</f>
        <v>FT</v>
      </c>
      <c r="M516" s="268" t="str">
        <f>$M$6</f>
        <v>PT</v>
      </c>
      <c r="N516" s="268" t="str">
        <f>$N$6</f>
        <v>SE</v>
      </c>
      <c r="O516" s="268" t="str">
        <f>$O$6</f>
        <v>Total</v>
      </c>
      <c r="P516" s="268"/>
      <c r="Q516" s="268" t="str">
        <f>$L$6</f>
        <v>FT</v>
      </c>
      <c r="R516" s="268" t="str">
        <f>$M$6</f>
        <v>PT</v>
      </c>
      <c r="S516" s="268" t="str">
        <f>$N$6</f>
        <v>SE</v>
      </c>
      <c r="T516" s="268" t="str">
        <f>$O$6</f>
        <v>Total</v>
      </c>
      <c r="U516" s="268"/>
      <c r="V516" s="268" t="str">
        <f>$V$6</f>
        <v>FT</v>
      </c>
      <c r="W516" s="268" t="str">
        <f>$W$6</f>
        <v>PT</v>
      </c>
      <c r="X516" s="268" t="str">
        <f>$X$6</f>
        <v>SE</v>
      </c>
      <c r="Y516" s="268" t="str">
        <f>$Y$6</f>
        <v>Total</v>
      </c>
    </row>
    <row r="517" spans="1:25" x14ac:dyDescent="0.35">
      <c r="A517" s="262"/>
      <c r="C517" s="319"/>
      <c r="D517" s="319"/>
      <c r="E517" s="319"/>
      <c r="F517" s="319"/>
      <c r="G517" s="319"/>
      <c r="H517" s="319"/>
      <c r="I517" s="319"/>
      <c r="J517" s="319"/>
      <c r="K517" s="319"/>
      <c r="L517" s="319"/>
      <c r="M517" s="319"/>
      <c r="N517" s="319"/>
      <c r="O517" s="319"/>
      <c r="P517" s="319"/>
      <c r="Q517" s="319"/>
      <c r="R517" s="319"/>
      <c r="S517" s="319"/>
      <c r="T517" s="319"/>
      <c r="U517" s="319"/>
      <c r="V517" s="319"/>
      <c r="W517" s="319"/>
      <c r="X517" s="319"/>
      <c r="Y517" s="319"/>
    </row>
    <row r="518" spans="1:25" ht="12.45" x14ac:dyDescent="0.3">
      <c r="A518" s="261" t="str">
        <f>name!A72</f>
        <v>Arts and entertainment</v>
      </c>
      <c r="C518" s="263"/>
    </row>
    <row r="519" spans="1:25" ht="12.45" x14ac:dyDescent="0.3">
      <c r="A519" s="260" t="s">
        <v>356</v>
      </c>
      <c r="B519" s="300">
        <v>0.27899999999690528</v>
      </c>
      <c r="C519" s="300">
        <v>1.0260000000089884</v>
      </c>
      <c r="D519" s="300">
        <v>0.8209999999987494</v>
      </c>
      <c r="E519" s="300">
        <f>SUM(B519:D519)</f>
        <v>2.1260000000046428</v>
      </c>
      <c r="F519" s="300"/>
      <c r="G519" s="300">
        <v>3.0179999999624409</v>
      </c>
      <c r="H519" s="300">
        <v>1.5860000000147227</v>
      </c>
      <c r="I519" s="300">
        <v>1.6799999999987538</v>
      </c>
      <c r="J519" s="300">
        <f>SUM(G519:I519)</f>
        <v>6.2839999999759177</v>
      </c>
      <c r="K519" s="300"/>
      <c r="L519" s="300">
        <v>2.5370000000153055</v>
      </c>
      <c r="M519" s="300">
        <v>1.725999999999295</v>
      </c>
      <c r="N519" s="300">
        <v>6.8030000000307345</v>
      </c>
      <c r="O519" s="300">
        <f>SUM(L519:N519)</f>
        <v>11.066000000045335</v>
      </c>
      <c r="P519" s="300"/>
      <c r="Q519" s="300">
        <v>2.1240000000348611</v>
      </c>
      <c r="R519" s="300">
        <v>1.5570000000136055</v>
      </c>
      <c r="S519" s="300">
        <v>5.7480000000708795</v>
      </c>
      <c r="T519" s="300">
        <f>SUM(Q519:S519)</f>
        <v>9.4290000001193466</v>
      </c>
      <c r="U519" s="300"/>
      <c r="V519" s="300">
        <v>1.9660000000101663</v>
      </c>
      <c r="W519" s="300">
        <v>1.5829999999907853</v>
      </c>
      <c r="X519" s="300">
        <v>6.0860000000996468</v>
      </c>
      <c r="Y519" s="300">
        <f>SUM(V519:X519)</f>
        <v>9.6350000001005984</v>
      </c>
    </row>
    <row r="520" spans="1:25" ht="12.45" x14ac:dyDescent="0.3">
      <c r="A520" s="260" t="s">
        <v>355</v>
      </c>
      <c r="B520" s="300">
        <v>0.66799999999793824</v>
      </c>
      <c r="C520" s="300">
        <v>0.57000000000241324</v>
      </c>
      <c r="D520" s="300">
        <v>1.6600000000539699</v>
      </c>
      <c r="E520" s="300">
        <f t="shared" ref="E520:E521" si="1362">SUM(B520:D520)</f>
        <v>2.8980000000543216</v>
      </c>
      <c r="F520" s="300"/>
      <c r="G520" s="300">
        <v>3.0699999999896423</v>
      </c>
      <c r="H520" s="300">
        <v>1.3340000000072909</v>
      </c>
      <c r="I520" s="300">
        <v>4.2120000000013311</v>
      </c>
      <c r="J520" s="300">
        <f t="shared" ref="J520:J521" si="1363">SUM(G520:I520)</f>
        <v>8.6159999999982642</v>
      </c>
      <c r="K520" s="300"/>
      <c r="L520" s="300">
        <v>2.9169999999869014</v>
      </c>
      <c r="M520" s="300">
        <v>1.6470000000078842</v>
      </c>
      <c r="N520" s="300">
        <v>4.8480000001235455</v>
      </c>
      <c r="O520" s="300">
        <f t="shared" ref="O520:O521" si="1364">SUM(L520:N520)</f>
        <v>9.412000000118331</v>
      </c>
      <c r="P520" s="300"/>
      <c r="Q520" s="300">
        <v>2.5169999999923087</v>
      </c>
      <c r="R520" s="300">
        <v>1.4220000000075379</v>
      </c>
      <c r="S520" s="300">
        <v>3.925000000285094</v>
      </c>
      <c r="T520" s="300">
        <f t="shared" ref="T520:T521" si="1365">SUM(Q520:S520)</f>
        <v>7.8640000002849408</v>
      </c>
      <c r="U520" s="300"/>
      <c r="V520" s="300">
        <v>2.5049999999819939</v>
      </c>
      <c r="W520" s="300">
        <v>1.357000000011104</v>
      </c>
      <c r="X520" s="300">
        <v>3.5740000001771555</v>
      </c>
      <c r="Y520" s="300">
        <f t="shared" ref="Y520:Y521" si="1366">SUM(V520:X520)</f>
        <v>7.4360000001702531</v>
      </c>
    </row>
    <row r="521" spans="1:25" ht="12.45" x14ac:dyDescent="0.3">
      <c r="A521" s="260" t="s">
        <v>354</v>
      </c>
      <c r="B521" s="300">
        <f>SUM(B519:B520)</f>
        <v>0.94699999999484352</v>
      </c>
      <c r="C521" s="300">
        <f t="shared" ref="C521" si="1367">SUM(C519:C520)</f>
        <v>1.5960000000114016</v>
      </c>
      <c r="D521" s="300">
        <f t="shared" ref="D521" si="1368">SUM(D519:D520)</f>
        <v>2.4810000000527195</v>
      </c>
      <c r="E521" s="300">
        <f t="shared" si="1362"/>
        <v>5.0240000000589644</v>
      </c>
      <c r="F521" s="300"/>
      <c r="G521" s="300">
        <f>SUM(G519:G520)</f>
        <v>6.0879999999520837</v>
      </c>
      <c r="H521" s="300">
        <f t="shared" ref="H521" si="1369">SUM(H519:H520)</f>
        <v>2.9200000000220134</v>
      </c>
      <c r="I521" s="300">
        <f t="shared" ref="I521" si="1370">SUM(I519:I520)</f>
        <v>5.8920000000000847</v>
      </c>
      <c r="J521" s="300">
        <f t="shared" si="1363"/>
        <v>14.899999999974181</v>
      </c>
      <c r="K521" s="300"/>
      <c r="L521" s="300">
        <f>SUM(L519:L520)</f>
        <v>5.4540000000022069</v>
      </c>
      <c r="M521" s="300">
        <f t="shared" ref="M521" si="1371">SUM(M519:M520)</f>
        <v>3.3730000000071794</v>
      </c>
      <c r="N521" s="300">
        <f t="shared" ref="N521" si="1372">SUM(N519:N520)</f>
        <v>11.65100000015428</v>
      </c>
      <c r="O521" s="300">
        <f t="shared" si="1364"/>
        <v>20.478000000163668</v>
      </c>
      <c r="P521" s="300"/>
      <c r="Q521" s="300">
        <f>SUM(Q519:Q520)</f>
        <v>4.6410000000271694</v>
      </c>
      <c r="R521" s="300">
        <f t="shared" ref="R521" si="1373">SUM(R519:R520)</f>
        <v>2.9790000000211432</v>
      </c>
      <c r="S521" s="300">
        <f t="shared" ref="S521" si="1374">SUM(S519:S520)</f>
        <v>9.6730000003559731</v>
      </c>
      <c r="T521" s="300">
        <f t="shared" si="1365"/>
        <v>17.293000000404284</v>
      </c>
      <c r="U521" s="300"/>
      <c r="V521" s="300">
        <f>SUM(V519:V520)</f>
        <v>4.4709999999921601</v>
      </c>
      <c r="W521" s="300">
        <f t="shared" ref="W521" si="1375">SUM(W519:W520)</f>
        <v>2.9400000000018895</v>
      </c>
      <c r="X521" s="300">
        <f t="shared" ref="X521" si="1376">SUM(X519:X520)</f>
        <v>9.6600000002768027</v>
      </c>
      <c r="Y521" s="300">
        <f t="shared" si="1366"/>
        <v>17.071000000270853</v>
      </c>
    </row>
    <row r="522" spans="1:25" ht="12.45" x14ac:dyDescent="0.3">
      <c r="C522" s="319"/>
      <c r="D522" s="319"/>
      <c r="E522" s="319"/>
      <c r="F522" s="319"/>
      <c r="G522" s="319"/>
      <c r="H522" s="319"/>
      <c r="I522" s="319"/>
      <c r="J522" s="319"/>
      <c r="K522" s="319"/>
      <c r="L522" s="319"/>
      <c r="M522" s="319"/>
      <c r="N522" s="319"/>
      <c r="O522" s="319"/>
      <c r="P522" s="319"/>
      <c r="Q522" s="319"/>
      <c r="R522" s="319"/>
      <c r="S522" s="319"/>
      <c r="T522" s="319"/>
      <c r="U522" s="319"/>
      <c r="V522" s="319"/>
      <c r="W522" s="319"/>
      <c r="X522" s="319"/>
      <c r="Y522" s="319"/>
    </row>
    <row r="523" spans="1:25" ht="12.45" x14ac:dyDescent="0.3">
      <c r="A523" s="261" t="str">
        <f>name!A73</f>
        <v>Libraries, etc</v>
      </c>
      <c r="C523" s="263"/>
    </row>
    <row r="524" spans="1:25" ht="12.45" x14ac:dyDescent="0.3">
      <c r="A524" s="260" t="s">
        <v>356</v>
      </c>
      <c r="B524" s="300">
        <v>2.2139999999754392</v>
      </c>
      <c r="C524" s="300">
        <v>3.3080000000289811</v>
      </c>
      <c r="D524" s="300">
        <v>2.7269999999958441</v>
      </c>
      <c r="E524" s="300">
        <f>SUM(B524:D524)</f>
        <v>8.2490000000002635</v>
      </c>
      <c r="F524" s="300"/>
      <c r="G524" s="300">
        <v>3.3649999999581244</v>
      </c>
      <c r="H524" s="300">
        <v>3.5670000000331115</v>
      </c>
      <c r="I524" s="300">
        <v>1.8299999999986414</v>
      </c>
      <c r="J524" s="300">
        <f>SUM(G524:I524)</f>
        <v>8.761999999989877</v>
      </c>
      <c r="K524" s="300"/>
      <c r="L524" s="300">
        <v>2.8290000000170656</v>
      </c>
      <c r="M524" s="300">
        <v>3.8809999999984104</v>
      </c>
      <c r="N524" s="300">
        <v>7.4090000000334761</v>
      </c>
      <c r="O524" s="300">
        <f>SUM(L524:N524)</f>
        <v>14.119000000048953</v>
      </c>
      <c r="P524" s="300"/>
      <c r="Q524" s="300">
        <v>2.3680000000388679</v>
      </c>
      <c r="R524" s="300">
        <v>3.5000000000305853</v>
      </c>
      <c r="S524" s="300">
        <v>6.2600000000771852</v>
      </c>
      <c r="T524" s="300">
        <f>SUM(Q524:S524)</f>
        <v>12.128000000146638</v>
      </c>
      <c r="U524" s="300"/>
      <c r="V524" s="300">
        <v>2.1920000000113351</v>
      </c>
      <c r="W524" s="300">
        <v>3.5589999999792825</v>
      </c>
      <c r="X524" s="300">
        <v>6.6270000001085068</v>
      </c>
      <c r="Y524" s="300">
        <f>SUM(V524:X524)</f>
        <v>12.378000000099124</v>
      </c>
    </row>
    <row r="525" spans="1:25" ht="12.45" x14ac:dyDescent="0.3">
      <c r="A525" s="260" t="s">
        <v>355</v>
      </c>
      <c r="B525" s="300">
        <v>3.0039999999907265</v>
      </c>
      <c r="C525" s="300">
        <v>0.5970000000025274</v>
      </c>
      <c r="D525" s="300">
        <v>3.4650000001126511</v>
      </c>
      <c r="E525" s="300">
        <f t="shared" ref="E525:E526" si="1377">SUM(B525:D525)</f>
        <v>7.0660000001059053</v>
      </c>
      <c r="F525" s="300"/>
      <c r="G525" s="300">
        <v>1.9409999999934537</v>
      </c>
      <c r="H525" s="300">
        <v>0.97500000000532794</v>
      </c>
      <c r="I525" s="300">
        <v>2.8840000000009156</v>
      </c>
      <c r="J525" s="300">
        <f t="shared" ref="J525:J526" si="1378">SUM(G525:I525)</f>
        <v>5.799999999999697</v>
      </c>
      <c r="K525" s="300"/>
      <c r="L525" s="300">
        <v>1.8439999999917198</v>
      </c>
      <c r="M525" s="300">
        <v>1.2040000000057642</v>
      </c>
      <c r="N525" s="300">
        <v>3.3200000000846126</v>
      </c>
      <c r="O525" s="300">
        <f t="shared" ref="O525:O526" si="1379">SUM(L525:N525)</f>
        <v>6.3680000000820964</v>
      </c>
      <c r="P525" s="300"/>
      <c r="Q525" s="300">
        <v>1.5909999999951367</v>
      </c>
      <c r="R525" s="300">
        <v>1.0400000000055141</v>
      </c>
      <c r="S525" s="300">
        <v>2.6870000001951739</v>
      </c>
      <c r="T525" s="300">
        <f t="shared" ref="T525:T526" si="1380">SUM(Q525:S525)</f>
        <v>5.3180000001958252</v>
      </c>
      <c r="U525" s="300"/>
      <c r="V525" s="300">
        <v>1.583999999988615</v>
      </c>
      <c r="W525" s="300">
        <v>0.99200000000811706</v>
      </c>
      <c r="X525" s="300">
        <v>2.4470000001212919</v>
      </c>
      <c r="Y525" s="300">
        <f t="shared" ref="Y525:Y526" si="1381">SUM(V525:X525)</f>
        <v>5.0230000001180244</v>
      </c>
    </row>
    <row r="526" spans="1:25" ht="12.45" x14ac:dyDescent="0.3">
      <c r="A526" s="260" t="s">
        <v>354</v>
      </c>
      <c r="B526" s="300">
        <f>SUM(B524:B525)</f>
        <v>5.2179999999661657</v>
      </c>
      <c r="C526" s="300">
        <f t="shared" ref="C526" si="1382">SUM(C524:C525)</f>
        <v>3.9050000000315084</v>
      </c>
      <c r="D526" s="300">
        <f t="shared" ref="D526" si="1383">SUM(D524:D525)</f>
        <v>6.1920000001084947</v>
      </c>
      <c r="E526" s="300">
        <f t="shared" si="1377"/>
        <v>15.315000000106169</v>
      </c>
      <c r="F526" s="300"/>
      <c r="G526" s="300">
        <f>SUM(G524:G525)</f>
        <v>5.3059999999515783</v>
      </c>
      <c r="H526" s="300">
        <f t="shared" ref="H526" si="1384">SUM(H524:H525)</f>
        <v>4.5420000000384393</v>
      </c>
      <c r="I526" s="300">
        <f t="shared" ref="I526" si="1385">SUM(I524:I525)</f>
        <v>4.7139999999995572</v>
      </c>
      <c r="J526" s="300">
        <f t="shared" si="1378"/>
        <v>14.561999999989574</v>
      </c>
      <c r="K526" s="300"/>
      <c r="L526" s="300">
        <f>SUM(L524:L525)</f>
        <v>4.6730000000087859</v>
      </c>
      <c r="M526" s="300">
        <f t="shared" ref="M526" si="1386">SUM(M524:M525)</f>
        <v>5.0850000000041744</v>
      </c>
      <c r="N526" s="300">
        <f t="shared" ref="N526" si="1387">SUM(N524:N525)</f>
        <v>10.729000000118088</v>
      </c>
      <c r="O526" s="300">
        <f t="shared" si="1379"/>
        <v>20.487000000131047</v>
      </c>
      <c r="P526" s="300"/>
      <c r="Q526" s="300">
        <f>SUM(Q524:Q525)</f>
        <v>3.9590000000340044</v>
      </c>
      <c r="R526" s="300">
        <f t="shared" ref="R526" si="1388">SUM(R524:R525)</f>
        <v>4.5400000000360992</v>
      </c>
      <c r="S526" s="300">
        <f t="shared" ref="S526" si="1389">SUM(S524:S525)</f>
        <v>8.9470000002723591</v>
      </c>
      <c r="T526" s="300">
        <f t="shared" si="1380"/>
        <v>17.446000000342465</v>
      </c>
      <c r="U526" s="300"/>
      <c r="V526" s="300">
        <f>SUM(V524:V525)</f>
        <v>3.7759999999999501</v>
      </c>
      <c r="W526" s="300">
        <f t="shared" ref="W526" si="1390">SUM(W524:W525)</f>
        <v>4.5509999999873996</v>
      </c>
      <c r="X526" s="300">
        <f t="shared" ref="X526" si="1391">SUM(X524:X525)</f>
        <v>9.0740000002297982</v>
      </c>
      <c r="Y526" s="300">
        <f t="shared" si="1381"/>
        <v>17.401000000217149</v>
      </c>
    </row>
    <row r="527" spans="1:25" ht="12.45" x14ac:dyDescent="0.3">
      <c r="C527" s="319"/>
      <c r="D527" s="319"/>
      <c r="E527" s="319"/>
      <c r="F527" s="319"/>
      <c r="G527" s="319"/>
      <c r="H527" s="319"/>
      <c r="I527" s="319"/>
      <c r="J527" s="319"/>
      <c r="K527" s="319"/>
      <c r="L527" s="319"/>
      <c r="M527" s="319"/>
      <c r="N527" s="319"/>
      <c r="O527" s="319"/>
      <c r="P527" s="319"/>
      <c r="Q527" s="319"/>
      <c r="R527" s="319"/>
      <c r="S527" s="319"/>
      <c r="T527" s="319"/>
      <c r="U527" s="319"/>
      <c r="V527" s="319"/>
      <c r="W527" s="319"/>
      <c r="X527" s="319"/>
      <c r="Y527" s="319"/>
    </row>
    <row r="528" spans="1:25" ht="12.45" x14ac:dyDescent="0.3">
      <c r="A528" s="261" t="str">
        <f>name!A74</f>
        <v>Gambling and betting</v>
      </c>
      <c r="C528" s="263"/>
    </row>
    <row r="529" spans="1:25" ht="12.45" x14ac:dyDescent="0.3">
      <c r="A529" s="260" t="s">
        <v>356</v>
      </c>
      <c r="B529" s="300">
        <v>1.0609999999882291</v>
      </c>
      <c r="C529" s="300">
        <v>1.2090000000105916</v>
      </c>
      <c r="D529" s="300">
        <v>0.51299999999921797</v>
      </c>
      <c r="E529" s="300">
        <f>SUM(B529:D529)</f>
        <v>2.7829999999980388</v>
      </c>
      <c r="F529" s="300"/>
      <c r="G529" s="300">
        <v>0.7959999999900933</v>
      </c>
      <c r="H529" s="300">
        <v>0.70700000000656282</v>
      </c>
      <c r="I529" s="300">
        <v>0.16799999999987525</v>
      </c>
      <c r="J529" s="300">
        <f>SUM(G529:I529)</f>
        <v>1.6709999999965315</v>
      </c>
      <c r="K529" s="300"/>
      <c r="L529" s="300">
        <v>0.57200000000345086</v>
      </c>
      <c r="M529" s="300">
        <v>0.76899999999968538</v>
      </c>
      <c r="N529" s="300">
        <v>0.3610000000016314</v>
      </c>
      <c r="O529" s="300">
        <f>SUM(L529:N529)</f>
        <v>1.7020000000047677</v>
      </c>
      <c r="P529" s="300"/>
      <c r="Q529" s="300">
        <v>0.55800000000915861</v>
      </c>
      <c r="R529" s="300">
        <v>0.77200000000674696</v>
      </c>
      <c r="S529" s="300">
        <v>0.35500000000437743</v>
      </c>
      <c r="T529" s="300">
        <f>SUM(Q529:S529)</f>
        <v>1.6850000000202829</v>
      </c>
      <c r="U529" s="300"/>
      <c r="V529" s="300">
        <v>0.5520000000028541</v>
      </c>
      <c r="W529" s="300">
        <v>0.79899999999534888</v>
      </c>
      <c r="X529" s="300">
        <v>0.36300000000594346</v>
      </c>
      <c r="Y529" s="300">
        <f>SUM(V529:X529)</f>
        <v>1.7140000000041464</v>
      </c>
    </row>
    <row r="530" spans="1:25" ht="12.45" x14ac:dyDescent="0.3">
      <c r="A530" s="260" t="s">
        <v>355</v>
      </c>
      <c r="B530" s="300">
        <v>5.0149999999845205</v>
      </c>
      <c r="C530" s="300">
        <v>1.6620000000070361</v>
      </c>
      <c r="D530" s="300">
        <v>0.47300000001537768</v>
      </c>
      <c r="E530" s="300">
        <f t="shared" ref="E530:E531" si="1392">SUM(B530:D530)</f>
        <v>7.1500000000069344</v>
      </c>
      <c r="F530" s="300"/>
      <c r="G530" s="300">
        <v>2.5409999999914259</v>
      </c>
      <c r="H530" s="300">
        <v>1.470000000008034</v>
      </c>
      <c r="I530" s="300">
        <v>0.40300000000012748</v>
      </c>
      <c r="J530" s="300">
        <f t="shared" ref="J530:J531" si="1393">SUM(G530:I530)</f>
        <v>4.4139999999995876</v>
      </c>
      <c r="K530" s="300"/>
      <c r="L530" s="300">
        <v>3.1819999999857118</v>
      </c>
      <c r="M530" s="300">
        <v>1.4470000000069263</v>
      </c>
      <c r="N530" s="300">
        <v>0.49900000001271655</v>
      </c>
      <c r="O530" s="300">
        <f t="shared" ref="O530:O531" si="1394">SUM(L530:N530)</f>
        <v>5.1280000000053549</v>
      </c>
      <c r="P530" s="300"/>
      <c r="Q530" s="300">
        <v>3.2079999999901951</v>
      </c>
      <c r="R530" s="300">
        <v>1.5070000000079864</v>
      </c>
      <c r="S530" s="300">
        <v>0.53600000003893278</v>
      </c>
      <c r="T530" s="300">
        <f t="shared" ref="T530:T531" si="1395">SUM(Q530:S530)</f>
        <v>5.2510000000371146</v>
      </c>
      <c r="U530" s="300"/>
      <c r="V530" s="300">
        <v>3.383999999975678</v>
      </c>
      <c r="W530" s="300">
        <v>1.66700000001364</v>
      </c>
      <c r="X530" s="300">
        <v>0.63600000003152513</v>
      </c>
      <c r="Y530" s="300">
        <f t="shared" ref="Y530:Y531" si="1396">SUM(V530:X530)</f>
        <v>5.6870000000208432</v>
      </c>
    </row>
    <row r="531" spans="1:25" ht="12.45" x14ac:dyDescent="0.3">
      <c r="A531" s="260" t="s">
        <v>354</v>
      </c>
      <c r="B531" s="300">
        <f>SUM(B529:B530)</f>
        <v>6.0759999999727494</v>
      </c>
      <c r="C531" s="300">
        <f t="shared" ref="C531" si="1397">SUM(C529:C530)</f>
        <v>2.8710000000176277</v>
      </c>
      <c r="D531" s="300">
        <f t="shared" ref="D531" si="1398">SUM(D529:D530)</f>
        <v>0.98600000001459565</v>
      </c>
      <c r="E531" s="300">
        <f t="shared" si="1392"/>
        <v>9.9330000000049719</v>
      </c>
      <c r="F531" s="300"/>
      <c r="G531" s="300">
        <f>SUM(G529:G530)</f>
        <v>3.3369999999815194</v>
      </c>
      <c r="H531" s="300">
        <f t="shared" ref="H531" si="1399">SUM(H529:H530)</f>
        <v>2.1770000000145968</v>
      </c>
      <c r="I531" s="300">
        <f t="shared" ref="I531" si="1400">SUM(I529:I530)</f>
        <v>0.57100000000000273</v>
      </c>
      <c r="J531" s="300">
        <f t="shared" si="1393"/>
        <v>6.0849999999961186</v>
      </c>
      <c r="K531" s="300"/>
      <c r="L531" s="300">
        <f>SUM(L529:L530)</f>
        <v>3.7539999999891629</v>
      </c>
      <c r="M531" s="300">
        <f t="shared" ref="M531" si="1401">SUM(M529:M530)</f>
        <v>2.2160000000066118</v>
      </c>
      <c r="N531" s="300">
        <f t="shared" ref="N531" si="1402">SUM(N529:N530)</f>
        <v>0.86000000001434795</v>
      </c>
      <c r="O531" s="300">
        <f t="shared" si="1394"/>
        <v>6.8300000000101226</v>
      </c>
      <c r="P531" s="300"/>
      <c r="Q531" s="300">
        <f>SUM(Q529:Q530)</f>
        <v>3.7659999999993539</v>
      </c>
      <c r="R531" s="300">
        <f t="shared" ref="R531" si="1403">SUM(R529:R530)</f>
        <v>2.2790000000147335</v>
      </c>
      <c r="S531" s="300">
        <f t="shared" ref="S531" si="1404">SUM(S529:S530)</f>
        <v>0.89100000004331026</v>
      </c>
      <c r="T531" s="300">
        <f t="shared" si="1395"/>
        <v>6.9360000000573976</v>
      </c>
      <c r="U531" s="300"/>
      <c r="V531" s="300">
        <f>SUM(V529:V530)</f>
        <v>3.9359999999785322</v>
      </c>
      <c r="W531" s="300">
        <f t="shared" ref="W531" si="1405">SUM(W529:W530)</f>
        <v>2.466000000008989</v>
      </c>
      <c r="X531" s="300">
        <f t="shared" ref="X531" si="1406">SUM(X529:X530)</f>
        <v>0.99900000003746858</v>
      </c>
      <c r="Y531" s="300">
        <f t="shared" si="1396"/>
        <v>7.4010000000249896</v>
      </c>
    </row>
    <row r="532" spans="1:25" ht="12.45" x14ac:dyDescent="0.3">
      <c r="C532" s="319"/>
      <c r="D532" s="319"/>
      <c r="E532" s="319"/>
      <c r="F532" s="319"/>
      <c r="G532" s="319"/>
      <c r="H532" s="319"/>
      <c r="I532" s="319"/>
      <c r="J532" s="319"/>
      <c r="K532" s="319"/>
      <c r="L532" s="319"/>
      <c r="M532" s="319"/>
      <c r="N532" s="319"/>
      <c r="O532" s="319"/>
      <c r="P532" s="319"/>
      <c r="Q532" s="319"/>
      <c r="R532" s="319"/>
      <c r="S532" s="319"/>
      <c r="T532" s="319"/>
      <c r="U532" s="319"/>
      <c r="V532" s="319"/>
      <c r="W532" s="319"/>
      <c r="X532" s="319"/>
      <c r="Y532" s="319"/>
    </row>
    <row r="533" spans="1:25" ht="12.45" x14ac:dyDescent="0.3">
      <c r="A533" s="261" t="str">
        <f>name!A75</f>
        <v>Sport and recreation</v>
      </c>
      <c r="C533" s="263"/>
    </row>
    <row r="534" spans="1:25" ht="12.45" x14ac:dyDescent="0.3">
      <c r="A534" s="260" t="s">
        <v>356</v>
      </c>
      <c r="B534" s="300">
        <v>6.8309999999258535</v>
      </c>
      <c r="C534" s="300">
        <v>14.74500000013351</v>
      </c>
      <c r="D534" s="300">
        <v>2.5090000000004813</v>
      </c>
      <c r="E534" s="300">
        <f>SUM(B534:D534)</f>
        <v>24.085000000059843</v>
      </c>
      <c r="F534" s="300"/>
      <c r="G534" s="300">
        <v>10.993999999864231</v>
      </c>
      <c r="H534" s="300">
        <v>13.302000000126304</v>
      </c>
      <c r="I534" s="300">
        <v>1.5600000000017793</v>
      </c>
      <c r="J534" s="300">
        <f>SUM(G534:I534)</f>
        <v>25.855999999992314</v>
      </c>
      <c r="K534" s="300"/>
      <c r="L534" s="300">
        <v>7.9020000000429089</v>
      </c>
      <c r="M534" s="300">
        <v>14.46999999999718</v>
      </c>
      <c r="N534" s="300">
        <v>3.3540000000071988</v>
      </c>
      <c r="O534" s="300">
        <f>SUM(L534:N534)</f>
        <v>25.726000000047286</v>
      </c>
      <c r="P534" s="300"/>
      <c r="Q534" s="300">
        <v>7.7020000001278666</v>
      </c>
      <c r="R534" s="300">
        <v>14.52700000013084</v>
      </c>
      <c r="S534" s="300">
        <v>3.2970000000374142</v>
      </c>
      <c r="T534" s="300">
        <f>SUM(Q534:S534)</f>
        <v>25.526000000296122</v>
      </c>
      <c r="U534" s="300"/>
      <c r="V534" s="300">
        <v>7.6220000000384172</v>
      </c>
      <c r="W534" s="300">
        <v>15.032999999912267</v>
      </c>
      <c r="X534" s="300">
        <v>3.3760000000513521</v>
      </c>
      <c r="Y534" s="300">
        <f>SUM(V534:X534)</f>
        <v>26.031000000002035</v>
      </c>
    </row>
    <row r="535" spans="1:25" ht="12.45" x14ac:dyDescent="0.3">
      <c r="A535" s="260" t="s">
        <v>355</v>
      </c>
      <c r="B535" s="300">
        <v>9.9939999999715159</v>
      </c>
      <c r="C535" s="300">
        <v>7.9960000000343081</v>
      </c>
      <c r="D535" s="300">
        <v>2.4140000000776363</v>
      </c>
      <c r="E535" s="300">
        <f t="shared" ref="E535:E536" si="1407">SUM(B535:D535)</f>
        <v>20.40400000008346</v>
      </c>
      <c r="F535" s="300"/>
      <c r="G535" s="300">
        <v>10.859999999966419</v>
      </c>
      <c r="H535" s="300">
        <v>10.903000000060038</v>
      </c>
      <c r="I535" s="300">
        <v>3.9100000000022406</v>
      </c>
      <c r="J535" s="300">
        <f t="shared" ref="J535:J536" si="1408">SUM(G535:I535)</f>
        <v>25.673000000028701</v>
      </c>
      <c r="K535" s="300"/>
      <c r="L535" s="300">
        <v>13.597999999943486</v>
      </c>
      <c r="M535" s="300">
        <v>10.738000000052226</v>
      </c>
      <c r="N535" s="300">
        <v>4.8390000001226952</v>
      </c>
      <c r="O535" s="300">
        <f t="shared" ref="O535:O536" si="1409">SUM(L535:N535)</f>
        <v>29.175000000118409</v>
      </c>
      <c r="P535" s="300"/>
      <c r="Q535" s="300">
        <v>13.706999999961868</v>
      </c>
      <c r="R535" s="300">
        <v>11.180000000059627</v>
      </c>
      <c r="S535" s="300">
        <v>5.2040000003734077</v>
      </c>
      <c r="T535" s="300">
        <f t="shared" ref="T535:T536" si="1410">SUM(Q535:S535)</f>
        <v>30.091000000394903</v>
      </c>
      <c r="U535" s="300"/>
      <c r="V535" s="300">
        <v>14.45799999989854</v>
      </c>
      <c r="W535" s="300">
        <v>12.364000000101493</v>
      </c>
      <c r="X535" s="300">
        <v>6.1660000003030655</v>
      </c>
      <c r="Y535" s="300">
        <f t="shared" ref="Y535:Y536" si="1411">SUM(V535:X535)</f>
        <v>32.988000000303096</v>
      </c>
    </row>
    <row r="536" spans="1:25" ht="12.45" x14ac:dyDescent="0.3">
      <c r="A536" s="260" t="s">
        <v>354</v>
      </c>
      <c r="B536" s="300">
        <f>SUM(B534:B535)</f>
        <v>16.824999999897368</v>
      </c>
      <c r="C536" s="300">
        <f t="shared" ref="C536" si="1412">SUM(C534:C535)</f>
        <v>22.741000000167819</v>
      </c>
      <c r="D536" s="300">
        <f t="shared" ref="D536" si="1413">SUM(D534:D535)</f>
        <v>4.9230000000781171</v>
      </c>
      <c r="E536" s="300">
        <f t="shared" si="1407"/>
        <v>44.489000000143307</v>
      </c>
      <c r="F536" s="300"/>
      <c r="G536" s="300">
        <f>SUM(G534:G535)</f>
        <v>21.853999999830648</v>
      </c>
      <c r="H536" s="300">
        <f t="shared" ref="H536" si="1414">SUM(H534:H535)</f>
        <v>24.205000000186342</v>
      </c>
      <c r="I536" s="300">
        <f t="shared" ref="I536" si="1415">SUM(I534:I535)</f>
        <v>5.4700000000040196</v>
      </c>
      <c r="J536" s="300">
        <f t="shared" si="1408"/>
        <v>51.529000000021014</v>
      </c>
      <c r="K536" s="300"/>
      <c r="L536" s="300">
        <f>SUM(L534:L535)</f>
        <v>21.499999999986393</v>
      </c>
      <c r="M536" s="300">
        <f t="shared" ref="M536" si="1416">SUM(M534:M535)</f>
        <v>25.208000000049406</v>
      </c>
      <c r="N536" s="300">
        <f t="shared" ref="N536" si="1417">SUM(N534:N535)</f>
        <v>8.1930000001298939</v>
      </c>
      <c r="O536" s="300">
        <f t="shared" si="1409"/>
        <v>54.901000000165688</v>
      </c>
      <c r="P536" s="300"/>
      <c r="Q536" s="300">
        <f>SUM(Q534:Q535)</f>
        <v>21.409000000089733</v>
      </c>
      <c r="R536" s="300">
        <f t="shared" ref="R536" si="1418">SUM(R534:R535)</f>
        <v>25.707000000190469</v>
      </c>
      <c r="S536" s="300">
        <f t="shared" ref="S536" si="1419">SUM(S534:S535)</f>
        <v>8.5010000004108228</v>
      </c>
      <c r="T536" s="300">
        <f t="shared" si="1410"/>
        <v>55.617000000691021</v>
      </c>
      <c r="U536" s="300"/>
      <c r="V536" s="300">
        <f>SUM(V534:V535)</f>
        <v>22.079999999936959</v>
      </c>
      <c r="W536" s="300">
        <f t="shared" ref="W536" si="1420">SUM(W534:W535)</f>
        <v>27.397000000013762</v>
      </c>
      <c r="X536" s="300">
        <f t="shared" ref="X536" si="1421">SUM(X534:X535)</f>
        <v>9.5420000003544168</v>
      </c>
      <c r="Y536" s="300">
        <f t="shared" si="1411"/>
        <v>59.019000000305141</v>
      </c>
    </row>
    <row r="537" spans="1:25" x14ac:dyDescent="0.35">
      <c r="A537" s="261"/>
    </row>
    <row r="538" spans="1:25" x14ac:dyDescent="0.35">
      <c r="A538" s="261" t="s">
        <v>358</v>
      </c>
    </row>
    <row r="539" spans="1:25" ht="12.45" x14ac:dyDescent="0.3">
      <c r="A539" s="260" t="s">
        <v>356</v>
      </c>
      <c r="B539" s="300">
        <f>SUM(B519,B524,B529,B534)</f>
        <v>10.384999999886427</v>
      </c>
      <c r="C539" s="300">
        <f t="shared" ref="C539:D540" si="1422">SUM(C519,C524,C529,C534)</f>
        <v>20.288000000182073</v>
      </c>
      <c r="D539" s="300">
        <f t="shared" si="1422"/>
        <v>6.5699999999942928</v>
      </c>
      <c r="E539" s="300">
        <f>SUM(B539:D539)</f>
        <v>37.243000000062793</v>
      </c>
      <c r="F539" s="300"/>
      <c r="G539" s="300">
        <f>SUM(G519,G524,G529,G534)</f>
        <v>18.172999999774891</v>
      </c>
      <c r="H539" s="300">
        <f t="shared" ref="H539:I539" si="1423">SUM(H519,H524,H529,H534)</f>
        <v>19.162000000180701</v>
      </c>
      <c r="I539" s="300">
        <f t="shared" si="1423"/>
        <v>5.2379999999990501</v>
      </c>
      <c r="J539" s="300">
        <f>SUM(G539:I539)</f>
        <v>42.572999999954639</v>
      </c>
      <c r="K539" s="300"/>
      <c r="L539" s="300">
        <f>SUM(L519,L524,L529,L534)</f>
        <v>13.840000000078732</v>
      </c>
      <c r="M539" s="300">
        <f t="shared" ref="M539:N539" si="1424">SUM(M519,M524,M529,M534)</f>
        <v>20.845999999994572</v>
      </c>
      <c r="N539" s="300">
        <f t="shared" si="1424"/>
        <v>17.927000000073043</v>
      </c>
      <c r="O539" s="300">
        <f>SUM(L539:N539)</f>
        <v>52.61300000014635</v>
      </c>
      <c r="P539" s="300"/>
      <c r="Q539" s="300">
        <f>SUM(Q519,Q524,Q529,Q534)</f>
        <v>12.752000000210753</v>
      </c>
      <c r="R539" s="300">
        <f t="shared" ref="R539:S539" si="1425">SUM(R519,R524,R529,R534)</f>
        <v>20.35600000018178</v>
      </c>
      <c r="S539" s="300">
        <f t="shared" si="1425"/>
        <v>15.660000000189857</v>
      </c>
      <c r="T539" s="300">
        <f>SUM(Q539:S539)</f>
        <v>48.76800000058239</v>
      </c>
      <c r="U539" s="300"/>
      <c r="V539" s="300">
        <f>SUM(V519,V524,V529,V534)</f>
        <v>12.332000000062774</v>
      </c>
      <c r="W539" s="300">
        <f t="shared" ref="W539:X539" si="1426">SUM(W519,W524,W529,W534)</f>
        <v>20.973999999877684</v>
      </c>
      <c r="X539" s="300">
        <f t="shared" si="1426"/>
        <v>16.45200000026545</v>
      </c>
      <c r="Y539" s="300">
        <f>SUM(V539:X539)</f>
        <v>49.758000000205904</v>
      </c>
    </row>
    <row r="540" spans="1:25" ht="12.45" x14ac:dyDescent="0.3">
      <c r="A540" s="260" t="s">
        <v>355</v>
      </c>
      <c r="B540" s="300">
        <f>SUM(B520,B525,B530,B535)</f>
        <v>18.680999999944703</v>
      </c>
      <c r="C540" s="300">
        <f t="shared" si="1422"/>
        <v>10.825000000046284</v>
      </c>
      <c r="D540" s="300">
        <f t="shared" si="1422"/>
        <v>8.0120000002596345</v>
      </c>
      <c r="E540" s="300">
        <f t="shared" ref="E540:E541" si="1427">SUM(B540:D540)</f>
        <v>37.518000000250623</v>
      </c>
      <c r="F540" s="300"/>
      <c r="G540" s="300">
        <f>SUM(G520,G525,G530,G535)</f>
        <v>18.411999999940942</v>
      </c>
      <c r="H540" s="300">
        <f t="shared" ref="H540:I540" si="1428">SUM(H520,H525,H530,H535)</f>
        <v>14.682000000080691</v>
      </c>
      <c r="I540" s="300">
        <f t="shared" si="1428"/>
        <v>11.409000000004616</v>
      </c>
      <c r="J540" s="300">
        <f t="shared" ref="J540:J541" si="1429">SUM(G540:I540)</f>
        <v>44.503000000026255</v>
      </c>
      <c r="K540" s="300"/>
      <c r="L540" s="300">
        <f>SUM(L520,L525,L530,L535)</f>
        <v>21.540999999907818</v>
      </c>
      <c r="M540" s="300">
        <f t="shared" ref="M540:N540" si="1430">SUM(M520,M525,M530,M535)</f>
        <v>15.0360000000728</v>
      </c>
      <c r="N540" s="300">
        <f t="shared" si="1430"/>
        <v>13.506000000343569</v>
      </c>
      <c r="O540" s="300">
        <f t="shared" ref="O540:O541" si="1431">SUM(L540:N540)</f>
        <v>50.083000000324184</v>
      </c>
      <c r="P540" s="300"/>
      <c r="Q540" s="300">
        <f>SUM(Q520,Q525,Q530,Q535)</f>
        <v>21.022999999939508</v>
      </c>
      <c r="R540" s="300">
        <f t="shared" ref="R540:S540" si="1432">SUM(R520,R525,R530,R535)</f>
        <v>15.149000000080665</v>
      </c>
      <c r="S540" s="300">
        <f t="shared" si="1432"/>
        <v>12.352000000892609</v>
      </c>
      <c r="T540" s="300">
        <f t="shared" ref="T540:T541" si="1433">SUM(Q540:S540)</f>
        <v>48.524000000912785</v>
      </c>
      <c r="U540" s="300"/>
      <c r="V540" s="300">
        <f>SUM(V520,V525,V530,V535)</f>
        <v>21.930999999844829</v>
      </c>
      <c r="W540" s="300">
        <f t="shared" ref="W540:X540" si="1434">SUM(W520,W525,W530,W535)</f>
        <v>16.380000000134352</v>
      </c>
      <c r="X540" s="300">
        <f t="shared" si="1434"/>
        <v>12.823000000633037</v>
      </c>
      <c r="Y540" s="300">
        <f t="shared" ref="Y540:Y541" si="1435">SUM(V540:X540)</f>
        <v>51.134000000612218</v>
      </c>
    </row>
    <row r="541" spans="1:25" ht="12.45" x14ac:dyDescent="0.3">
      <c r="A541" s="264" t="s">
        <v>354</v>
      </c>
      <c r="B541" s="301">
        <f>SUM(B539:B540)</f>
        <v>29.065999999831128</v>
      </c>
      <c r="C541" s="301">
        <f t="shared" ref="C541" si="1436">SUM(C539:C540)</f>
        <v>31.113000000228357</v>
      </c>
      <c r="D541" s="301">
        <f t="shared" ref="D541" si="1437">SUM(D539:D540)</f>
        <v>14.582000000253927</v>
      </c>
      <c r="E541" s="301">
        <f t="shared" si="1427"/>
        <v>74.761000000313416</v>
      </c>
      <c r="F541" s="301"/>
      <c r="G541" s="301">
        <f>SUM(G539:G540)</f>
        <v>36.584999999715833</v>
      </c>
      <c r="H541" s="301">
        <f t="shared" ref="H541" si="1438">SUM(H539:H540)</f>
        <v>33.844000000261389</v>
      </c>
      <c r="I541" s="301">
        <f t="shared" ref="I541" si="1439">SUM(I539:I540)</f>
        <v>16.647000000003665</v>
      </c>
      <c r="J541" s="301">
        <f t="shared" si="1429"/>
        <v>87.075999999980894</v>
      </c>
      <c r="K541" s="301"/>
      <c r="L541" s="301">
        <f>SUM(L539:L540)</f>
        <v>35.38099999998655</v>
      </c>
      <c r="M541" s="301">
        <f t="shared" ref="M541" si="1440">SUM(M539:M540)</f>
        <v>35.882000000067372</v>
      </c>
      <c r="N541" s="301">
        <f t="shared" ref="N541" si="1441">SUM(N539:N540)</f>
        <v>31.433000000416612</v>
      </c>
      <c r="O541" s="301">
        <f t="shared" si="1431"/>
        <v>102.69600000047053</v>
      </c>
      <c r="P541" s="301"/>
      <c r="Q541" s="301">
        <f>SUM(Q539:Q540)</f>
        <v>33.775000000150257</v>
      </c>
      <c r="R541" s="301">
        <f t="shared" ref="R541" si="1442">SUM(R539:R540)</f>
        <v>35.505000000262442</v>
      </c>
      <c r="S541" s="301">
        <f t="shared" ref="S541" si="1443">SUM(S539:S540)</f>
        <v>28.012000001082466</v>
      </c>
      <c r="T541" s="301">
        <f t="shared" si="1433"/>
        <v>97.292000001495168</v>
      </c>
      <c r="U541" s="301"/>
      <c r="V541" s="301">
        <f>SUM(V539:V540)</f>
        <v>34.262999999907606</v>
      </c>
      <c r="W541" s="301">
        <f t="shared" ref="W541" si="1444">SUM(W539:W540)</f>
        <v>37.354000000012036</v>
      </c>
      <c r="X541" s="301">
        <f t="shared" ref="X541" si="1445">SUM(X539:X540)</f>
        <v>29.275000000898487</v>
      </c>
      <c r="Y541" s="301">
        <f t="shared" si="1435"/>
        <v>100.89200000081813</v>
      </c>
    </row>
    <row r="545" spans="1:25" ht="14.15" x14ac:dyDescent="0.35">
      <c r="A545" s="265" t="str">
        <f>"Industry 22 : "&amp; name!B25</f>
        <v>Industry 22 : Other services</v>
      </c>
      <c r="B545" s="372">
        <f>$B$5</f>
        <v>2015</v>
      </c>
      <c r="C545" s="372"/>
      <c r="D545" s="372"/>
      <c r="E545" s="372"/>
      <c r="F545" s="320"/>
      <c r="G545" s="372">
        <f>$G$5</f>
        <v>2019</v>
      </c>
      <c r="H545" s="372"/>
      <c r="I545" s="372"/>
      <c r="J545" s="372"/>
      <c r="K545" s="320"/>
      <c r="L545" s="372">
        <f>$L$5</f>
        <v>2020</v>
      </c>
      <c r="M545" s="372"/>
      <c r="N545" s="372"/>
      <c r="O545" s="372"/>
      <c r="P545" s="318"/>
      <c r="Q545" s="372">
        <f>$Q$5</f>
        <v>2025</v>
      </c>
      <c r="R545" s="372"/>
      <c r="S545" s="372"/>
      <c r="T545" s="372"/>
      <c r="U545" s="320"/>
      <c r="V545" s="372">
        <f>$V$5</f>
        <v>2035</v>
      </c>
      <c r="W545" s="372"/>
      <c r="X545" s="372"/>
      <c r="Y545" s="372"/>
    </row>
    <row r="546" spans="1:25" ht="12.45" x14ac:dyDescent="0.3">
      <c r="A546" s="264"/>
      <c r="B546" s="268" t="str">
        <f>$B$6</f>
        <v>FT</v>
      </c>
      <c r="C546" s="268" t="str">
        <f>$C$6</f>
        <v>PT</v>
      </c>
      <c r="D546" s="268" t="str">
        <f>$D$6</f>
        <v>SE</v>
      </c>
      <c r="E546" s="268" t="str">
        <f>$E$6</f>
        <v>Total</v>
      </c>
      <c r="F546" s="268"/>
      <c r="G546" s="268" t="str">
        <f>$B$6</f>
        <v>FT</v>
      </c>
      <c r="H546" s="268" t="str">
        <f>$C$6</f>
        <v>PT</v>
      </c>
      <c r="I546" s="268" t="str">
        <f>$D$6</f>
        <v>SE</v>
      </c>
      <c r="J546" s="268" t="str">
        <f>$E$6</f>
        <v>Total</v>
      </c>
      <c r="K546" s="268"/>
      <c r="L546" s="268" t="str">
        <f>$L$6</f>
        <v>FT</v>
      </c>
      <c r="M546" s="268" t="str">
        <f>$M$6</f>
        <v>PT</v>
      </c>
      <c r="N546" s="268" t="str">
        <f>$N$6</f>
        <v>SE</v>
      </c>
      <c r="O546" s="268" t="str">
        <f>$O$6</f>
        <v>Total</v>
      </c>
      <c r="P546" s="268"/>
      <c r="Q546" s="268" t="str">
        <f>$L$6</f>
        <v>FT</v>
      </c>
      <c r="R546" s="268" t="str">
        <f>$M$6</f>
        <v>PT</v>
      </c>
      <c r="S546" s="268" t="str">
        <f>$N$6</f>
        <v>SE</v>
      </c>
      <c r="T546" s="268" t="str">
        <f>$O$6</f>
        <v>Total</v>
      </c>
      <c r="U546" s="268"/>
      <c r="V546" s="268" t="str">
        <f>$V$6</f>
        <v>FT</v>
      </c>
      <c r="W546" s="268" t="str">
        <f>$W$6</f>
        <v>PT</v>
      </c>
      <c r="X546" s="268" t="str">
        <f>$X$6</f>
        <v>SE</v>
      </c>
      <c r="Y546" s="268" t="str">
        <f>$Y$6</f>
        <v>Total</v>
      </c>
    </row>
    <row r="547" spans="1:25" ht="12.45" x14ac:dyDescent="0.3">
      <c r="C547" s="319"/>
      <c r="D547" s="319"/>
      <c r="E547" s="319"/>
      <c r="F547" s="319"/>
      <c r="G547" s="319"/>
      <c r="H547" s="319"/>
      <c r="I547" s="319"/>
      <c r="J547" s="319"/>
      <c r="K547" s="319"/>
      <c r="L547" s="319"/>
      <c r="M547" s="319"/>
      <c r="N547" s="319"/>
      <c r="O547" s="319"/>
      <c r="P547" s="319"/>
      <c r="Q547" s="319"/>
      <c r="R547" s="319"/>
      <c r="S547" s="319"/>
      <c r="T547" s="319"/>
      <c r="U547" s="319"/>
      <c r="V547" s="319"/>
      <c r="W547" s="319"/>
      <c r="X547" s="319"/>
      <c r="Y547" s="319"/>
    </row>
    <row r="548" spans="1:25" ht="12.45" x14ac:dyDescent="0.3">
      <c r="A548" s="261" t="str">
        <f>name!A76</f>
        <v>Membership organisations</v>
      </c>
      <c r="C548" s="263"/>
    </row>
    <row r="549" spans="1:25" ht="12.45" x14ac:dyDescent="0.3">
      <c r="A549" s="260" t="s">
        <v>356</v>
      </c>
      <c r="B549" s="300">
        <v>7.7909999998713158</v>
      </c>
      <c r="C549" s="300">
        <v>7.9140000000096933</v>
      </c>
      <c r="D549" s="300">
        <v>7.3749999999537188</v>
      </c>
      <c r="E549" s="300">
        <f>SUM(B549:D549)</f>
        <v>23.079999999834726</v>
      </c>
      <c r="F549" s="300"/>
      <c r="G549" s="300">
        <v>7.5449999998702788</v>
      </c>
      <c r="H549" s="300">
        <v>6.5130000000142436</v>
      </c>
      <c r="I549" s="300">
        <v>5.933999999971336</v>
      </c>
      <c r="J549" s="300">
        <f>SUM(G549:I549)</f>
        <v>19.991999999855857</v>
      </c>
      <c r="K549" s="300"/>
      <c r="L549" s="300">
        <v>6.5810000000495625</v>
      </c>
      <c r="M549" s="300">
        <v>7.1050000000168856</v>
      </c>
      <c r="N549" s="300">
        <v>11.389000000122586</v>
      </c>
      <c r="O549" s="300">
        <f>SUM(L549:N549)</f>
        <v>25.075000000189036</v>
      </c>
      <c r="P549" s="300"/>
      <c r="Q549" s="300">
        <v>6.367000000127824</v>
      </c>
      <c r="R549" s="300">
        <v>6.995000000048365</v>
      </c>
      <c r="S549" s="300">
        <v>11.410000000128134</v>
      </c>
      <c r="T549" s="300">
        <f>SUM(Q549:S549)</f>
        <v>24.772000000304324</v>
      </c>
      <c r="U549" s="300"/>
      <c r="V549" s="300">
        <v>6.1630000000173055</v>
      </c>
      <c r="W549" s="300">
        <v>6.8650000000050264</v>
      </c>
      <c r="X549" s="300">
        <v>11.388000000180917</v>
      </c>
      <c r="Y549" s="300">
        <f>SUM(V549:X549)</f>
        <v>24.416000000203248</v>
      </c>
    </row>
    <row r="550" spans="1:25" ht="12.45" x14ac:dyDescent="0.3">
      <c r="A550" s="260" t="s">
        <v>355</v>
      </c>
      <c r="B550" s="300">
        <v>6.9949999998965611</v>
      </c>
      <c r="C550" s="300">
        <v>2.3579999999910646</v>
      </c>
      <c r="D550" s="300">
        <v>4.841000000096364</v>
      </c>
      <c r="E550" s="300">
        <f t="shared" ref="E550:E551" si="1446">SUM(B550:D550)</f>
        <v>14.193999999983991</v>
      </c>
      <c r="F550" s="300"/>
      <c r="G550" s="300">
        <v>4.4139999999238064</v>
      </c>
      <c r="H550" s="300">
        <v>2.0969999999913846</v>
      </c>
      <c r="I550" s="300">
        <v>2.810999999976258</v>
      </c>
      <c r="J550" s="300">
        <f t="shared" ref="J550:J551" si="1447">SUM(G550:I550)</f>
        <v>9.3219999998914496</v>
      </c>
      <c r="K550" s="300"/>
      <c r="L550" s="300">
        <v>3.5519999999222969</v>
      </c>
      <c r="M550" s="300">
        <v>1.4120000000037918</v>
      </c>
      <c r="N550" s="300">
        <v>1.1740000000081661</v>
      </c>
      <c r="O550" s="300">
        <f t="shared" ref="O550:O551" si="1448">SUM(L550:N550)</f>
        <v>6.1379999999342552</v>
      </c>
      <c r="P550" s="300"/>
      <c r="Q550" s="300">
        <v>3.663999999936419</v>
      </c>
      <c r="R550" s="300">
        <v>1.4049999999994873</v>
      </c>
      <c r="S550" s="300">
        <v>1.1950000000550045</v>
      </c>
      <c r="T550" s="300">
        <f t="shared" ref="T550:T551" si="1449">SUM(Q550:S550)</f>
        <v>6.2639999999909106</v>
      </c>
      <c r="U550" s="300"/>
      <c r="V550" s="300">
        <v>3.8929999999175058</v>
      </c>
      <c r="W550" s="300">
        <v>1.4300000000009083</v>
      </c>
      <c r="X550" s="300">
        <v>1.3090000000335997</v>
      </c>
      <c r="Y550" s="300">
        <f t="shared" ref="Y550:Y551" si="1450">SUM(V550:X550)</f>
        <v>6.6319999999520141</v>
      </c>
    </row>
    <row r="551" spans="1:25" ht="12.45" x14ac:dyDescent="0.3">
      <c r="A551" s="260" t="s">
        <v>354</v>
      </c>
      <c r="B551" s="300">
        <f>SUM(B549:B550)</f>
        <v>14.785999999767878</v>
      </c>
      <c r="C551" s="300">
        <f t="shared" ref="C551" si="1451">SUM(C549:C550)</f>
        <v>10.272000000000759</v>
      </c>
      <c r="D551" s="300">
        <f t="shared" ref="D551" si="1452">SUM(D549:D550)</f>
        <v>12.216000000050084</v>
      </c>
      <c r="E551" s="300">
        <f t="shared" si="1446"/>
        <v>37.27399999981872</v>
      </c>
      <c r="F551" s="300"/>
      <c r="G551" s="300">
        <f>SUM(G549:G550)</f>
        <v>11.958999999794084</v>
      </c>
      <c r="H551" s="300">
        <f t="shared" ref="H551" si="1453">SUM(H549:H550)</f>
        <v>8.6100000000056287</v>
      </c>
      <c r="I551" s="300">
        <f t="shared" ref="I551" si="1454">SUM(I549:I550)</f>
        <v>8.7449999999475949</v>
      </c>
      <c r="J551" s="300">
        <f t="shared" si="1447"/>
        <v>29.31399999974731</v>
      </c>
      <c r="K551" s="300"/>
      <c r="L551" s="300">
        <f>SUM(L549:L550)</f>
        <v>10.13299999997186</v>
      </c>
      <c r="M551" s="300">
        <f t="shared" ref="M551" si="1455">SUM(M549:M550)</f>
        <v>8.517000000020678</v>
      </c>
      <c r="N551" s="300">
        <f t="shared" ref="N551" si="1456">SUM(N549:N550)</f>
        <v>12.563000000130751</v>
      </c>
      <c r="O551" s="300">
        <f t="shared" si="1448"/>
        <v>31.213000000123287</v>
      </c>
      <c r="P551" s="300"/>
      <c r="Q551" s="300">
        <f>SUM(Q549:Q550)</f>
        <v>10.031000000064243</v>
      </c>
      <c r="R551" s="300">
        <f t="shared" ref="R551" si="1457">SUM(R549:R550)</f>
        <v>8.4000000000478519</v>
      </c>
      <c r="S551" s="300">
        <f t="shared" ref="S551" si="1458">SUM(S549:S550)</f>
        <v>12.605000000183139</v>
      </c>
      <c r="T551" s="300">
        <f t="shared" si="1449"/>
        <v>31.036000000295232</v>
      </c>
      <c r="U551" s="300"/>
      <c r="V551" s="300">
        <f>SUM(V549:V550)</f>
        <v>10.055999999934812</v>
      </c>
      <c r="W551" s="300">
        <f t="shared" ref="W551" si="1459">SUM(W549:W550)</f>
        <v>8.2950000000059347</v>
      </c>
      <c r="X551" s="300">
        <f t="shared" ref="X551" si="1460">SUM(X549:X550)</f>
        <v>12.697000000214516</v>
      </c>
      <c r="Y551" s="300">
        <f t="shared" si="1450"/>
        <v>31.048000000155263</v>
      </c>
    </row>
    <row r="552" spans="1:25" ht="12.45" x14ac:dyDescent="0.3">
      <c r="C552" s="319"/>
      <c r="D552" s="319"/>
      <c r="E552" s="319"/>
      <c r="F552" s="319"/>
      <c r="G552" s="319"/>
      <c r="H552" s="319"/>
      <c r="I552" s="319"/>
      <c r="J552" s="319"/>
      <c r="K552" s="319"/>
      <c r="L552" s="319"/>
      <c r="M552" s="319"/>
      <c r="N552" s="319"/>
      <c r="O552" s="319"/>
      <c r="P552" s="319"/>
      <c r="Q552" s="319"/>
      <c r="R552" s="319"/>
      <c r="S552" s="319"/>
      <c r="T552" s="319"/>
      <c r="U552" s="319"/>
      <c r="V552" s="319"/>
      <c r="W552" s="319"/>
      <c r="X552" s="319"/>
      <c r="Y552" s="319"/>
    </row>
    <row r="553" spans="1:25" ht="12.45" x14ac:dyDescent="0.3">
      <c r="A553" s="261" t="str">
        <f>name!A77</f>
        <v>Repair of goods</v>
      </c>
      <c r="C553" s="263"/>
    </row>
    <row r="554" spans="1:25" ht="12.45" x14ac:dyDescent="0.3">
      <c r="A554" s="260" t="s">
        <v>356</v>
      </c>
      <c r="B554" s="300">
        <v>1.3049999999816588</v>
      </c>
      <c r="C554" s="300">
        <v>1.9920000001003151</v>
      </c>
      <c r="D554" s="300">
        <v>2.316000000028585</v>
      </c>
      <c r="E554" s="300">
        <f>SUM(B554:D554)</f>
        <v>5.6130000001105591</v>
      </c>
      <c r="F554" s="300"/>
      <c r="G554" s="300">
        <v>1.2669999999786283</v>
      </c>
      <c r="H554" s="300">
        <v>0.53300000002285497</v>
      </c>
      <c r="I554" s="300">
        <v>1.4380000000171165</v>
      </c>
      <c r="J554" s="300">
        <f>SUM(G554:I554)</f>
        <v>3.2380000000185998</v>
      </c>
      <c r="K554" s="300"/>
      <c r="L554" s="300">
        <v>1.1049999999962701</v>
      </c>
      <c r="M554" s="300">
        <v>0.58100000001146312</v>
      </c>
      <c r="N554" s="300">
        <v>2.758999999966524</v>
      </c>
      <c r="O554" s="300">
        <f>SUM(L554:N554)</f>
        <v>4.4449999999742573</v>
      </c>
      <c r="P554" s="300"/>
      <c r="Q554" s="300">
        <v>1.0690000000290012</v>
      </c>
      <c r="R554" s="300">
        <v>0.57200000003197971</v>
      </c>
      <c r="S554" s="300">
        <v>2.7640000000002751</v>
      </c>
      <c r="T554" s="300">
        <f>SUM(Q554:S554)</f>
        <v>4.4050000000612561</v>
      </c>
      <c r="U554" s="300"/>
      <c r="V554" s="300">
        <v>1.0350000000011503</v>
      </c>
      <c r="W554" s="300">
        <v>0.56199999999349159</v>
      </c>
      <c r="X554" s="300">
        <v>2.7590000000053316</v>
      </c>
      <c r="Y554" s="300">
        <f>SUM(V554:X554)</f>
        <v>4.3559999999999732</v>
      </c>
    </row>
    <row r="555" spans="1:25" ht="12.45" x14ac:dyDescent="0.3">
      <c r="A555" s="260" t="s">
        <v>355</v>
      </c>
      <c r="B555" s="300">
        <v>6.5699999999410457</v>
      </c>
      <c r="C555" s="300">
        <v>0.76200000001156865</v>
      </c>
      <c r="D555" s="300">
        <v>3.6000000000448176</v>
      </c>
      <c r="E555" s="300">
        <f t="shared" ref="E555:E556" si="1461">SUM(B555:D555)</f>
        <v>10.931999999997432</v>
      </c>
      <c r="F555" s="300"/>
      <c r="G555" s="300">
        <v>4.1589999999581426</v>
      </c>
      <c r="H555" s="300">
        <v>0.22000000000415804</v>
      </c>
      <c r="I555" s="300">
        <v>1.6130000000015172</v>
      </c>
      <c r="J555" s="300">
        <f t="shared" ref="J555:J556" si="1462">SUM(G555:I555)</f>
        <v>5.9919999999638183</v>
      </c>
      <c r="K555" s="300"/>
      <c r="L555" s="300">
        <v>3.3469999999561471</v>
      </c>
      <c r="M555" s="300">
        <v>0.14800000000075969</v>
      </c>
      <c r="N555" s="300">
        <v>2.415000000011819</v>
      </c>
      <c r="O555" s="300">
        <f t="shared" ref="O555:O556" si="1463">SUM(L555:N555)</f>
        <v>5.9099999999687256</v>
      </c>
      <c r="P555" s="300"/>
      <c r="Q555" s="300">
        <v>3.451999999966386</v>
      </c>
      <c r="R555" s="300">
        <v>0.14800000000169741</v>
      </c>
      <c r="S555" s="300">
        <v>2.5670000000549771</v>
      </c>
      <c r="T555" s="300">
        <f t="shared" ref="T555:T556" si="1464">SUM(Q555:S555)</f>
        <v>6.1670000000230605</v>
      </c>
      <c r="U555" s="300"/>
      <c r="V555" s="300">
        <v>3.6669999999397929</v>
      </c>
      <c r="W555" s="300">
        <v>0.15000000000292035</v>
      </c>
      <c r="X555" s="300">
        <v>2.7170000000259105</v>
      </c>
      <c r="Y555" s="300">
        <f t="shared" ref="Y555:Y556" si="1465">SUM(V555:X555)</f>
        <v>6.5339999999686231</v>
      </c>
    </row>
    <row r="556" spans="1:25" ht="12.45" x14ac:dyDescent="0.3">
      <c r="A556" s="260" t="s">
        <v>354</v>
      </c>
      <c r="B556" s="300">
        <f>SUM(B554:B555)</f>
        <v>7.8749999999227045</v>
      </c>
      <c r="C556" s="300">
        <f t="shared" ref="C556" si="1466">SUM(C554:C555)</f>
        <v>2.7540000001118838</v>
      </c>
      <c r="D556" s="300">
        <f t="shared" ref="D556" si="1467">SUM(D554:D555)</f>
        <v>5.916000000073403</v>
      </c>
      <c r="E556" s="300">
        <f t="shared" si="1461"/>
        <v>16.54500000010799</v>
      </c>
      <c r="F556" s="300"/>
      <c r="G556" s="300">
        <f>SUM(G554:G555)</f>
        <v>5.4259999999367707</v>
      </c>
      <c r="H556" s="300">
        <f t="shared" ref="H556" si="1468">SUM(H554:H555)</f>
        <v>0.75300000002701295</v>
      </c>
      <c r="I556" s="300">
        <f t="shared" ref="I556" si="1469">SUM(I554:I555)</f>
        <v>3.0510000000186337</v>
      </c>
      <c r="J556" s="300">
        <f t="shared" si="1462"/>
        <v>9.229999999982418</v>
      </c>
      <c r="K556" s="300"/>
      <c r="L556" s="300">
        <f>SUM(L554:L555)</f>
        <v>4.4519999999524167</v>
      </c>
      <c r="M556" s="300">
        <f t="shared" ref="M556" si="1470">SUM(M554:M555)</f>
        <v>0.72900000001222276</v>
      </c>
      <c r="N556" s="300">
        <f t="shared" ref="N556" si="1471">SUM(N554:N555)</f>
        <v>5.173999999978343</v>
      </c>
      <c r="O556" s="300">
        <f t="shared" si="1463"/>
        <v>10.354999999942983</v>
      </c>
      <c r="P556" s="300"/>
      <c r="Q556" s="300">
        <f>SUM(Q554:Q555)</f>
        <v>4.5209999999953876</v>
      </c>
      <c r="R556" s="300">
        <f t="shared" ref="R556" si="1472">SUM(R554:R555)</f>
        <v>0.72000000003367715</v>
      </c>
      <c r="S556" s="300">
        <f t="shared" ref="S556" si="1473">SUM(S554:S555)</f>
        <v>5.3310000000552522</v>
      </c>
      <c r="T556" s="300">
        <f t="shared" si="1464"/>
        <v>10.572000000084316</v>
      </c>
      <c r="U556" s="300"/>
      <c r="V556" s="300">
        <f>SUM(V554:V555)</f>
        <v>4.7019999999409432</v>
      </c>
      <c r="W556" s="300">
        <f t="shared" ref="W556" si="1474">SUM(W554:W555)</f>
        <v>0.71199999999641195</v>
      </c>
      <c r="X556" s="300">
        <f t="shared" ref="X556" si="1475">SUM(X554:X555)</f>
        <v>5.4760000000312417</v>
      </c>
      <c r="Y556" s="300">
        <f t="shared" si="1465"/>
        <v>10.889999999968596</v>
      </c>
    </row>
    <row r="557" spans="1:25" ht="12.45" x14ac:dyDescent="0.3">
      <c r="C557" s="319"/>
      <c r="D557" s="319"/>
      <c r="E557" s="319"/>
      <c r="F557" s="319"/>
      <c r="G557" s="319"/>
      <c r="H557" s="319"/>
      <c r="I557" s="319"/>
      <c r="J557" s="319"/>
      <c r="K557" s="319"/>
      <c r="L557" s="319"/>
      <c r="M557" s="319"/>
      <c r="N557" s="319"/>
      <c r="O557" s="319"/>
      <c r="P557" s="319"/>
      <c r="Q557" s="319"/>
      <c r="R557" s="319"/>
      <c r="S557" s="319"/>
      <c r="T557" s="319"/>
      <c r="U557" s="319"/>
      <c r="V557" s="319"/>
      <c r="W557" s="319"/>
      <c r="X557" s="319"/>
      <c r="Y557" s="319"/>
    </row>
    <row r="558" spans="1:25" ht="12.45" x14ac:dyDescent="0.3">
      <c r="A558" s="261" t="str">
        <f>name!A78</f>
        <v>Other personal service</v>
      </c>
      <c r="C558" s="263"/>
    </row>
    <row r="559" spans="1:25" ht="12.45" x14ac:dyDescent="0.3">
      <c r="A559" s="260" t="s">
        <v>356</v>
      </c>
      <c r="B559" s="300">
        <v>7.0799999999960619</v>
      </c>
      <c r="C559" s="300">
        <v>9.2940000001570642</v>
      </c>
      <c r="D559" s="300">
        <v>10.438000000254879</v>
      </c>
      <c r="E559" s="300">
        <f>SUM(B559:D559)</f>
        <v>26.812000000408005</v>
      </c>
      <c r="F559" s="300"/>
      <c r="G559" s="300">
        <v>10.577999999962762</v>
      </c>
      <c r="H559" s="300">
        <v>8.5490000001362425</v>
      </c>
      <c r="I559" s="300">
        <v>11.962000000320899</v>
      </c>
      <c r="J559" s="300">
        <f>SUM(G559:I559)</f>
        <v>31.089000000419901</v>
      </c>
      <c r="K559" s="300"/>
      <c r="L559" s="300">
        <v>9.2259999998704814</v>
      </c>
      <c r="M559" s="300">
        <v>9.3250000000132083</v>
      </c>
      <c r="N559" s="300">
        <v>22.955999999373791</v>
      </c>
      <c r="O559" s="300">
        <f>SUM(L559:N559)</f>
        <v>41.506999999257481</v>
      </c>
      <c r="P559" s="300"/>
      <c r="Q559" s="300">
        <v>8.9260000001198456</v>
      </c>
      <c r="R559" s="300">
        <v>9.1810000001407133</v>
      </c>
      <c r="S559" s="300">
        <v>22.997999999923913</v>
      </c>
      <c r="T559" s="300">
        <f>SUM(Q559:S559)</f>
        <v>41.105000000184475</v>
      </c>
      <c r="U559" s="300"/>
      <c r="V559" s="300">
        <v>8.6399999999480563</v>
      </c>
      <c r="W559" s="300">
        <v>9.0109999999584609</v>
      </c>
      <c r="X559" s="300">
        <v>22.954000000079244</v>
      </c>
      <c r="Y559" s="300">
        <f>SUM(V559:X559)</f>
        <v>40.604999999985765</v>
      </c>
    </row>
    <row r="560" spans="1:25" ht="12.45" x14ac:dyDescent="0.3">
      <c r="A560" s="260" t="s">
        <v>355</v>
      </c>
      <c r="B560" s="300">
        <v>10.258999999992975</v>
      </c>
      <c r="C560" s="300">
        <v>3.3980000000147284</v>
      </c>
      <c r="D560" s="300">
        <v>5.3840000001396637</v>
      </c>
      <c r="E560" s="300">
        <f t="shared" ref="E560:E561" si="1476">SUM(B560:D560)</f>
        <v>19.041000000147367</v>
      </c>
      <c r="F560" s="300"/>
      <c r="G560" s="300">
        <v>9.9869999999929586</v>
      </c>
      <c r="H560" s="300">
        <v>3.3790000000163563</v>
      </c>
      <c r="I560" s="300">
        <v>4.453000000037429</v>
      </c>
      <c r="J560" s="300">
        <f t="shared" ref="J560:J561" si="1477">SUM(G560:I560)</f>
        <v>17.819000000046742</v>
      </c>
      <c r="K560" s="300"/>
      <c r="L560" s="300">
        <v>8.0379999999893084</v>
      </c>
      <c r="M560" s="300">
        <v>2.2750000000105453</v>
      </c>
      <c r="N560" s="300">
        <v>3.687000000085686</v>
      </c>
      <c r="O560" s="300">
        <f t="shared" ref="O560:O561" si="1478">SUM(L560:N560)</f>
        <v>14.000000000085539</v>
      </c>
      <c r="P560" s="300"/>
      <c r="Q560" s="300">
        <v>8.2899999999943237</v>
      </c>
      <c r="R560" s="300">
        <v>2.2640000000077851</v>
      </c>
      <c r="S560" s="300">
        <v>3.7340000001809002</v>
      </c>
      <c r="T560" s="300">
        <f t="shared" ref="T560:T561" si="1479">SUM(Q560:S560)</f>
        <v>14.288000000183009</v>
      </c>
      <c r="U560" s="300"/>
      <c r="V560" s="300">
        <v>8.8079999999933349</v>
      </c>
      <c r="W560" s="300">
        <v>2.3030000000109001</v>
      </c>
      <c r="X560" s="300">
        <v>3.9040000001444488</v>
      </c>
      <c r="Y560" s="300">
        <f t="shared" ref="Y560:Y561" si="1480">SUM(V560:X560)</f>
        <v>15.015000000148685</v>
      </c>
    </row>
    <row r="561" spans="1:25" ht="12.45" x14ac:dyDescent="0.3">
      <c r="A561" s="260" t="s">
        <v>354</v>
      </c>
      <c r="B561" s="300">
        <f>SUM(B559:B560)</f>
        <v>17.338999999989035</v>
      </c>
      <c r="C561" s="300">
        <f t="shared" ref="C561" si="1481">SUM(C559:C560)</f>
        <v>12.692000000171792</v>
      </c>
      <c r="D561" s="300">
        <f t="shared" ref="D561" si="1482">SUM(D559:D560)</f>
        <v>15.822000000394542</v>
      </c>
      <c r="E561" s="300">
        <f t="shared" si="1476"/>
        <v>45.853000000555369</v>
      </c>
      <c r="F561" s="300"/>
      <c r="G561" s="300">
        <f>SUM(G559:G560)</f>
        <v>20.56499999995572</v>
      </c>
      <c r="H561" s="300">
        <f t="shared" ref="H561" si="1483">SUM(H559:H560)</f>
        <v>11.928000000152599</v>
      </c>
      <c r="I561" s="300">
        <f t="shared" ref="I561" si="1484">SUM(I559:I560)</f>
        <v>16.415000000358326</v>
      </c>
      <c r="J561" s="300">
        <f t="shared" si="1477"/>
        <v>48.908000000466643</v>
      </c>
      <c r="K561" s="300"/>
      <c r="L561" s="300">
        <f>SUM(L559:L560)</f>
        <v>17.263999999859792</v>
      </c>
      <c r="M561" s="300">
        <f t="shared" ref="M561" si="1485">SUM(M559:M560)</f>
        <v>11.600000000023753</v>
      </c>
      <c r="N561" s="300">
        <f t="shared" ref="N561" si="1486">SUM(N559:N560)</f>
        <v>26.642999999459477</v>
      </c>
      <c r="O561" s="300">
        <f t="shared" si="1478"/>
        <v>55.506999999343023</v>
      </c>
      <c r="P561" s="300"/>
      <c r="Q561" s="300">
        <f>SUM(Q559:Q560)</f>
        <v>17.216000000114171</v>
      </c>
      <c r="R561" s="300">
        <f t="shared" ref="R561" si="1487">SUM(R559:R560)</f>
        <v>11.445000000148498</v>
      </c>
      <c r="S561" s="300">
        <f t="shared" ref="S561" si="1488">SUM(S559:S560)</f>
        <v>26.732000000104811</v>
      </c>
      <c r="T561" s="300">
        <f t="shared" si="1479"/>
        <v>55.393000000367479</v>
      </c>
      <c r="U561" s="300"/>
      <c r="V561" s="300">
        <f>SUM(V559:V560)</f>
        <v>17.447999999941391</v>
      </c>
      <c r="W561" s="300">
        <f t="shared" ref="W561" si="1489">SUM(W559:W560)</f>
        <v>11.313999999969361</v>
      </c>
      <c r="X561" s="300">
        <f t="shared" ref="X561" si="1490">SUM(X559:X560)</f>
        <v>26.858000000223694</v>
      </c>
      <c r="Y561" s="300">
        <f t="shared" si="1480"/>
        <v>55.620000000134446</v>
      </c>
    </row>
    <row r="562" spans="1:25" ht="12.45" x14ac:dyDescent="0.3">
      <c r="A562" s="261"/>
      <c r="C562" s="263"/>
    </row>
    <row r="563" spans="1:25" ht="12.45" x14ac:dyDescent="0.3">
      <c r="A563" s="261" t="s">
        <v>357</v>
      </c>
      <c r="C563" s="263"/>
    </row>
    <row r="564" spans="1:25" ht="12.45" x14ac:dyDescent="0.3">
      <c r="A564" s="260" t="s">
        <v>356</v>
      </c>
      <c r="B564" s="300">
        <f>SUM(B549,B554,B559)</f>
        <v>16.175999999849036</v>
      </c>
      <c r="C564" s="300">
        <f t="shared" ref="C564:D564" si="1491">SUM(C549,C554,C559)</f>
        <v>19.200000000267075</v>
      </c>
      <c r="D564" s="300">
        <f t="shared" si="1491"/>
        <v>20.129000000237184</v>
      </c>
      <c r="E564" s="300">
        <f>SUM(B564:D564)</f>
        <v>55.505000000353292</v>
      </c>
      <c r="F564" s="300"/>
      <c r="G564" s="300">
        <f>SUM(G549,G554,G559)</f>
        <v>19.389999999811671</v>
      </c>
      <c r="H564" s="300">
        <f t="shared" ref="H564:I564" si="1492">SUM(H549,H554,H559)</f>
        <v>15.595000000173341</v>
      </c>
      <c r="I564" s="300">
        <f t="shared" si="1492"/>
        <v>19.334000000309352</v>
      </c>
      <c r="J564" s="300">
        <f>SUM(G564:I564)</f>
        <v>54.319000000294366</v>
      </c>
      <c r="K564" s="300"/>
      <c r="L564" s="300">
        <f>SUM(L549,L554,L559)</f>
        <v>16.911999999916315</v>
      </c>
      <c r="M564" s="300">
        <f t="shared" ref="M564" si="1493">SUM(M549,M554,M559)</f>
        <v>17.011000000041555</v>
      </c>
      <c r="N564" s="300">
        <f>SUM(N549,N554,N559)</f>
        <v>37.1039999994629</v>
      </c>
      <c r="O564" s="300">
        <f>SUM(L564:N564)</f>
        <v>71.026999999420767</v>
      </c>
      <c r="P564" s="300"/>
      <c r="Q564" s="300">
        <f>SUM(Q549,Q554,Q559)</f>
        <v>16.362000000276673</v>
      </c>
      <c r="R564" s="300">
        <f t="shared" ref="R564:S564" si="1494">SUM(R549,R554,R559)</f>
        <v>16.748000000221058</v>
      </c>
      <c r="S564" s="300">
        <f t="shared" si="1494"/>
        <v>37.172000000052321</v>
      </c>
      <c r="T564" s="300">
        <f>SUM(Q564:S564)</f>
        <v>70.282000000550056</v>
      </c>
      <c r="U564" s="300"/>
      <c r="V564" s="300">
        <f>SUM(V549,V554,V559)</f>
        <v>15.837999999966513</v>
      </c>
      <c r="W564" s="300">
        <f t="shared" ref="W564:X564" si="1495">SUM(W549,W554,W559)</f>
        <v>16.437999999956979</v>
      </c>
      <c r="X564" s="300">
        <f t="shared" si="1495"/>
        <v>37.101000000265493</v>
      </c>
      <c r="Y564" s="300">
        <f>SUM(V564:X564)</f>
        <v>69.377000000188985</v>
      </c>
    </row>
    <row r="565" spans="1:25" ht="12.45" x14ac:dyDescent="0.3">
      <c r="A565" s="260" t="s">
        <v>355</v>
      </c>
      <c r="B565" s="300">
        <f>SUM(B550,B555,B560)</f>
        <v>23.823999999830583</v>
      </c>
      <c r="C565" s="300">
        <f t="shared" ref="C565:D565" si="1496">SUM(C550,C555,C560)</f>
        <v>6.518000000017361</v>
      </c>
      <c r="D565" s="300">
        <f t="shared" si="1496"/>
        <v>13.825000000280845</v>
      </c>
      <c r="E565" s="300">
        <f t="shared" ref="E565:E566" si="1497">SUM(B565:D565)</f>
        <v>44.167000000128787</v>
      </c>
      <c r="F565" s="300"/>
      <c r="G565" s="300">
        <f>SUM(G550,G555,G560)</f>
        <v>18.559999999874908</v>
      </c>
      <c r="H565" s="300">
        <f t="shared" ref="H565:I565" si="1498">SUM(H550,H555,H560)</f>
        <v>5.6960000000118995</v>
      </c>
      <c r="I565" s="300">
        <f t="shared" si="1498"/>
        <v>8.8770000000152045</v>
      </c>
      <c r="J565" s="300">
        <f t="shared" ref="J565:J566" si="1499">SUM(G565:I565)</f>
        <v>33.132999999902012</v>
      </c>
      <c r="K565" s="300"/>
      <c r="L565" s="300">
        <f>SUM(L550,L555,L560)</f>
        <v>14.936999999867751</v>
      </c>
      <c r="M565" s="300">
        <f t="shared" ref="M565:N565" si="1500">SUM(M550,M555,M560)</f>
        <v>3.8350000000150968</v>
      </c>
      <c r="N565" s="300">
        <f t="shared" si="1500"/>
        <v>7.2760000001056717</v>
      </c>
      <c r="O565" s="300">
        <f t="shared" ref="O565:O566" si="1501">SUM(L565:N565)</f>
        <v>26.047999999988519</v>
      </c>
      <c r="P565" s="300"/>
      <c r="Q565" s="300">
        <f>SUM(Q550,Q555,Q560)</f>
        <v>15.405999999897128</v>
      </c>
      <c r="R565" s="300">
        <f t="shared" ref="R565:S565" si="1502">SUM(R550,R555,R560)</f>
        <v>3.8170000000089699</v>
      </c>
      <c r="S565" s="300">
        <f t="shared" si="1502"/>
        <v>7.4960000002908824</v>
      </c>
      <c r="T565" s="300">
        <f t="shared" ref="T565:T566" si="1503">SUM(Q565:S565)</f>
        <v>26.719000000196978</v>
      </c>
      <c r="U565" s="300"/>
      <c r="V565" s="300">
        <f>SUM(V550,V555,V560)</f>
        <v>16.367999999850632</v>
      </c>
      <c r="W565" s="300">
        <f t="shared" ref="W565:X565" si="1504">SUM(W550,W555,W560)</f>
        <v>3.8830000000147287</v>
      </c>
      <c r="X565" s="300">
        <f t="shared" si="1504"/>
        <v>7.9300000002039592</v>
      </c>
      <c r="Y565" s="300">
        <f t="shared" ref="Y565:Y566" si="1505">SUM(V565:X565)</f>
        <v>28.181000000069318</v>
      </c>
    </row>
    <row r="566" spans="1:25" ht="12.45" x14ac:dyDescent="0.3">
      <c r="A566" s="264" t="s">
        <v>354</v>
      </c>
      <c r="B566" s="301">
        <f>SUM(B564:B565)</f>
        <v>39.999999999679616</v>
      </c>
      <c r="C566" s="301">
        <f t="shared" ref="C566" si="1506">SUM(C564:C565)</f>
        <v>25.718000000284434</v>
      </c>
      <c r="D566" s="301">
        <f t="shared" ref="D566" si="1507">SUM(D564:D565)</f>
        <v>33.954000000518029</v>
      </c>
      <c r="E566" s="301">
        <f t="shared" si="1497"/>
        <v>99.672000000482086</v>
      </c>
      <c r="F566" s="301"/>
      <c r="G566" s="301">
        <f>SUM(G564:G565)</f>
        <v>37.949999999686582</v>
      </c>
      <c r="H566" s="301">
        <f t="shared" ref="H566" si="1508">SUM(H564:H565)</f>
        <v>21.291000000185242</v>
      </c>
      <c r="I566" s="301">
        <f t="shared" ref="I566" si="1509">SUM(I564:I565)</f>
        <v>28.211000000324557</v>
      </c>
      <c r="J566" s="301">
        <f t="shared" si="1499"/>
        <v>87.452000000196378</v>
      </c>
      <c r="K566" s="301"/>
      <c r="L566" s="301">
        <f>SUM(L564:L565)</f>
        <v>31.848999999784066</v>
      </c>
      <c r="M566" s="301">
        <f t="shared" ref="M566" si="1510">SUM(M564:M565)</f>
        <v>20.846000000056652</v>
      </c>
      <c r="N566" s="301">
        <f t="shared" ref="N566" si="1511">SUM(N564:N565)</f>
        <v>44.379999999568568</v>
      </c>
      <c r="O566" s="301">
        <f t="shared" si="1501"/>
        <v>97.074999999409286</v>
      </c>
      <c r="P566" s="301"/>
      <c r="Q566" s="301">
        <f>SUM(Q564:Q565)</f>
        <v>31.768000000173799</v>
      </c>
      <c r="R566" s="301">
        <f t="shared" ref="R566" si="1512">SUM(R564:R565)</f>
        <v>20.565000000230029</v>
      </c>
      <c r="S566" s="301">
        <f t="shared" ref="S566" si="1513">SUM(S564:S565)</f>
        <v>44.668000000343206</v>
      </c>
      <c r="T566" s="301">
        <f t="shared" si="1503"/>
        <v>97.001000000747041</v>
      </c>
      <c r="U566" s="301"/>
      <c r="V566" s="301">
        <f>SUM(V564:V565)</f>
        <v>32.205999999817145</v>
      </c>
      <c r="W566" s="301">
        <f t="shared" ref="W566" si="1514">SUM(W564:W565)</f>
        <v>20.320999999971708</v>
      </c>
      <c r="X566" s="301">
        <f t="shared" ref="X566" si="1515">SUM(X564:X565)</f>
        <v>45.031000000469454</v>
      </c>
      <c r="Y566" s="301">
        <f t="shared" si="1505"/>
        <v>97.558000000258318</v>
      </c>
    </row>
    <row r="578" spans="1:3" x14ac:dyDescent="0.35">
      <c r="A578" s="261"/>
    </row>
    <row r="579" spans="1:3" ht="12.45" x14ac:dyDescent="0.3">
      <c r="C579" s="263"/>
    </row>
    <row r="580" spans="1:3" ht="12.45" x14ac:dyDescent="0.3">
      <c r="C580" s="263"/>
    </row>
    <row r="581" spans="1:3" ht="12.45" x14ac:dyDescent="0.3">
      <c r="C581" s="263"/>
    </row>
    <row r="582" spans="1:3" ht="12.45" x14ac:dyDescent="0.3">
      <c r="C582" s="263"/>
    </row>
    <row r="587" spans="1:3" ht="12.45" x14ac:dyDescent="0.3">
      <c r="C587" s="263"/>
    </row>
    <row r="588" spans="1:3" x14ac:dyDescent="0.35">
      <c r="A588" s="262"/>
    </row>
    <row r="589" spans="1:3" x14ac:dyDescent="0.35">
      <c r="A589" s="261"/>
    </row>
    <row r="592" spans="1:3" ht="12.45" x14ac:dyDescent="0.3">
      <c r="C592" s="263"/>
    </row>
    <row r="593" spans="1:3" x14ac:dyDescent="0.35">
      <c r="A593" s="261"/>
    </row>
    <row r="594" spans="1:3" ht="12.45" x14ac:dyDescent="0.3">
      <c r="C594" s="263"/>
    </row>
    <row r="595" spans="1:3" ht="12.45" x14ac:dyDescent="0.3">
      <c r="C595" s="263"/>
    </row>
    <row r="596" spans="1:3" ht="12.45" x14ac:dyDescent="0.3">
      <c r="C596" s="263"/>
    </row>
    <row r="598" spans="1:3" x14ac:dyDescent="0.35">
      <c r="A598" s="261"/>
    </row>
    <row r="599" spans="1:3" ht="12.45" x14ac:dyDescent="0.3">
      <c r="C599" s="263"/>
    </row>
    <row r="600" spans="1:3" ht="12.45" x14ac:dyDescent="0.3">
      <c r="C600" s="263"/>
    </row>
    <row r="601" spans="1:3" ht="12.45" x14ac:dyDescent="0.3">
      <c r="C601" s="263"/>
    </row>
    <row r="602" spans="1:3" ht="12.45" x14ac:dyDescent="0.3">
      <c r="C602" s="263"/>
    </row>
    <row r="603" spans="1:3" ht="12.45" x14ac:dyDescent="0.3">
      <c r="C603" s="263"/>
    </row>
    <row r="604" spans="1:3" ht="12.45" x14ac:dyDescent="0.3">
      <c r="C604" s="263"/>
    </row>
    <row r="605" spans="1:3" ht="12.45" x14ac:dyDescent="0.3">
      <c r="C605" s="263"/>
    </row>
    <row r="606" spans="1:3" ht="12.45" x14ac:dyDescent="0.3">
      <c r="C606" s="263"/>
    </row>
    <row r="607" spans="1:3" x14ac:dyDescent="0.35">
      <c r="A607" s="261"/>
    </row>
    <row r="608" spans="1:3" ht="12.45" x14ac:dyDescent="0.3">
      <c r="C608" s="263"/>
    </row>
    <row r="609" spans="1:3" ht="12.45" x14ac:dyDescent="0.3">
      <c r="C609" s="263"/>
    </row>
    <row r="610" spans="1:3" x14ac:dyDescent="0.35">
      <c r="A610" s="261"/>
    </row>
    <row r="611" spans="1:3" ht="12.45" x14ac:dyDescent="0.3">
      <c r="C611" s="263"/>
    </row>
    <row r="612" spans="1:3" ht="12.45" x14ac:dyDescent="0.3">
      <c r="C612" s="263"/>
    </row>
    <row r="613" spans="1:3" ht="12.45" x14ac:dyDescent="0.3">
      <c r="C613" s="263"/>
    </row>
    <row r="638" spans="1:3" x14ac:dyDescent="0.35">
      <c r="A638" s="261"/>
    </row>
    <row r="639" spans="1:3" ht="12.45" x14ac:dyDescent="0.3">
      <c r="C639" s="263"/>
    </row>
    <row r="640" spans="1:3" ht="12.45" x14ac:dyDescent="0.3">
      <c r="C640" s="263"/>
    </row>
    <row r="641" spans="1:3" ht="12.45" x14ac:dyDescent="0.3">
      <c r="C641" s="263"/>
    </row>
    <row r="643" spans="1:3" x14ac:dyDescent="0.35">
      <c r="A643" s="261"/>
    </row>
    <row r="644" spans="1:3" ht="12.45" x14ac:dyDescent="0.3">
      <c r="C644" s="263"/>
    </row>
    <row r="645" spans="1:3" ht="12.45" x14ac:dyDescent="0.3">
      <c r="C645" s="263"/>
    </row>
    <row r="646" spans="1:3" ht="12.45" x14ac:dyDescent="0.3">
      <c r="C646" s="263"/>
    </row>
    <row r="647" spans="1:3" ht="12.45" x14ac:dyDescent="0.3">
      <c r="C647" s="263"/>
    </row>
    <row r="648" spans="1:3" x14ac:dyDescent="0.35">
      <c r="A648" s="261"/>
    </row>
    <row r="649" spans="1:3" ht="12.45" x14ac:dyDescent="0.3">
      <c r="C649" s="263"/>
    </row>
    <row r="650" spans="1:3" ht="12.45" x14ac:dyDescent="0.3">
      <c r="C650" s="263"/>
    </row>
    <row r="651" spans="1:3" ht="12.45" x14ac:dyDescent="0.3">
      <c r="C651" s="263"/>
    </row>
    <row r="652" spans="1:3" x14ac:dyDescent="0.35">
      <c r="A652" s="262"/>
    </row>
    <row r="653" spans="1:3" x14ac:dyDescent="0.35">
      <c r="A653" s="261"/>
    </row>
    <row r="654" spans="1:3" ht="12.45" x14ac:dyDescent="0.3">
      <c r="C654" s="263"/>
    </row>
    <row r="655" spans="1:3" ht="12.45" x14ac:dyDescent="0.3">
      <c r="C655" s="263"/>
    </row>
    <row r="656" spans="1:3" ht="12.45" x14ac:dyDescent="0.3">
      <c r="C656" s="263"/>
    </row>
    <row r="658" spans="1:3" x14ac:dyDescent="0.35">
      <c r="A658" s="261"/>
    </row>
    <row r="659" spans="1:3" ht="12.45" x14ac:dyDescent="0.3">
      <c r="C659" s="263"/>
    </row>
    <row r="660" spans="1:3" ht="12.45" x14ac:dyDescent="0.3">
      <c r="C660" s="263"/>
    </row>
    <row r="661" spans="1:3" ht="12.45" x14ac:dyDescent="0.3">
      <c r="C661" s="263"/>
    </row>
    <row r="662" spans="1:3" ht="12.45" x14ac:dyDescent="0.3">
      <c r="C662" s="263"/>
    </row>
    <row r="663" spans="1:3" x14ac:dyDescent="0.35">
      <c r="A663" s="261"/>
    </row>
    <row r="664" spans="1:3" ht="12.45" x14ac:dyDescent="0.3">
      <c r="C664" s="263"/>
    </row>
    <row r="665" spans="1:3" ht="12.45" x14ac:dyDescent="0.3">
      <c r="C665" s="263"/>
    </row>
    <row r="666" spans="1:3" x14ac:dyDescent="0.35">
      <c r="A666" s="261"/>
    </row>
    <row r="667" spans="1:3" ht="12.45" x14ac:dyDescent="0.3">
      <c r="C667" s="263"/>
    </row>
    <row r="668" spans="1:3" ht="12.45" x14ac:dyDescent="0.3">
      <c r="C668" s="263"/>
    </row>
    <row r="669" spans="1:3" ht="12.45" x14ac:dyDescent="0.3">
      <c r="C669" s="263"/>
    </row>
    <row r="670" spans="1:3" ht="12.45" x14ac:dyDescent="0.3">
      <c r="C670" s="263"/>
    </row>
    <row r="671" spans="1:3" ht="12.45" x14ac:dyDescent="0.3">
      <c r="C671" s="263"/>
    </row>
    <row r="672" spans="1:3" ht="12.45" x14ac:dyDescent="0.3">
      <c r="C672" s="263"/>
    </row>
    <row r="673" spans="1:3" ht="12.45" x14ac:dyDescent="0.3">
      <c r="A673" s="261"/>
      <c r="C673" s="263"/>
    </row>
    <row r="674" spans="1:3" ht="12.45" x14ac:dyDescent="0.3">
      <c r="C674" s="263"/>
    </row>
    <row r="675" spans="1:3" ht="12.45" x14ac:dyDescent="0.3">
      <c r="C675" s="263"/>
    </row>
    <row r="676" spans="1:3" ht="12.45" x14ac:dyDescent="0.3">
      <c r="C676" s="263"/>
    </row>
    <row r="677" spans="1:3" x14ac:dyDescent="0.35">
      <c r="A677" s="262"/>
    </row>
    <row r="678" spans="1:3" x14ac:dyDescent="0.35">
      <c r="A678" s="261"/>
    </row>
    <row r="679" spans="1:3" ht="12.45" x14ac:dyDescent="0.3">
      <c r="C679" s="263"/>
    </row>
    <row r="680" spans="1:3" ht="12.45" x14ac:dyDescent="0.3">
      <c r="C680" s="263"/>
    </row>
    <row r="681" spans="1:3" ht="12.45" x14ac:dyDescent="0.3">
      <c r="C681" s="263"/>
    </row>
    <row r="683" spans="1:3" x14ac:dyDescent="0.35">
      <c r="A683" s="261"/>
    </row>
    <row r="684" spans="1:3" ht="12.45" x14ac:dyDescent="0.3">
      <c r="C684" s="263"/>
    </row>
    <row r="685" spans="1:3" ht="12.45" x14ac:dyDescent="0.3">
      <c r="C685" s="263"/>
    </row>
    <row r="686" spans="1:3" ht="12.45" x14ac:dyDescent="0.3">
      <c r="C686" s="263"/>
    </row>
    <row r="687" spans="1:3" x14ac:dyDescent="0.35">
      <c r="A687" s="262"/>
    </row>
    <row r="688" spans="1:3" x14ac:dyDescent="0.35">
      <c r="A688" s="261"/>
    </row>
    <row r="689" spans="1:3" ht="12.45" x14ac:dyDescent="0.3">
      <c r="C689" s="263"/>
    </row>
    <row r="690" spans="1:3" ht="12.45" x14ac:dyDescent="0.3">
      <c r="C690" s="263"/>
    </row>
    <row r="691" spans="1:3" ht="12.45" x14ac:dyDescent="0.3">
      <c r="C691" s="263"/>
    </row>
    <row r="693" spans="1:3" x14ac:dyDescent="0.35">
      <c r="A693" s="261"/>
    </row>
    <row r="694" spans="1:3" x14ac:dyDescent="0.35">
      <c r="A694" s="261"/>
    </row>
    <row r="695" spans="1:3" ht="12.45" x14ac:dyDescent="0.3">
      <c r="C695" s="263"/>
    </row>
    <row r="696" spans="1:3" ht="12.45" x14ac:dyDescent="0.3">
      <c r="C696" s="263"/>
    </row>
    <row r="697" spans="1:3" ht="12.45" x14ac:dyDescent="0.3">
      <c r="C697" s="263"/>
    </row>
    <row r="699" spans="1:3" x14ac:dyDescent="0.35">
      <c r="A699" s="261"/>
    </row>
    <row r="700" spans="1:3" ht="12.45" x14ac:dyDescent="0.3">
      <c r="C700" s="263"/>
    </row>
    <row r="701" spans="1:3" ht="12.45" x14ac:dyDescent="0.3">
      <c r="C701" s="263"/>
    </row>
    <row r="702" spans="1:3" ht="12.45" x14ac:dyDescent="0.3">
      <c r="C702" s="263"/>
    </row>
    <row r="703" spans="1:3" ht="12.45" x14ac:dyDescent="0.3">
      <c r="C703" s="263"/>
    </row>
    <row r="704" spans="1:3" x14ac:dyDescent="0.35">
      <c r="A704" s="261"/>
    </row>
    <row r="705" spans="1:3" ht="12.45" x14ac:dyDescent="0.3">
      <c r="C705" s="263"/>
    </row>
    <row r="706" spans="1:3" ht="12.45" x14ac:dyDescent="0.3">
      <c r="C706" s="263"/>
    </row>
    <row r="707" spans="1:3" ht="12.45" x14ac:dyDescent="0.3">
      <c r="C707" s="263"/>
    </row>
    <row r="708" spans="1:3" x14ac:dyDescent="0.35">
      <c r="A708" s="262"/>
    </row>
    <row r="709" spans="1:3" x14ac:dyDescent="0.35">
      <c r="A709" s="261"/>
    </row>
    <row r="710" spans="1:3" ht="12.45" x14ac:dyDescent="0.3">
      <c r="C710" s="263"/>
    </row>
    <row r="711" spans="1:3" ht="12.45" x14ac:dyDescent="0.3">
      <c r="C711" s="263"/>
    </row>
    <row r="712" spans="1:3" ht="12.45" x14ac:dyDescent="0.3">
      <c r="C712" s="263"/>
    </row>
    <row r="714" spans="1:3" x14ac:dyDescent="0.35">
      <c r="A714" s="261"/>
    </row>
    <row r="715" spans="1:3" ht="12.45" x14ac:dyDescent="0.3">
      <c r="C715" s="263"/>
    </row>
    <row r="716" spans="1:3" ht="12.45" x14ac:dyDescent="0.3">
      <c r="C716" s="263"/>
    </row>
    <row r="717" spans="1:3" ht="12.45" x14ac:dyDescent="0.3">
      <c r="C717" s="263"/>
    </row>
    <row r="718" spans="1:3" ht="12.45" x14ac:dyDescent="0.3">
      <c r="C718" s="263"/>
    </row>
    <row r="719" spans="1:3" x14ac:dyDescent="0.35">
      <c r="A719" s="261"/>
    </row>
    <row r="720" spans="1:3" ht="12.45" x14ac:dyDescent="0.3">
      <c r="C720" s="263"/>
    </row>
    <row r="721" spans="1:3" ht="12.45" x14ac:dyDescent="0.3">
      <c r="C721" s="263"/>
    </row>
    <row r="722" spans="1:3" x14ac:dyDescent="0.35">
      <c r="A722" s="261"/>
    </row>
    <row r="723" spans="1:3" ht="12.45" x14ac:dyDescent="0.3">
      <c r="C723" s="263"/>
    </row>
    <row r="724" spans="1:3" ht="12.45" x14ac:dyDescent="0.3">
      <c r="C724" s="263"/>
    </row>
    <row r="725" spans="1:3" ht="12.45" x14ac:dyDescent="0.3">
      <c r="C725" s="263"/>
    </row>
    <row r="726" spans="1:3" ht="12.45" x14ac:dyDescent="0.3">
      <c r="C726" s="263"/>
    </row>
    <row r="728" spans="1:3" x14ac:dyDescent="0.35">
      <c r="A728" s="261"/>
    </row>
    <row r="729" spans="1:3" ht="12.45" x14ac:dyDescent="0.3">
      <c r="C729" s="263"/>
    </row>
    <row r="730" spans="1:3" ht="12.45" x14ac:dyDescent="0.3">
      <c r="C730" s="263"/>
    </row>
    <row r="731" spans="1:3" ht="12.45" x14ac:dyDescent="0.3">
      <c r="C731" s="263"/>
    </row>
    <row r="732" spans="1:3" x14ac:dyDescent="0.35">
      <c r="A732" s="262"/>
    </row>
    <row r="733" spans="1:3" x14ac:dyDescent="0.35">
      <c r="A733" s="261"/>
    </row>
    <row r="734" spans="1:3" ht="12.45" x14ac:dyDescent="0.3">
      <c r="C734" s="263"/>
    </row>
    <row r="735" spans="1:3" ht="12.45" x14ac:dyDescent="0.3">
      <c r="C735" s="263"/>
    </row>
    <row r="736" spans="1:3" ht="12.45" x14ac:dyDescent="0.3">
      <c r="C736" s="263"/>
    </row>
    <row r="738" spans="1:3" x14ac:dyDescent="0.35">
      <c r="A738" s="261"/>
    </row>
    <row r="739" spans="1:3" ht="12.45" x14ac:dyDescent="0.3">
      <c r="C739" s="263"/>
    </row>
    <row r="740" spans="1:3" ht="12.45" x14ac:dyDescent="0.3">
      <c r="C740" s="263"/>
    </row>
    <row r="741" spans="1:3" ht="12.45" x14ac:dyDescent="0.3">
      <c r="C741" s="263"/>
    </row>
    <row r="743" spans="1:3" x14ac:dyDescent="0.35">
      <c r="A743" s="261"/>
    </row>
    <row r="744" spans="1:3" ht="12.45" x14ac:dyDescent="0.3">
      <c r="C744" s="263"/>
    </row>
    <row r="745" spans="1:3" ht="12.45" x14ac:dyDescent="0.3">
      <c r="C745" s="263"/>
    </row>
    <row r="746" spans="1:3" ht="12.45" x14ac:dyDescent="0.3">
      <c r="C746" s="263"/>
    </row>
    <row r="747" spans="1:3" ht="12.45" x14ac:dyDescent="0.3">
      <c r="C747" s="263"/>
    </row>
    <row r="748" spans="1:3" x14ac:dyDescent="0.35">
      <c r="A748" s="261"/>
    </row>
    <row r="749" spans="1:3" ht="12.45" x14ac:dyDescent="0.3">
      <c r="C749" s="263"/>
    </row>
    <row r="750" spans="1:3" x14ac:dyDescent="0.35">
      <c r="A750" s="261"/>
    </row>
    <row r="751" spans="1:3" ht="12.45" x14ac:dyDescent="0.3">
      <c r="C751" s="263"/>
    </row>
    <row r="752" spans="1:3" ht="12.45" x14ac:dyDescent="0.3">
      <c r="C752" s="263"/>
    </row>
    <row r="753" spans="1:3" ht="12.45" x14ac:dyDescent="0.3">
      <c r="C753" s="263"/>
    </row>
    <row r="755" spans="1:3" x14ac:dyDescent="0.35">
      <c r="A755" s="261"/>
    </row>
    <row r="756" spans="1:3" ht="12.45" x14ac:dyDescent="0.3">
      <c r="C756" s="263"/>
    </row>
    <row r="757" spans="1:3" ht="12.45" x14ac:dyDescent="0.3">
      <c r="C757" s="263"/>
    </row>
    <row r="758" spans="1:3" ht="12.45" x14ac:dyDescent="0.3">
      <c r="C758" s="263"/>
    </row>
    <row r="759" spans="1:3" ht="12.45" x14ac:dyDescent="0.3">
      <c r="C759" s="263"/>
    </row>
    <row r="760" spans="1:3" x14ac:dyDescent="0.35">
      <c r="A760" s="261"/>
    </row>
    <row r="761" spans="1:3" ht="12.45" x14ac:dyDescent="0.3">
      <c r="C761" s="263"/>
    </row>
    <row r="762" spans="1:3" ht="12.45" x14ac:dyDescent="0.3">
      <c r="C762" s="263"/>
    </row>
    <row r="763" spans="1:3" ht="12.45" x14ac:dyDescent="0.3">
      <c r="C763" s="263"/>
    </row>
    <row r="764" spans="1:3" x14ac:dyDescent="0.35">
      <c r="A764" s="262"/>
    </row>
    <row r="765" spans="1:3" x14ac:dyDescent="0.35">
      <c r="A765" s="261"/>
    </row>
    <row r="766" spans="1:3" ht="12.45" x14ac:dyDescent="0.3">
      <c r="C766" s="263"/>
    </row>
    <row r="767" spans="1:3" ht="12.45" x14ac:dyDescent="0.3">
      <c r="C767" s="263"/>
    </row>
    <row r="768" spans="1:3" ht="12.45" x14ac:dyDescent="0.3">
      <c r="C768" s="263"/>
    </row>
    <row r="770" spans="1:3" x14ac:dyDescent="0.35">
      <c r="A770" s="261"/>
    </row>
    <row r="771" spans="1:3" ht="12.45" x14ac:dyDescent="0.3">
      <c r="C771" s="263"/>
    </row>
    <row r="772" spans="1:3" ht="12.45" x14ac:dyDescent="0.3">
      <c r="C772" s="263"/>
    </row>
    <row r="773" spans="1:3" ht="12.45" x14ac:dyDescent="0.3">
      <c r="C773" s="263"/>
    </row>
    <row r="774" spans="1:3" ht="12.45" x14ac:dyDescent="0.3">
      <c r="C774" s="263"/>
    </row>
    <row r="775" spans="1:3" x14ac:dyDescent="0.35">
      <c r="A775" s="261"/>
    </row>
    <row r="776" spans="1:3" ht="12.45" x14ac:dyDescent="0.3">
      <c r="C776" s="263"/>
    </row>
    <row r="777" spans="1:3" ht="12.45" x14ac:dyDescent="0.3">
      <c r="C777" s="263"/>
    </row>
    <row r="778" spans="1:3" x14ac:dyDescent="0.35">
      <c r="A778" s="261"/>
    </row>
    <row r="779" spans="1:3" ht="12.45" x14ac:dyDescent="0.3">
      <c r="C779" s="263"/>
    </row>
    <row r="780" spans="1:3" ht="12.45" x14ac:dyDescent="0.3">
      <c r="C780" s="263"/>
    </row>
    <row r="781" spans="1:3" ht="12.45" x14ac:dyDescent="0.3">
      <c r="C781" s="263"/>
    </row>
    <row r="782" spans="1:3" ht="12.45" x14ac:dyDescent="0.3">
      <c r="C782" s="263"/>
    </row>
    <row r="783" spans="1:3" ht="12.45" x14ac:dyDescent="0.3">
      <c r="C783" s="263"/>
    </row>
    <row r="784" spans="1:3" ht="12.45" x14ac:dyDescent="0.3">
      <c r="C784" s="263"/>
    </row>
    <row r="785" spans="1:3" ht="12.45" x14ac:dyDescent="0.3">
      <c r="A785" s="261"/>
      <c r="C785" s="263"/>
    </row>
    <row r="786" spans="1:3" ht="12.45" x14ac:dyDescent="0.3">
      <c r="C786" s="263"/>
    </row>
    <row r="787" spans="1:3" ht="12.45" x14ac:dyDescent="0.3">
      <c r="C787" s="263"/>
    </row>
    <row r="788" spans="1:3" ht="12.45" x14ac:dyDescent="0.3">
      <c r="C788" s="263"/>
    </row>
    <row r="789" spans="1:3" x14ac:dyDescent="0.35">
      <c r="A789" s="262"/>
    </row>
    <row r="790" spans="1:3" x14ac:dyDescent="0.35">
      <c r="A790" s="261"/>
    </row>
    <row r="791" spans="1:3" ht="12.45" x14ac:dyDescent="0.3">
      <c r="C791" s="263"/>
    </row>
    <row r="792" spans="1:3" ht="12.45" x14ac:dyDescent="0.3">
      <c r="C792" s="263"/>
    </row>
    <row r="793" spans="1:3" ht="12.45" x14ac:dyDescent="0.3">
      <c r="C793" s="263"/>
    </row>
    <row r="795" spans="1:3" x14ac:dyDescent="0.35">
      <c r="A795" s="261"/>
    </row>
    <row r="796" spans="1:3" ht="12.45" x14ac:dyDescent="0.3">
      <c r="C796" s="263"/>
    </row>
    <row r="797" spans="1:3" ht="12.45" x14ac:dyDescent="0.3">
      <c r="C797" s="263"/>
    </row>
    <row r="798" spans="1:3" ht="12.45" x14ac:dyDescent="0.3">
      <c r="C798" s="263"/>
    </row>
    <row r="799" spans="1:3" x14ac:dyDescent="0.35">
      <c r="A799" s="262"/>
    </row>
    <row r="800" spans="1:3" x14ac:dyDescent="0.35">
      <c r="A800" s="261"/>
    </row>
    <row r="801" spans="1:3" ht="12.45" x14ac:dyDescent="0.3">
      <c r="C801" s="263"/>
    </row>
    <row r="802" spans="1:3" ht="12.45" x14ac:dyDescent="0.3">
      <c r="C802" s="263"/>
    </row>
    <row r="803" spans="1:3" ht="12.45" x14ac:dyDescent="0.3">
      <c r="C803" s="263"/>
    </row>
    <row r="805" spans="1:3" x14ac:dyDescent="0.35">
      <c r="A805" s="261"/>
    </row>
    <row r="806" spans="1:3" x14ac:dyDescent="0.35">
      <c r="A806" s="261"/>
    </row>
    <row r="807" spans="1:3" ht="12.45" x14ac:dyDescent="0.3">
      <c r="C807" s="263"/>
    </row>
    <row r="808" spans="1:3" ht="12.45" x14ac:dyDescent="0.3">
      <c r="C808" s="263"/>
    </row>
    <row r="809" spans="1:3" ht="12.45" x14ac:dyDescent="0.3">
      <c r="C809" s="263"/>
    </row>
    <row r="811" spans="1:3" x14ac:dyDescent="0.35">
      <c r="A811" s="261"/>
    </row>
    <row r="812" spans="1:3" ht="12.45" x14ac:dyDescent="0.3">
      <c r="C812" s="263"/>
    </row>
    <row r="813" spans="1:3" ht="12.45" x14ac:dyDescent="0.3">
      <c r="C813" s="263"/>
    </row>
    <row r="814" spans="1:3" ht="12.45" x14ac:dyDescent="0.3">
      <c r="C814" s="263"/>
    </row>
    <row r="815" spans="1:3" ht="12.45" x14ac:dyDescent="0.3">
      <c r="C815" s="263"/>
    </row>
    <row r="816" spans="1:3" x14ac:dyDescent="0.35">
      <c r="A816" s="261"/>
    </row>
    <row r="817" spans="1:3" ht="12.45" x14ac:dyDescent="0.3">
      <c r="C817" s="263"/>
    </row>
    <row r="818" spans="1:3" ht="12.45" x14ac:dyDescent="0.3">
      <c r="C818" s="263"/>
    </row>
    <row r="819" spans="1:3" ht="12.45" x14ac:dyDescent="0.3">
      <c r="C819" s="263"/>
    </row>
    <row r="820" spans="1:3" x14ac:dyDescent="0.35">
      <c r="A820" s="262"/>
    </row>
    <row r="821" spans="1:3" x14ac:dyDescent="0.35">
      <c r="A821" s="261"/>
    </row>
    <row r="822" spans="1:3" ht="12.45" x14ac:dyDescent="0.3">
      <c r="C822" s="263"/>
    </row>
    <row r="823" spans="1:3" ht="12.45" x14ac:dyDescent="0.3">
      <c r="C823" s="263"/>
    </row>
    <row r="824" spans="1:3" ht="12.45" x14ac:dyDescent="0.3">
      <c r="C824" s="263"/>
    </row>
    <row r="826" spans="1:3" x14ac:dyDescent="0.35">
      <c r="A826" s="261"/>
    </row>
    <row r="827" spans="1:3" ht="12.45" x14ac:dyDescent="0.3">
      <c r="C827" s="263"/>
    </row>
    <row r="828" spans="1:3" ht="12.45" x14ac:dyDescent="0.3">
      <c r="C828" s="263"/>
    </row>
    <row r="829" spans="1:3" ht="12.45" x14ac:dyDescent="0.3">
      <c r="C829" s="263"/>
    </row>
    <row r="830" spans="1:3" ht="12.45" x14ac:dyDescent="0.3">
      <c r="C830" s="263"/>
    </row>
    <row r="831" spans="1:3" x14ac:dyDescent="0.35">
      <c r="A831" s="261"/>
    </row>
    <row r="832" spans="1:3" ht="12.45" x14ac:dyDescent="0.3">
      <c r="C832" s="263"/>
    </row>
    <row r="833" spans="1:25" ht="12.45" x14ac:dyDescent="0.3">
      <c r="C833" s="263"/>
    </row>
    <row r="834" spans="1:25" x14ac:dyDescent="0.35">
      <c r="A834" s="261"/>
    </row>
    <row r="835" spans="1:25" ht="12.45" x14ac:dyDescent="0.3">
      <c r="C835" s="263"/>
    </row>
    <row r="836" spans="1:25" ht="12.45" x14ac:dyDescent="0.3">
      <c r="C836" s="263"/>
    </row>
    <row r="837" spans="1:25" ht="12.45" x14ac:dyDescent="0.3">
      <c r="C837" s="263"/>
    </row>
    <row r="838" spans="1:25" x14ac:dyDescent="0.35">
      <c r="A838" s="261"/>
    </row>
    <row r="839" spans="1:25" ht="12.45" x14ac:dyDescent="0.3">
      <c r="C839" s="263"/>
    </row>
    <row r="840" spans="1:25" ht="12.45" x14ac:dyDescent="0.3">
      <c r="C840" s="263"/>
    </row>
    <row r="841" spans="1:25" ht="12.45" x14ac:dyDescent="0.3">
      <c r="A841" s="264"/>
      <c r="B841" s="315"/>
      <c r="C841" s="315"/>
      <c r="D841" s="315"/>
      <c r="E841" s="315"/>
      <c r="F841" s="315"/>
      <c r="G841" s="315"/>
      <c r="H841" s="315"/>
      <c r="I841" s="315"/>
      <c r="J841" s="315"/>
      <c r="K841" s="315"/>
      <c r="L841" s="315"/>
      <c r="M841" s="315"/>
      <c r="N841" s="315"/>
      <c r="O841" s="315"/>
      <c r="P841" s="315"/>
      <c r="Q841" s="315"/>
      <c r="R841" s="315"/>
      <c r="S841" s="315"/>
      <c r="T841" s="315"/>
      <c r="U841" s="315"/>
      <c r="V841" s="315"/>
      <c r="W841" s="315"/>
      <c r="X841" s="315"/>
      <c r="Y841" s="315"/>
    </row>
    <row r="842" spans="1:25" x14ac:dyDescent="0.35">
      <c r="A842" s="262"/>
    </row>
    <row r="843" spans="1:25" x14ac:dyDescent="0.35">
      <c r="A843" s="261"/>
    </row>
    <row r="844" spans="1:25" ht="12.45" x14ac:dyDescent="0.3">
      <c r="C844" s="263"/>
    </row>
    <row r="845" spans="1:25" ht="12.45" x14ac:dyDescent="0.3">
      <c r="C845" s="263"/>
    </row>
    <row r="846" spans="1:25" ht="12.45" x14ac:dyDescent="0.3">
      <c r="A846" s="264"/>
      <c r="B846" s="315"/>
      <c r="C846" s="315"/>
      <c r="D846" s="315"/>
      <c r="E846" s="315"/>
      <c r="F846" s="315"/>
      <c r="G846" s="315"/>
      <c r="H846" s="315"/>
      <c r="I846" s="315"/>
      <c r="J846" s="315"/>
      <c r="K846" s="315"/>
      <c r="L846" s="315"/>
      <c r="M846" s="315"/>
      <c r="N846" s="315"/>
      <c r="O846" s="315"/>
      <c r="P846" s="315"/>
      <c r="Q846" s="315"/>
      <c r="R846" s="315"/>
      <c r="S846" s="315"/>
      <c r="T846" s="315"/>
      <c r="U846" s="315"/>
      <c r="V846" s="315"/>
      <c r="W846" s="315"/>
      <c r="X846" s="315"/>
      <c r="Y846" s="315"/>
    </row>
    <row r="847" spans="1:25" x14ac:dyDescent="0.35">
      <c r="A847" s="262"/>
    </row>
    <row r="848" spans="1:25" x14ac:dyDescent="0.35">
      <c r="A848" s="261"/>
    </row>
    <row r="849" spans="1:3" ht="12.45" x14ac:dyDescent="0.3">
      <c r="C849" s="263"/>
    </row>
    <row r="850" spans="1:3" ht="12.45" x14ac:dyDescent="0.3">
      <c r="C850" s="263"/>
    </row>
    <row r="851" spans="1:3" ht="12.45" x14ac:dyDescent="0.3">
      <c r="C851" s="263"/>
    </row>
    <row r="853" spans="1:3" x14ac:dyDescent="0.35">
      <c r="A853" s="261"/>
    </row>
    <row r="854" spans="1:3" ht="12.45" x14ac:dyDescent="0.3">
      <c r="C854" s="263"/>
    </row>
    <row r="855" spans="1:3" ht="12.45" x14ac:dyDescent="0.3">
      <c r="C855" s="263"/>
    </row>
    <row r="856" spans="1:3" ht="12.45" x14ac:dyDescent="0.3">
      <c r="C856" s="263"/>
    </row>
    <row r="857" spans="1:3" ht="12.45" x14ac:dyDescent="0.3">
      <c r="C857" s="263"/>
    </row>
    <row r="858" spans="1:3" x14ac:dyDescent="0.35">
      <c r="A858" s="261"/>
    </row>
    <row r="859" spans="1:3" ht="12.45" x14ac:dyDescent="0.3">
      <c r="C859" s="263"/>
    </row>
    <row r="860" spans="1:3" ht="12.45" x14ac:dyDescent="0.3">
      <c r="C860" s="263"/>
    </row>
    <row r="861" spans="1:3" ht="12.45" x14ac:dyDescent="0.3">
      <c r="C861" s="263"/>
    </row>
    <row r="862" spans="1:3" x14ac:dyDescent="0.35">
      <c r="A862" s="261"/>
    </row>
    <row r="863" spans="1:3" ht="12.45" x14ac:dyDescent="0.3">
      <c r="C863" s="263"/>
    </row>
    <row r="864" spans="1:3" ht="12.45" x14ac:dyDescent="0.3">
      <c r="C864" s="263"/>
    </row>
    <row r="865" spans="1:3" ht="12.45" x14ac:dyDescent="0.3">
      <c r="C865" s="263"/>
    </row>
    <row r="867" spans="1:3" x14ac:dyDescent="0.35">
      <c r="A867" s="261"/>
    </row>
    <row r="868" spans="1:3" ht="12.45" x14ac:dyDescent="0.3">
      <c r="C868" s="263"/>
    </row>
    <row r="869" spans="1:3" ht="12.45" x14ac:dyDescent="0.3">
      <c r="C869" s="263"/>
    </row>
    <row r="870" spans="1:3" ht="12.45" x14ac:dyDescent="0.3">
      <c r="C870" s="263"/>
    </row>
    <row r="871" spans="1:3" ht="12.45" x14ac:dyDescent="0.3">
      <c r="C871" s="263"/>
    </row>
    <row r="872" spans="1:3" x14ac:dyDescent="0.35">
      <c r="A872" s="261"/>
    </row>
    <row r="873" spans="1:3" ht="12.45" x14ac:dyDescent="0.3">
      <c r="C873" s="263"/>
    </row>
    <row r="874" spans="1:3" ht="12.45" x14ac:dyDescent="0.3">
      <c r="C874" s="263"/>
    </row>
    <row r="875" spans="1:3" ht="12.45" x14ac:dyDescent="0.3">
      <c r="C875" s="263"/>
    </row>
    <row r="876" spans="1:3" x14ac:dyDescent="0.35">
      <c r="A876" s="262"/>
    </row>
    <row r="877" spans="1:3" x14ac:dyDescent="0.35">
      <c r="A877" s="261"/>
    </row>
    <row r="878" spans="1:3" ht="12.45" x14ac:dyDescent="0.3">
      <c r="C878" s="263"/>
    </row>
    <row r="879" spans="1:3" ht="12.45" x14ac:dyDescent="0.3">
      <c r="C879" s="263"/>
    </row>
    <row r="880" spans="1:3" ht="12.45" x14ac:dyDescent="0.3">
      <c r="C880" s="263"/>
    </row>
    <row r="882" spans="1:3" x14ac:dyDescent="0.35">
      <c r="A882" s="261"/>
    </row>
    <row r="883" spans="1:3" ht="12.45" x14ac:dyDescent="0.3">
      <c r="C883" s="263"/>
    </row>
    <row r="884" spans="1:3" ht="12.45" x14ac:dyDescent="0.3">
      <c r="C884" s="263"/>
    </row>
    <row r="885" spans="1:3" ht="12.45" x14ac:dyDescent="0.3">
      <c r="C885" s="263"/>
    </row>
    <row r="886" spans="1:3" ht="12.45" x14ac:dyDescent="0.3">
      <c r="C886" s="263"/>
    </row>
    <row r="887" spans="1:3" x14ac:dyDescent="0.35">
      <c r="A887" s="261"/>
    </row>
    <row r="888" spans="1:3" ht="12.45" x14ac:dyDescent="0.3">
      <c r="C888" s="263"/>
    </row>
    <row r="889" spans="1:3" ht="12.45" x14ac:dyDescent="0.3">
      <c r="C889" s="263"/>
    </row>
    <row r="890" spans="1:3" x14ac:dyDescent="0.35">
      <c r="A890" s="261"/>
    </row>
    <row r="891" spans="1:3" ht="12.45" x14ac:dyDescent="0.3">
      <c r="C891" s="263"/>
    </row>
    <row r="892" spans="1:3" ht="12.45" x14ac:dyDescent="0.3">
      <c r="C892" s="263"/>
    </row>
    <row r="893" spans="1:3" ht="12.45" x14ac:dyDescent="0.3">
      <c r="C893" s="263"/>
    </row>
    <row r="894" spans="1:3" ht="12.45" x14ac:dyDescent="0.3">
      <c r="C894" s="263"/>
    </row>
    <row r="895" spans="1:3" ht="12.45" x14ac:dyDescent="0.3">
      <c r="C895" s="263"/>
    </row>
    <row r="896" spans="1:3" ht="12.45" x14ac:dyDescent="0.3">
      <c r="C896" s="263"/>
    </row>
    <row r="897" spans="1:3" ht="12.45" x14ac:dyDescent="0.3">
      <c r="A897" s="261"/>
      <c r="C897" s="263"/>
    </row>
    <row r="898" spans="1:3" ht="12.45" x14ac:dyDescent="0.3">
      <c r="C898" s="263"/>
    </row>
    <row r="899" spans="1:3" ht="12.45" x14ac:dyDescent="0.3">
      <c r="C899" s="263"/>
    </row>
    <row r="900" spans="1:3" ht="12.45" x14ac:dyDescent="0.3">
      <c r="C900" s="263"/>
    </row>
    <row r="901" spans="1:3" x14ac:dyDescent="0.35">
      <c r="A901" s="262"/>
    </row>
    <row r="902" spans="1:3" x14ac:dyDescent="0.35">
      <c r="A902" s="261"/>
    </row>
    <row r="903" spans="1:3" ht="12.45" x14ac:dyDescent="0.3">
      <c r="C903" s="263"/>
    </row>
    <row r="904" spans="1:3" ht="12.45" x14ac:dyDescent="0.3">
      <c r="C904" s="263"/>
    </row>
    <row r="905" spans="1:3" ht="12.45" x14ac:dyDescent="0.3">
      <c r="C905" s="263"/>
    </row>
    <row r="907" spans="1:3" x14ac:dyDescent="0.35">
      <c r="A907" s="261"/>
    </row>
    <row r="908" spans="1:3" ht="12.45" x14ac:dyDescent="0.3">
      <c r="C908" s="263"/>
    </row>
    <row r="909" spans="1:3" ht="12.45" x14ac:dyDescent="0.3">
      <c r="C909" s="263"/>
    </row>
    <row r="910" spans="1:3" ht="12.45" x14ac:dyDescent="0.3">
      <c r="C910" s="263"/>
    </row>
    <row r="911" spans="1:3" x14ac:dyDescent="0.35">
      <c r="A911" s="262"/>
    </row>
    <row r="912" spans="1:3" x14ac:dyDescent="0.35">
      <c r="A912" s="261"/>
    </row>
    <row r="913" spans="1:3" ht="12.45" x14ac:dyDescent="0.3">
      <c r="C913" s="263"/>
    </row>
    <row r="914" spans="1:3" ht="12.45" x14ac:dyDescent="0.3">
      <c r="C914" s="263"/>
    </row>
    <row r="915" spans="1:3" ht="12.45" x14ac:dyDescent="0.3">
      <c r="C915" s="263"/>
    </row>
    <row r="917" spans="1:3" x14ac:dyDescent="0.35">
      <c r="A917" s="261"/>
    </row>
    <row r="918" spans="1:3" x14ac:dyDescent="0.35">
      <c r="A918" s="261"/>
    </row>
    <row r="919" spans="1:3" ht="12.45" x14ac:dyDescent="0.3">
      <c r="C919" s="263"/>
    </row>
    <row r="920" spans="1:3" ht="12.45" x14ac:dyDescent="0.3">
      <c r="C920" s="263"/>
    </row>
    <row r="921" spans="1:3" ht="12.45" x14ac:dyDescent="0.3">
      <c r="C921" s="263"/>
    </row>
    <row r="923" spans="1:3" x14ac:dyDescent="0.35">
      <c r="A923" s="261"/>
    </row>
    <row r="924" spans="1:3" ht="12.45" x14ac:dyDescent="0.3">
      <c r="C924" s="263"/>
    </row>
    <row r="925" spans="1:3" ht="12.45" x14ac:dyDescent="0.3">
      <c r="C925" s="263"/>
    </row>
    <row r="926" spans="1:3" ht="12.45" x14ac:dyDescent="0.3">
      <c r="C926" s="263"/>
    </row>
    <row r="927" spans="1:3" ht="12.45" x14ac:dyDescent="0.3">
      <c r="C927" s="263"/>
    </row>
    <row r="928" spans="1:3" x14ac:dyDescent="0.35">
      <c r="A928" s="261"/>
    </row>
    <row r="929" spans="1:3" ht="12.45" x14ac:dyDescent="0.3">
      <c r="C929" s="263"/>
    </row>
    <row r="930" spans="1:3" ht="12.45" x14ac:dyDescent="0.3">
      <c r="C930" s="263"/>
    </row>
    <row r="931" spans="1:3" ht="12.45" x14ac:dyDescent="0.3">
      <c r="C931" s="263"/>
    </row>
    <row r="932" spans="1:3" x14ac:dyDescent="0.35">
      <c r="A932" s="262"/>
    </row>
    <row r="933" spans="1:3" x14ac:dyDescent="0.35">
      <c r="A933" s="261"/>
    </row>
    <row r="934" spans="1:3" ht="12.45" x14ac:dyDescent="0.3">
      <c r="C934" s="263"/>
    </row>
    <row r="935" spans="1:3" ht="12.45" x14ac:dyDescent="0.3">
      <c r="C935" s="263"/>
    </row>
    <row r="936" spans="1:3" ht="12.45" x14ac:dyDescent="0.3">
      <c r="C936" s="263"/>
    </row>
    <row r="938" spans="1:3" x14ac:dyDescent="0.35">
      <c r="A938" s="261"/>
    </row>
    <row r="939" spans="1:3" ht="12.45" x14ac:dyDescent="0.3">
      <c r="C939" s="263"/>
    </row>
    <row r="940" spans="1:3" ht="12.45" x14ac:dyDescent="0.3">
      <c r="C940" s="263"/>
    </row>
    <row r="941" spans="1:3" ht="12.45" x14ac:dyDescent="0.3">
      <c r="C941" s="263"/>
    </row>
    <row r="942" spans="1:3" ht="12.45" x14ac:dyDescent="0.3">
      <c r="C942" s="263"/>
    </row>
    <row r="943" spans="1:3" x14ac:dyDescent="0.35">
      <c r="A943" s="261"/>
    </row>
    <row r="944" spans="1:3" ht="12.45" x14ac:dyDescent="0.3">
      <c r="C944" s="263"/>
    </row>
    <row r="945" spans="1:3" ht="12.45" x14ac:dyDescent="0.3">
      <c r="C945" s="263"/>
    </row>
    <row r="946" spans="1:3" x14ac:dyDescent="0.35">
      <c r="A946" s="261"/>
    </row>
    <row r="947" spans="1:3" ht="12.45" x14ac:dyDescent="0.3">
      <c r="C947" s="263"/>
    </row>
    <row r="948" spans="1:3" ht="12.45" x14ac:dyDescent="0.3">
      <c r="C948" s="263"/>
    </row>
    <row r="949" spans="1:3" ht="12.45" x14ac:dyDescent="0.3">
      <c r="C949" s="263"/>
    </row>
    <row r="950" spans="1:3" ht="12.45" x14ac:dyDescent="0.3">
      <c r="C950" s="263"/>
    </row>
    <row r="952" spans="1:3" x14ac:dyDescent="0.35">
      <c r="A952" s="261"/>
    </row>
    <row r="953" spans="1:3" ht="12.45" x14ac:dyDescent="0.3">
      <c r="C953" s="263"/>
    </row>
    <row r="954" spans="1:3" ht="12.45" x14ac:dyDescent="0.3">
      <c r="C954" s="263"/>
    </row>
    <row r="955" spans="1:3" ht="12.45" x14ac:dyDescent="0.3">
      <c r="C955" s="263"/>
    </row>
    <row r="956" spans="1:3" x14ac:dyDescent="0.35">
      <c r="A956" s="262"/>
    </row>
    <row r="957" spans="1:3" x14ac:dyDescent="0.35">
      <c r="A957" s="261"/>
    </row>
    <row r="958" spans="1:3" ht="12.45" x14ac:dyDescent="0.3">
      <c r="C958" s="263"/>
    </row>
    <row r="959" spans="1:3" ht="12.45" x14ac:dyDescent="0.3">
      <c r="C959" s="263"/>
    </row>
    <row r="960" spans="1:3" ht="12.45" x14ac:dyDescent="0.3">
      <c r="C960" s="263"/>
    </row>
    <row r="962" spans="1:3" x14ac:dyDescent="0.35">
      <c r="A962" s="261"/>
    </row>
    <row r="963" spans="1:3" ht="12.45" x14ac:dyDescent="0.3">
      <c r="C963" s="263"/>
    </row>
    <row r="964" spans="1:3" ht="12.45" x14ac:dyDescent="0.3">
      <c r="C964" s="263"/>
    </row>
    <row r="965" spans="1:3" ht="12.45" x14ac:dyDescent="0.3">
      <c r="C965" s="263"/>
    </row>
    <row r="967" spans="1:3" x14ac:dyDescent="0.35">
      <c r="A967" s="261"/>
    </row>
    <row r="968" spans="1:3" ht="12.45" x14ac:dyDescent="0.3">
      <c r="C968" s="263"/>
    </row>
    <row r="969" spans="1:3" ht="12.45" x14ac:dyDescent="0.3">
      <c r="C969" s="263"/>
    </row>
    <row r="970" spans="1:3" ht="12.45" x14ac:dyDescent="0.3">
      <c r="C970" s="263"/>
    </row>
    <row r="971" spans="1:3" ht="12.45" x14ac:dyDescent="0.3">
      <c r="C971" s="263"/>
    </row>
    <row r="972" spans="1:3" x14ac:dyDescent="0.35">
      <c r="A972" s="261"/>
    </row>
    <row r="973" spans="1:3" ht="12.45" x14ac:dyDescent="0.3">
      <c r="C973" s="263"/>
    </row>
    <row r="974" spans="1:3" x14ac:dyDescent="0.35">
      <c r="A974" s="261"/>
    </row>
    <row r="975" spans="1:3" ht="12.45" x14ac:dyDescent="0.3">
      <c r="C975" s="263"/>
    </row>
    <row r="976" spans="1:3" ht="12.45" x14ac:dyDescent="0.3">
      <c r="C976" s="263"/>
    </row>
    <row r="977" spans="1:3" ht="12.45" x14ac:dyDescent="0.3">
      <c r="C977" s="263"/>
    </row>
    <row r="979" spans="1:3" x14ac:dyDescent="0.35">
      <c r="A979" s="261"/>
    </row>
    <row r="980" spans="1:3" ht="12.45" x14ac:dyDescent="0.3">
      <c r="C980" s="263"/>
    </row>
    <row r="981" spans="1:3" ht="12.45" x14ac:dyDescent="0.3">
      <c r="C981" s="263"/>
    </row>
    <row r="982" spans="1:3" ht="12.45" x14ac:dyDescent="0.3">
      <c r="C982" s="263"/>
    </row>
    <row r="983" spans="1:3" ht="12.45" x14ac:dyDescent="0.3">
      <c r="C983" s="263"/>
    </row>
    <row r="984" spans="1:3" x14ac:dyDescent="0.35">
      <c r="A984" s="261"/>
    </row>
    <row r="985" spans="1:3" ht="12.45" x14ac:dyDescent="0.3">
      <c r="C985" s="263"/>
    </row>
    <row r="986" spans="1:3" ht="12.45" x14ac:dyDescent="0.3">
      <c r="C986" s="263"/>
    </row>
    <row r="987" spans="1:3" ht="12.45" x14ac:dyDescent="0.3">
      <c r="C987" s="263"/>
    </row>
    <row r="988" spans="1:3" x14ac:dyDescent="0.35">
      <c r="A988" s="262"/>
    </row>
    <row r="989" spans="1:3" x14ac:dyDescent="0.35">
      <c r="A989" s="261"/>
    </row>
    <row r="990" spans="1:3" ht="12.45" x14ac:dyDescent="0.3">
      <c r="C990" s="263"/>
    </row>
    <row r="991" spans="1:3" ht="12.45" x14ac:dyDescent="0.3">
      <c r="C991" s="263"/>
    </row>
    <row r="992" spans="1:3" ht="12.45" x14ac:dyDescent="0.3">
      <c r="C992" s="263"/>
    </row>
    <row r="994" spans="1:3" x14ac:dyDescent="0.35">
      <c r="A994" s="261"/>
    </row>
    <row r="995" spans="1:3" ht="12.45" x14ac:dyDescent="0.3">
      <c r="C995" s="263"/>
    </row>
    <row r="996" spans="1:3" ht="12.45" x14ac:dyDescent="0.3">
      <c r="C996" s="263"/>
    </row>
    <row r="997" spans="1:3" ht="12.45" x14ac:dyDescent="0.3">
      <c r="C997" s="263"/>
    </row>
    <row r="998" spans="1:3" ht="12.45" x14ac:dyDescent="0.3">
      <c r="C998" s="263"/>
    </row>
    <row r="999" spans="1:3" x14ac:dyDescent="0.35">
      <c r="A999" s="261"/>
    </row>
    <row r="1000" spans="1:3" ht="12.45" x14ac:dyDescent="0.3">
      <c r="C1000" s="263"/>
    </row>
    <row r="1001" spans="1:3" ht="12.45" x14ac:dyDescent="0.3">
      <c r="C1001" s="263"/>
    </row>
    <row r="1002" spans="1:3" x14ac:dyDescent="0.35">
      <c r="A1002" s="261"/>
    </row>
    <row r="1003" spans="1:3" ht="12.45" x14ac:dyDescent="0.3">
      <c r="C1003" s="263"/>
    </row>
    <row r="1004" spans="1:3" ht="12.45" x14ac:dyDescent="0.3">
      <c r="C1004" s="263"/>
    </row>
    <row r="1005" spans="1:3" ht="12.45" x14ac:dyDescent="0.3">
      <c r="C1005" s="263"/>
    </row>
    <row r="1006" spans="1:3" ht="12.45" x14ac:dyDescent="0.3">
      <c r="C1006" s="263"/>
    </row>
    <row r="1007" spans="1:3" ht="12.45" x14ac:dyDescent="0.3">
      <c r="C1007" s="263"/>
    </row>
    <row r="1008" spans="1:3" ht="12.45" x14ac:dyDescent="0.3">
      <c r="C1008" s="263"/>
    </row>
    <row r="1009" spans="1:3" ht="12.45" x14ac:dyDescent="0.3">
      <c r="A1009" s="261"/>
      <c r="C1009" s="263"/>
    </row>
    <row r="1010" spans="1:3" ht="12.45" x14ac:dyDescent="0.3">
      <c r="C1010" s="263"/>
    </row>
    <row r="1011" spans="1:3" ht="12.45" x14ac:dyDescent="0.3">
      <c r="C1011" s="263"/>
    </row>
    <row r="1012" spans="1:3" ht="12.45" x14ac:dyDescent="0.3">
      <c r="C1012" s="263"/>
    </row>
    <row r="1013" spans="1:3" x14ac:dyDescent="0.35">
      <c r="A1013" s="262"/>
    </row>
    <row r="1014" spans="1:3" x14ac:dyDescent="0.35">
      <c r="A1014" s="261"/>
    </row>
    <row r="1015" spans="1:3" ht="12.45" x14ac:dyDescent="0.3">
      <c r="C1015" s="263"/>
    </row>
    <row r="1016" spans="1:3" ht="12.45" x14ac:dyDescent="0.3">
      <c r="C1016" s="263"/>
    </row>
    <row r="1017" spans="1:3" ht="12.45" x14ac:dyDescent="0.3">
      <c r="C1017" s="263"/>
    </row>
    <row r="1019" spans="1:3" x14ac:dyDescent="0.35">
      <c r="A1019" s="261"/>
    </row>
    <row r="1020" spans="1:3" ht="12.45" x14ac:dyDescent="0.3">
      <c r="C1020" s="263"/>
    </row>
    <row r="1021" spans="1:3" ht="12.45" x14ac:dyDescent="0.3">
      <c r="C1021" s="263"/>
    </row>
    <row r="1022" spans="1:3" ht="12.45" x14ac:dyDescent="0.3">
      <c r="C1022" s="263"/>
    </row>
    <row r="1023" spans="1:3" x14ac:dyDescent="0.35">
      <c r="A1023" s="262"/>
    </row>
    <row r="1024" spans="1:3" x14ac:dyDescent="0.35">
      <c r="A1024" s="261"/>
    </row>
    <row r="1025" spans="1:3" ht="12.45" x14ac:dyDescent="0.3">
      <c r="C1025" s="263"/>
    </row>
    <row r="1026" spans="1:3" ht="12.45" x14ac:dyDescent="0.3">
      <c r="C1026" s="263"/>
    </row>
    <row r="1027" spans="1:3" ht="12.45" x14ac:dyDescent="0.3">
      <c r="C1027" s="263"/>
    </row>
    <row r="1029" spans="1:3" x14ac:dyDescent="0.35">
      <c r="A1029" s="261"/>
    </row>
    <row r="1030" spans="1:3" x14ac:dyDescent="0.35">
      <c r="A1030" s="261"/>
    </row>
    <row r="1031" spans="1:3" ht="12.45" x14ac:dyDescent="0.3">
      <c r="C1031" s="263"/>
    </row>
    <row r="1032" spans="1:3" ht="12.45" x14ac:dyDescent="0.3">
      <c r="C1032" s="263"/>
    </row>
    <row r="1033" spans="1:3" ht="12.45" x14ac:dyDescent="0.3">
      <c r="C1033" s="263"/>
    </row>
    <row r="1035" spans="1:3" x14ac:dyDescent="0.35">
      <c r="A1035" s="261"/>
    </row>
    <row r="1036" spans="1:3" ht="12.45" x14ac:dyDescent="0.3">
      <c r="C1036" s="263"/>
    </row>
    <row r="1037" spans="1:3" ht="12.45" x14ac:dyDescent="0.3">
      <c r="C1037" s="263"/>
    </row>
    <row r="1038" spans="1:3" ht="12.45" x14ac:dyDescent="0.3">
      <c r="C1038" s="263"/>
    </row>
    <row r="1039" spans="1:3" ht="12.45" x14ac:dyDescent="0.3">
      <c r="C1039" s="263"/>
    </row>
    <row r="1040" spans="1:3" x14ac:dyDescent="0.35">
      <c r="A1040" s="261"/>
    </row>
    <row r="1041" spans="1:3" ht="12.45" x14ac:dyDescent="0.3">
      <c r="C1041" s="263"/>
    </row>
    <row r="1042" spans="1:3" ht="12.45" x14ac:dyDescent="0.3">
      <c r="C1042" s="263"/>
    </row>
    <row r="1043" spans="1:3" ht="12.45" x14ac:dyDescent="0.3">
      <c r="C1043" s="263"/>
    </row>
    <row r="1044" spans="1:3" x14ac:dyDescent="0.35">
      <c r="A1044" s="262"/>
    </row>
    <row r="1045" spans="1:3" x14ac:dyDescent="0.35">
      <c r="A1045" s="261"/>
    </row>
    <row r="1046" spans="1:3" ht="12.45" x14ac:dyDescent="0.3">
      <c r="C1046" s="263"/>
    </row>
    <row r="1047" spans="1:3" ht="12.45" x14ac:dyDescent="0.3">
      <c r="C1047" s="263"/>
    </row>
    <row r="1048" spans="1:3" ht="12.45" x14ac:dyDescent="0.3">
      <c r="C1048" s="263"/>
    </row>
    <row r="1050" spans="1:3" x14ac:dyDescent="0.35">
      <c r="A1050" s="261"/>
    </row>
    <row r="1051" spans="1:3" ht="12.45" x14ac:dyDescent="0.3">
      <c r="C1051" s="263"/>
    </row>
    <row r="1052" spans="1:3" ht="12.45" x14ac:dyDescent="0.3">
      <c r="C1052" s="263"/>
    </row>
    <row r="1053" spans="1:3" ht="12.45" x14ac:dyDescent="0.3">
      <c r="C1053" s="263"/>
    </row>
    <row r="1054" spans="1:3" ht="12.45" x14ac:dyDescent="0.3">
      <c r="C1054" s="263"/>
    </row>
    <row r="1055" spans="1:3" x14ac:dyDescent="0.35">
      <c r="A1055" s="261"/>
    </row>
    <row r="1056" spans="1:3" ht="12.45" x14ac:dyDescent="0.3">
      <c r="C1056" s="263"/>
    </row>
    <row r="1057" spans="1:3" ht="12.45" x14ac:dyDescent="0.3">
      <c r="C1057" s="263"/>
    </row>
    <row r="1058" spans="1:3" x14ac:dyDescent="0.35">
      <c r="A1058" s="261"/>
    </row>
    <row r="1059" spans="1:3" ht="12.45" x14ac:dyDescent="0.3">
      <c r="C1059" s="263"/>
    </row>
    <row r="1060" spans="1:3" ht="12.45" x14ac:dyDescent="0.3">
      <c r="C1060" s="263"/>
    </row>
    <row r="1061" spans="1:3" ht="12.45" x14ac:dyDescent="0.3">
      <c r="C1061" s="263"/>
    </row>
  </sheetData>
  <mergeCells count="110">
    <mergeCell ref="L545:O545"/>
    <mergeCell ref="V545:Y545"/>
    <mergeCell ref="B470:E470"/>
    <mergeCell ref="L470:O470"/>
    <mergeCell ref="V470:Y470"/>
    <mergeCell ref="B515:E515"/>
    <mergeCell ref="L515:O515"/>
    <mergeCell ref="V515:Y515"/>
    <mergeCell ref="B480:E480"/>
    <mergeCell ref="L480:O480"/>
    <mergeCell ref="V480:Y480"/>
    <mergeCell ref="B490:E490"/>
    <mergeCell ref="L490:O490"/>
    <mergeCell ref="V490:Y490"/>
    <mergeCell ref="G470:J470"/>
    <mergeCell ref="G515:J515"/>
    <mergeCell ref="Q515:T515"/>
    <mergeCell ref="Q490:T490"/>
    <mergeCell ref="G545:J545"/>
    <mergeCell ref="Q545:T545"/>
    <mergeCell ref="Q470:T470"/>
    <mergeCell ref="G480:J480"/>
    <mergeCell ref="Q480:T480"/>
    <mergeCell ref="G490:J490"/>
    <mergeCell ref="B545:E545"/>
    <mergeCell ref="B350:E350"/>
    <mergeCell ref="L350:O350"/>
    <mergeCell ref="V350:Y350"/>
    <mergeCell ref="L300:O300"/>
    <mergeCell ref="V300:Y300"/>
    <mergeCell ref="B325:E325"/>
    <mergeCell ref="L325:O325"/>
    <mergeCell ref="V325:Y325"/>
    <mergeCell ref="G300:J300"/>
    <mergeCell ref="Q300:T300"/>
    <mergeCell ref="G325:J325"/>
    <mergeCell ref="Q325:T325"/>
    <mergeCell ref="G350:J350"/>
    <mergeCell ref="Q350:T350"/>
    <mergeCell ref="V385:Y385"/>
    <mergeCell ref="B375:E375"/>
    <mergeCell ref="L375:O375"/>
    <mergeCell ref="V375:Y375"/>
    <mergeCell ref="B430:E430"/>
    <mergeCell ref="L430:O430"/>
    <mergeCell ref="V430:Y430"/>
    <mergeCell ref="B385:E385"/>
    <mergeCell ref="L385:O385"/>
    <mergeCell ref="G375:J375"/>
    <mergeCell ref="Q375:T375"/>
    <mergeCell ref="G385:J385"/>
    <mergeCell ref="Q385:T385"/>
    <mergeCell ref="G430:J430"/>
    <mergeCell ref="Q430:T430"/>
    <mergeCell ref="V280:Y280"/>
    <mergeCell ref="B300:E300"/>
    <mergeCell ref="B220:E220"/>
    <mergeCell ref="L220:O220"/>
    <mergeCell ref="V220:Y220"/>
    <mergeCell ref="B245:E245"/>
    <mergeCell ref="L245:O245"/>
    <mergeCell ref="V245:Y245"/>
    <mergeCell ref="B280:E280"/>
    <mergeCell ref="L280:O280"/>
    <mergeCell ref="G280:J280"/>
    <mergeCell ref="Q280:T280"/>
    <mergeCell ref="G220:J220"/>
    <mergeCell ref="Q220:T220"/>
    <mergeCell ref="G245:J245"/>
    <mergeCell ref="Q245:T245"/>
    <mergeCell ref="B195:E195"/>
    <mergeCell ref="L195:O195"/>
    <mergeCell ref="V195:Y195"/>
    <mergeCell ref="L15:O15"/>
    <mergeCell ref="V15:Y15"/>
    <mergeCell ref="B25:E25"/>
    <mergeCell ref="L25:O25"/>
    <mergeCell ref="V25:Y25"/>
    <mergeCell ref="B70:E70"/>
    <mergeCell ref="L70:O70"/>
    <mergeCell ref="V70:Y70"/>
    <mergeCell ref="B160:E160"/>
    <mergeCell ref="L160:O160"/>
    <mergeCell ref="V160:Y160"/>
    <mergeCell ref="G15:J15"/>
    <mergeCell ref="Q15:T15"/>
    <mergeCell ref="G195:J195"/>
    <mergeCell ref="Q195:T195"/>
    <mergeCell ref="G70:J70"/>
    <mergeCell ref="Q70:T70"/>
    <mergeCell ref="G160:J160"/>
    <mergeCell ref="Q160:T160"/>
    <mergeCell ref="G170:J170"/>
    <mergeCell ref="Q170:T170"/>
    <mergeCell ref="B5:E5"/>
    <mergeCell ref="L5:O5"/>
    <mergeCell ref="V5:Y5"/>
    <mergeCell ref="B170:E170"/>
    <mergeCell ref="L170:O170"/>
    <mergeCell ref="V170:Y170"/>
    <mergeCell ref="B45:E45"/>
    <mergeCell ref="L45:O45"/>
    <mergeCell ref="V45:Y45"/>
    <mergeCell ref="B15:E15"/>
    <mergeCell ref="G5:J5"/>
    <mergeCell ref="Q5:T5"/>
    <mergeCell ref="G25:J25"/>
    <mergeCell ref="Q25:T25"/>
    <mergeCell ref="G45:J45"/>
    <mergeCell ref="Q45:T45"/>
  </mergeCells>
  <pageMargins left="0.7" right="0.7" top="0.75" bottom="0.75" header="0.3" footer="0.3"/>
  <pageSetup paperSize="9" scale="66" fitToWidth="0" fitToHeight="0" orientation="landscape" r:id="rId1"/>
  <rowBreaks count="14" manualBreakCount="14">
    <brk id="44" max="24" man="1"/>
    <brk id="69" max="24" man="1"/>
    <brk id="117" max="24" man="1"/>
    <brk id="156" max="24" man="1"/>
    <brk id="194" max="24" man="1"/>
    <brk id="241" max="24" man="1"/>
    <brk id="279" max="24" man="1"/>
    <brk id="324" max="24" man="1"/>
    <brk id="374" max="24" man="1"/>
    <brk id="426" max="24" man="1"/>
    <brk id="469" max="24" man="1"/>
    <brk id="514" max="24" man="1"/>
    <brk id="566" max="24" man="1"/>
    <brk id="671" max="24" man="1"/>
  </rowBreaks>
  <colBreaks count="1" manualBreakCount="1">
    <brk id="25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P43"/>
  <sheetViews>
    <sheetView zoomScale="75" zoomScaleNormal="75" workbookViewId="0"/>
  </sheetViews>
  <sheetFormatPr defaultRowHeight="12.45" x14ac:dyDescent="0.3"/>
  <cols>
    <col min="1" max="1" width="11" style="80" bestFit="1" customWidth="1"/>
    <col min="2" max="9" width="9.15234375" style="80"/>
    <col min="10" max="10" width="17.53515625" style="80" customWidth="1"/>
    <col min="11" max="11" width="8.23046875" style="80" customWidth="1"/>
    <col min="12" max="12" width="28.15234375" customWidth="1"/>
    <col min="13" max="14" width="10.15234375" customWidth="1"/>
  </cols>
  <sheetData>
    <row r="1" spans="1:16" ht="15.45" x14ac:dyDescent="0.4">
      <c r="A1" s="79" t="str">
        <f>CONCATENATE("Industry Figure 1  Growth in Employment by Industry Group (SIC 2007), ",M6," and ",N6,", ",Info!B5)</f>
        <v>Industry Figure 1  Growth in Employment by Industry Group (SIC 2007), 2015-2020 and 2020-2035, East</v>
      </c>
    </row>
    <row r="2" spans="1:16" x14ac:dyDescent="0.3">
      <c r="A2" s="181" t="s">
        <v>536</v>
      </c>
    </row>
    <row r="3" spans="1:16" x14ac:dyDescent="0.3">
      <c r="L3" s="45" t="s">
        <v>449</v>
      </c>
    </row>
    <row r="5" spans="1:16" ht="12.9" x14ac:dyDescent="0.35">
      <c r="L5" s="29" t="s">
        <v>418</v>
      </c>
    </row>
    <row r="6" spans="1:16" x14ac:dyDescent="0.3">
      <c r="L6" s="13"/>
      <c r="M6" s="15" t="str">
        <f>'Ind T4'!B87</f>
        <v>2015-2020</v>
      </c>
      <c r="N6" s="15" t="str">
        <f>'Ind T4'!C87</f>
        <v>2020-2035</v>
      </c>
      <c r="O6" s="15"/>
      <c r="P6" s="15"/>
    </row>
    <row r="7" spans="1:16" x14ac:dyDescent="0.3">
      <c r="L7" s="1" t="str">
        <f>'Ind T4'!A83</f>
        <v>All industries</v>
      </c>
      <c r="M7">
        <f>'Ind T4'!B122</f>
        <v>0.76326935937189866</v>
      </c>
      <c r="N7">
        <f>'Ind T4'!C122</f>
        <v>0.54590226783473028</v>
      </c>
    </row>
    <row r="8" spans="1:16" x14ac:dyDescent="0.3">
      <c r="L8" s="13"/>
    </row>
    <row r="9" spans="1:16" x14ac:dyDescent="0.3">
      <c r="L9" s="13" t="str">
        <f>'Ind T4'!A81</f>
        <v>Health and social work</v>
      </c>
      <c r="M9">
        <f>'Ind T4'!B120</f>
        <v>1.4457372122555379</v>
      </c>
      <c r="N9">
        <f>'Ind T4'!C120</f>
        <v>1.1943308522234908</v>
      </c>
    </row>
    <row r="10" spans="1:16" x14ac:dyDescent="0.3">
      <c r="L10" s="13" t="str">
        <f>'Ind T4'!A80</f>
        <v>Education</v>
      </c>
      <c r="M10">
        <f>'Ind T4'!B119</f>
        <v>1.4812337165341471</v>
      </c>
      <c r="N10">
        <f>'Ind T4'!C119</f>
        <v>1.2393547226130508E-2</v>
      </c>
    </row>
    <row r="11" spans="1:16" x14ac:dyDescent="0.3">
      <c r="L11" s="13" t="str">
        <f>'Ind T4'!A79</f>
        <v>Public admin. and defence</v>
      </c>
      <c r="M11">
        <f>'Ind T4'!B118</f>
        <v>-0.83490516756158373</v>
      </c>
      <c r="N11">
        <f>'Ind T4'!C118</f>
        <v>0.81632490948853054</v>
      </c>
    </row>
    <row r="12" spans="1:16" x14ac:dyDescent="0.3">
      <c r="L12" s="1" t="str">
        <f>CONCATENATE("[",'Ind T4'!A78,"]")</f>
        <v>[Non-marketed services]</v>
      </c>
      <c r="M12">
        <f>'Ind T4'!B117</f>
        <v>1.1665362846994709</v>
      </c>
      <c r="N12">
        <f>'Ind T4'!C117</f>
        <v>0.71697487730901788</v>
      </c>
    </row>
    <row r="13" spans="1:16" x14ac:dyDescent="0.3">
      <c r="L13" s="13"/>
    </row>
    <row r="14" spans="1:16" x14ac:dyDescent="0.3">
      <c r="L14" s="13" t="str">
        <f>'Ind T4'!A76</f>
        <v>Other services</v>
      </c>
      <c r="M14" s="82">
        <f>'Ind T4'!B115</f>
        <v>-0.52662682102594394</v>
      </c>
      <c r="N14" s="82">
        <f>'Ind T4'!C115</f>
        <v>3.3093456833865886E-2</v>
      </c>
    </row>
    <row r="15" spans="1:16" x14ac:dyDescent="0.3">
      <c r="L15" s="13" t="str">
        <f>'Ind T4'!A75</f>
        <v>Arts and entertainment</v>
      </c>
      <c r="M15" s="82">
        <f>'Ind T4'!B114</f>
        <v>6.5554543566492152</v>
      </c>
      <c r="N15" s="82">
        <f>'Ind T4'!C114</f>
        <v>-0.11808043003224133</v>
      </c>
    </row>
    <row r="16" spans="1:16" x14ac:dyDescent="0.3">
      <c r="L16" s="13" t="str">
        <f>'Ind T4'!A74</f>
        <v>Support services</v>
      </c>
      <c r="M16" s="82">
        <f>'Ind T4'!B113</f>
        <v>-0.78006063158857497</v>
      </c>
      <c r="N16" s="82">
        <f>'Ind T4'!C113</f>
        <v>0.89117809248573376</v>
      </c>
    </row>
    <row r="17" spans="12:14" x14ac:dyDescent="0.3">
      <c r="L17" s="13" t="str">
        <f>'Ind T4'!A73</f>
        <v>Professional services</v>
      </c>
      <c r="M17" s="82">
        <f>'Ind T4'!B112</f>
        <v>2.1553597832734139</v>
      </c>
      <c r="N17" s="82">
        <f>'Ind T4'!C112</f>
        <v>0.88277198895900799</v>
      </c>
    </row>
    <row r="18" spans="12:14" x14ac:dyDescent="0.3">
      <c r="L18" s="13" t="str">
        <f>'Ind T4'!A72</f>
        <v>Real estate</v>
      </c>
      <c r="M18" s="82">
        <f>'Ind T4'!B111</f>
        <v>2.9805871744002399</v>
      </c>
      <c r="N18" s="82">
        <f>'Ind T4'!C111</f>
        <v>1.0526925871850112</v>
      </c>
    </row>
    <row r="19" spans="12:14" x14ac:dyDescent="0.3">
      <c r="L19" t="str">
        <f>'Ind T4'!A71</f>
        <v>Finance and insurance</v>
      </c>
      <c r="M19">
        <f>'Ind T4'!B110</f>
        <v>0.96064683676744256</v>
      </c>
      <c r="N19">
        <f>'Ind T4'!C110</f>
        <v>-0.88822715456692292</v>
      </c>
    </row>
    <row r="20" spans="12:14" x14ac:dyDescent="0.3">
      <c r="L20" t="str">
        <f>'Ind T4'!A70</f>
        <v>Information technology</v>
      </c>
      <c r="M20">
        <f>'Ind T4'!B109</f>
        <v>0.10194434638812755</v>
      </c>
      <c r="N20">
        <f>'Ind T4'!C109</f>
        <v>0.60179099630182087</v>
      </c>
    </row>
    <row r="21" spans="12:14" x14ac:dyDescent="0.3">
      <c r="L21" t="str">
        <f>'Ind T4'!A69</f>
        <v>Media</v>
      </c>
      <c r="M21">
        <f>'Ind T4'!B108</f>
        <v>-3.1391200564011679</v>
      </c>
      <c r="N21">
        <f>'Ind T4'!C108</f>
        <v>-0.32048672311942861</v>
      </c>
    </row>
    <row r="22" spans="12:14" x14ac:dyDescent="0.3">
      <c r="L22" s="1" t="str">
        <f>CONCATENATE("[",'Ind T4'!A68,"]")</f>
        <v>[Business and other services]</v>
      </c>
      <c r="M22">
        <f>'Ind T4'!B107</f>
        <v>1.0006184696311982</v>
      </c>
      <c r="N22">
        <f>'Ind T4'!C107</f>
        <v>0.54704808290675366</v>
      </c>
    </row>
    <row r="23" spans="12:14" x14ac:dyDescent="0.3">
      <c r="L23" s="13"/>
    </row>
    <row r="24" spans="12:14" x14ac:dyDescent="0.3">
      <c r="L24" s="13" t="str">
        <f>'Ind T4'!A66</f>
        <v>Accommodation and food</v>
      </c>
      <c r="M24">
        <f>'Ind T4'!B105</f>
        <v>1.6126670334956517</v>
      </c>
      <c r="N24">
        <f>'Ind T4'!C105</f>
        <v>0.96263619385150712</v>
      </c>
    </row>
    <row r="25" spans="12:14" x14ac:dyDescent="0.3">
      <c r="L25" s="13" t="str">
        <f>'Ind T4'!A65</f>
        <v>Transport and storage</v>
      </c>
      <c r="M25">
        <f>'Ind T4'!B104</f>
        <v>3.8051537098244603</v>
      </c>
      <c r="N25">
        <f>'Ind T4'!C104</f>
        <v>0.70104034215838773</v>
      </c>
    </row>
    <row r="26" spans="12:14" x14ac:dyDescent="0.3">
      <c r="L26" s="13" t="str">
        <f>'Ind T4'!A64</f>
        <v>Wholesale and retail trade</v>
      </c>
      <c r="M26">
        <f>'Ind T4'!B103</f>
        <v>-1.088389512974608</v>
      </c>
      <c r="N26">
        <f>'Ind T4'!C103</f>
        <v>0.21198256882719591</v>
      </c>
    </row>
    <row r="27" spans="12:14" x14ac:dyDescent="0.3">
      <c r="L27" s="1" t="str">
        <f>CONCATENATE("[",'Ind T4'!A63,"]")</f>
        <v>[Trade, accomod. and transport]</v>
      </c>
      <c r="M27">
        <f>'Ind T4'!B102</f>
        <v>0.41705535868024057</v>
      </c>
      <c r="N27">
        <f>'Ind T4'!C102</f>
        <v>0.49699131437834776</v>
      </c>
    </row>
    <row r="28" spans="12:14" x14ac:dyDescent="0.3">
      <c r="L28" s="13"/>
    </row>
    <row r="29" spans="12:14" x14ac:dyDescent="0.3">
      <c r="L29" s="1" t="str">
        <f>CONCATENATE("[",'Ind T4'!A61,"]")</f>
        <v>[Construction]</v>
      </c>
      <c r="M29">
        <f>'Ind T4'!B100</f>
        <v>2.3506017480688035</v>
      </c>
      <c r="N29">
        <f>'Ind T4'!C100</f>
        <v>1.2455077280584037</v>
      </c>
    </row>
    <row r="30" spans="12:14" x14ac:dyDescent="0.3">
      <c r="L30" s="13"/>
    </row>
    <row r="31" spans="12:14" x14ac:dyDescent="0.3">
      <c r="L31" s="13" t="str">
        <f>'Ind T4'!A59</f>
        <v>Rest of manufacturing</v>
      </c>
      <c r="M31">
        <f>'Ind T4'!B98</f>
        <v>-0.38082755613005892</v>
      </c>
      <c r="N31">
        <f>'Ind T4'!C98</f>
        <v>-1.1935565378666024</v>
      </c>
    </row>
    <row r="32" spans="12:14" x14ac:dyDescent="0.3">
      <c r="L32" s="13" t="str">
        <f>'Ind T4'!A58</f>
        <v>Engineering</v>
      </c>
      <c r="M32">
        <f>'Ind T4'!B97</f>
        <v>-1.4067926739187886</v>
      </c>
      <c r="N32">
        <f>'Ind T4'!C97</f>
        <v>-1.1276140329146811</v>
      </c>
    </row>
    <row r="33" spans="12:14" x14ac:dyDescent="0.3">
      <c r="L33" s="13" t="str">
        <f>'Ind T4'!A57</f>
        <v>Food drink and tobacco</v>
      </c>
      <c r="M33">
        <f>'Ind T4'!B96</f>
        <v>0.80638747052073079</v>
      </c>
      <c r="N33">
        <f>'Ind T4'!C96</f>
        <v>0.90420302521347917</v>
      </c>
    </row>
    <row r="34" spans="12:14" x14ac:dyDescent="0.3">
      <c r="L34" s="1" t="str">
        <f>CONCATENATE("[",'Ind T4'!A56,"]")</f>
        <v>[Manufacturing]</v>
      </c>
      <c r="M34">
        <f>'Ind T4'!B95</f>
        <v>-0.40395936370751784</v>
      </c>
      <c r="N34">
        <f>'Ind T4'!C95</f>
        <v>-0.81213891267825078</v>
      </c>
    </row>
    <row r="35" spans="12:14" x14ac:dyDescent="0.3">
      <c r="L35" s="13"/>
    </row>
    <row r="36" spans="12:14" x14ac:dyDescent="0.3">
      <c r="L36" s="13" t="str">
        <f>'Ind T4'!A54</f>
        <v>Water and sewerage</v>
      </c>
      <c r="M36">
        <f>'Ind T4'!B93</f>
        <v>-0.61433091320027833</v>
      </c>
      <c r="N36">
        <f>'Ind T4'!C93</f>
        <v>1.0098345442218992</v>
      </c>
    </row>
    <row r="37" spans="12:14" x14ac:dyDescent="0.3">
      <c r="L37" s="13" t="str">
        <f>'Ind T4'!A53</f>
        <v>Electricity and gas</v>
      </c>
      <c r="M37">
        <f>'Ind T4'!B92</f>
        <v>-3.1995906014511188</v>
      </c>
      <c r="N37">
        <f>'Ind T4'!C92</f>
        <v>-0.76223504679517884</v>
      </c>
    </row>
    <row r="38" spans="12:14" x14ac:dyDescent="0.3">
      <c r="L38" s="13" t="str">
        <f>'Ind T4'!A52</f>
        <v>Mining and quarrying</v>
      </c>
      <c r="M38">
        <f>'Ind T4'!B91</f>
        <v>2.5046577309398632</v>
      </c>
      <c r="N38">
        <f>'Ind T4'!C91</f>
        <v>-4.4264463795055553</v>
      </c>
    </row>
    <row r="39" spans="12:14" x14ac:dyDescent="0.3">
      <c r="L39" s="44" t="str">
        <f>'Ind T4'!A51</f>
        <v>Agriculture</v>
      </c>
      <c r="M39">
        <f>'Ind T4'!B90</f>
        <v>-9.0174266424126728</v>
      </c>
      <c r="N39">
        <f>'Ind T4'!C90</f>
        <v>0.15935461299412257</v>
      </c>
    </row>
    <row r="40" spans="12:14" x14ac:dyDescent="0.3">
      <c r="L40" s="1" t="str">
        <f>CONCATENATE("[",'Ind T4'!A50,"]")</f>
        <v>[Primary sector and utilities]</v>
      </c>
      <c r="M40">
        <f>'Ind T4'!B89</f>
        <v>-5.1384622305172485</v>
      </c>
      <c r="N40">
        <f>'Ind T4'!C89</f>
        <v>0.24713101632760637</v>
      </c>
    </row>
    <row r="43" spans="12:14" x14ac:dyDescent="0.3">
      <c r="L43" t="str">
        <f>REPT(" ",11)</f>
        <v xml:space="preserve">           </v>
      </c>
    </row>
  </sheetData>
  <phoneticPr fontId="4" type="noConversion"/>
  <conditionalFormatting sqref="L6 L8 L13 O18:P18 L23 L28 O25:P25 L30 O23:P23 O13:P13 O8:P8 O6:P6">
    <cfRule type="cellIs" dxfId="14" priority="2" stopIfTrue="1" operator="equal">
      <formula>0</formula>
    </cfRule>
  </conditionalFormatting>
  <conditionalFormatting sqref="M6:N6 M8:N8 M13:N13 M23:N23 M28:N28 M30:N30">
    <cfRule type="cellIs" dxfId="13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R268"/>
  <sheetViews>
    <sheetView zoomScale="75" zoomScaleNormal="75" workbookViewId="0"/>
  </sheetViews>
  <sheetFormatPr defaultRowHeight="12.45" x14ac:dyDescent="0.3"/>
  <cols>
    <col min="1" max="1" width="17" style="80" customWidth="1"/>
    <col min="2" max="10" width="9.15234375" style="80"/>
    <col min="11" max="11" width="23.23046875" style="80" customWidth="1"/>
    <col min="12" max="12" width="25.53515625" customWidth="1"/>
    <col min="13" max="19" width="7.69140625" bestFit="1" customWidth="1"/>
    <col min="20" max="21" width="7.4609375" bestFit="1" customWidth="1"/>
    <col min="22" max="22" width="7.69140625" bestFit="1" customWidth="1"/>
    <col min="23" max="24" width="7.4609375" bestFit="1" customWidth="1"/>
    <col min="25" max="29" width="7.69140625" bestFit="1" customWidth="1"/>
    <col min="30" max="30" width="7.4609375" bestFit="1" customWidth="1"/>
    <col min="31" max="32" width="7.69140625" bestFit="1" customWidth="1"/>
    <col min="33" max="33" width="7.4609375" bestFit="1" customWidth="1"/>
    <col min="34" max="35" width="7.69140625" bestFit="1" customWidth="1"/>
    <col min="36" max="36" width="7" bestFit="1" customWidth="1"/>
    <col min="37" max="38" width="7.69140625" bestFit="1" customWidth="1"/>
    <col min="39" max="40" width="7.53515625" customWidth="1"/>
    <col min="41" max="41" width="6.84375" customWidth="1"/>
    <col min="42" max="42" width="7.15234375" customWidth="1"/>
    <col min="43" max="43" width="7.53515625" customWidth="1"/>
    <col min="44" max="44" width="7.15234375" customWidth="1"/>
    <col min="45" max="47" width="7.53515625" customWidth="1"/>
    <col min="48" max="48" width="7.15234375" customWidth="1"/>
    <col min="49" max="52" width="7.53515625" customWidth="1"/>
    <col min="53" max="53" width="6.84375" customWidth="1"/>
    <col min="54" max="57" width="7.53515625" customWidth="1"/>
    <col min="58" max="58" width="7.15234375" customWidth="1"/>
    <col min="59" max="59" width="7.53515625" customWidth="1"/>
    <col min="60" max="60" width="6.53515625" customWidth="1"/>
    <col min="61" max="63" width="7.53515625" customWidth="1"/>
    <col min="64" max="64" width="2.4609375" customWidth="1"/>
    <col min="65" max="65" width="6.23046875" customWidth="1"/>
    <col min="66" max="66" width="19.4609375" customWidth="1"/>
  </cols>
  <sheetData>
    <row r="1" spans="1:96" ht="15.45" x14ac:dyDescent="0.4">
      <c r="A1" s="79" t="str">
        <f>CONCATENATE("Industry Figure 2  Employment by Industry (SIC 2007), ",$M$2,"-",$O$2,", ",Info!B5)</f>
        <v>Industry Figure 2  Employment by Industry (SIC 2007), 2010-2035, East</v>
      </c>
      <c r="L1" s="45"/>
    </row>
    <row r="2" spans="1:96" x14ac:dyDescent="0.3">
      <c r="A2" s="181" t="s">
        <v>536</v>
      </c>
      <c r="L2" s="15" t="s">
        <v>28</v>
      </c>
      <c r="M2" s="47">
        <f>M4</f>
        <v>2010</v>
      </c>
      <c r="N2" s="46" t="s">
        <v>27</v>
      </c>
      <c r="O2" s="47">
        <f>MAX(Q4:BQ4)</f>
        <v>2035</v>
      </c>
    </row>
    <row r="3" spans="1:96" x14ac:dyDescent="0.3">
      <c r="L3" s="15"/>
      <c r="M3" s="15"/>
      <c r="N3" s="46"/>
      <c r="O3" s="15"/>
    </row>
    <row r="4" spans="1:96" x14ac:dyDescent="0.3">
      <c r="L4" s="13"/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47">
        <f t="shared" ref="AM4" si="0">BP4</f>
        <v>0</v>
      </c>
      <c r="AN4" s="10"/>
      <c r="AO4" s="10"/>
      <c r="AP4" s="10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10"/>
      <c r="BS4" s="47"/>
      <c r="BT4" s="47"/>
      <c r="BU4" s="47"/>
      <c r="BV4" s="47"/>
      <c r="BW4" s="47"/>
      <c r="BX4" s="47"/>
      <c r="BY4" s="47"/>
      <c r="BZ4" s="47"/>
      <c r="CA4" s="47"/>
      <c r="CB4" s="47"/>
      <c r="CC4" s="47"/>
      <c r="CD4" s="47"/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</row>
    <row r="5" spans="1:96" x14ac:dyDescent="0.3">
      <c r="L5" s="1" t="str">
        <f>'Ind T4'!A7</f>
        <v>Primary sector and utilities</v>
      </c>
      <c r="M5" s="86">
        <f>SUM(M6:M9)</f>
        <v>68.895999999524093</v>
      </c>
      <c r="N5" s="86">
        <f t="shared" ref="N5:AL5" si="1">SUM(N6:N9)</f>
        <v>62.275000000054419</v>
      </c>
      <c r="O5" s="86">
        <f t="shared" si="1"/>
        <v>72.898000000046096</v>
      </c>
      <c r="P5" s="86">
        <f t="shared" si="1"/>
        <v>62.946999999986389</v>
      </c>
      <c r="Q5" s="86">
        <f t="shared" si="1"/>
        <v>69.087999999488673</v>
      </c>
      <c r="R5" s="86">
        <f t="shared" si="1"/>
        <v>72.308000000125929</v>
      </c>
      <c r="S5" s="86">
        <f t="shared" si="1"/>
        <v>67.800999999299478</v>
      </c>
      <c r="T5" s="86">
        <f t="shared" si="1"/>
        <v>60.017000000324032</v>
      </c>
      <c r="U5" s="86">
        <f t="shared" si="1"/>
        <v>72.625000000488214</v>
      </c>
      <c r="V5" s="86">
        <f t="shared" si="1"/>
        <v>77.823000000426504</v>
      </c>
      <c r="W5" s="86">
        <f t="shared" si="1"/>
        <v>55.543999999892442</v>
      </c>
      <c r="X5" s="86">
        <f t="shared" si="1"/>
        <v>55.106999999848327</v>
      </c>
      <c r="Y5" s="86">
        <f t="shared" si="1"/>
        <v>55.129000000249718</v>
      </c>
      <c r="Z5" s="86">
        <f t="shared" si="1"/>
        <v>55.589000000254266</v>
      </c>
      <c r="AA5" s="86">
        <f t="shared" si="1"/>
        <v>56.641000000128926</v>
      </c>
      <c r="AB5" s="86">
        <f t="shared" si="1"/>
        <v>56.970000000368515</v>
      </c>
      <c r="AC5" s="86">
        <f t="shared" si="1"/>
        <v>57.191000000304598</v>
      </c>
      <c r="AD5" s="86">
        <f t="shared" si="1"/>
        <v>57.319000000444113</v>
      </c>
      <c r="AE5" s="86">
        <f t="shared" si="1"/>
        <v>57.387000000420443</v>
      </c>
      <c r="AF5" s="86">
        <f t="shared" si="1"/>
        <v>57.446000000361011</v>
      </c>
      <c r="AG5" s="86">
        <f t="shared" si="1"/>
        <v>57.490000000443928</v>
      </c>
      <c r="AH5" s="86">
        <f t="shared" si="1"/>
        <v>57.524000000417907</v>
      </c>
      <c r="AI5" s="86">
        <f t="shared" si="1"/>
        <v>57.545000000513205</v>
      </c>
      <c r="AJ5" s="86">
        <f t="shared" si="1"/>
        <v>57.579000000420308</v>
      </c>
      <c r="AK5" s="86">
        <f t="shared" si="1"/>
        <v>57.593000000371987</v>
      </c>
      <c r="AL5" s="86">
        <f t="shared" si="1"/>
        <v>57.639000000147448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3">
      <c r="L6" s="82" t="str">
        <f>'Ind T4'!A8</f>
        <v>Agriculture</v>
      </c>
      <c r="M6" s="11">
        <v>42.534999999548525</v>
      </c>
      <c r="N6" s="11">
        <v>35.679000000109333</v>
      </c>
      <c r="O6" s="11">
        <v>43.721000000117591</v>
      </c>
      <c r="P6" s="11">
        <v>33.508000000087144</v>
      </c>
      <c r="Q6" s="11">
        <v>44.138999999621127</v>
      </c>
      <c r="R6" s="11">
        <v>40.811000000194547</v>
      </c>
      <c r="S6" s="11">
        <v>38.495999999503333</v>
      </c>
      <c r="T6" s="11">
        <v>30.77500000025044</v>
      </c>
      <c r="U6" s="11">
        <v>35.772000000369822</v>
      </c>
      <c r="V6" s="11">
        <v>43.194000000439345</v>
      </c>
      <c r="W6" s="11">
        <v>25.4429999999434</v>
      </c>
      <c r="X6" s="11">
        <v>25.760999999916709</v>
      </c>
      <c r="Y6" s="11">
        <v>26.118000000209697</v>
      </c>
      <c r="Z6" s="11">
        <v>26.406000000218643</v>
      </c>
      <c r="AA6" s="11">
        <v>26.685000000096572</v>
      </c>
      <c r="AB6" s="11">
        <v>26.603000000203799</v>
      </c>
      <c r="AC6" s="11">
        <v>26.549000000152578</v>
      </c>
      <c r="AD6" s="11">
        <v>26.492000000269861</v>
      </c>
      <c r="AE6" s="11">
        <v>26.433000000263437</v>
      </c>
      <c r="AF6" s="11">
        <v>26.37400000023429</v>
      </c>
      <c r="AG6" s="11">
        <v>26.320000000267999</v>
      </c>
      <c r="AH6" s="11">
        <v>26.268000000262138</v>
      </c>
      <c r="AI6" s="11">
        <v>26.217000000310343</v>
      </c>
      <c r="AJ6" s="11">
        <v>26.162000000228264</v>
      </c>
      <c r="AK6" s="171">
        <v>26.110000000190329</v>
      </c>
      <c r="AL6" s="11">
        <v>26.058000000086867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3">
      <c r="L7" s="82" t="str">
        <f>'Ind T4'!A9</f>
        <v>Mining and quarrying</v>
      </c>
      <c r="M7" s="11">
        <v>1.6670000000046654</v>
      </c>
      <c r="N7" s="11">
        <v>1.8509999999908924</v>
      </c>
      <c r="O7" s="11">
        <v>1.2679999999943052</v>
      </c>
      <c r="P7" s="11">
        <v>1.5539999999925831</v>
      </c>
      <c r="Q7" s="11">
        <v>1.6839999999917969</v>
      </c>
      <c r="R7" s="11">
        <v>2.4379999999869169</v>
      </c>
      <c r="S7" s="11">
        <v>1.2929999999944555</v>
      </c>
      <c r="T7" s="11">
        <v>2.4800000000052216</v>
      </c>
      <c r="U7" s="11">
        <v>2.4960000000060507</v>
      </c>
      <c r="V7" s="11">
        <v>1.9439999999976525</v>
      </c>
      <c r="W7" s="11">
        <v>2.7589999999879002</v>
      </c>
      <c r="X7" s="11">
        <v>2.5799999999862049</v>
      </c>
      <c r="Y7" s="11">
        <v>2.5069999999792447</v>
      </c>
      <c r="Z7" s="11">
        <v>2.3629999999786717</v>
      </c>
      <c r="AA7" s="11">
        <v>2.219999999977802</v>
      </c>
      <c r="AB7" s="11">
        <v>2.1029999999813591</v>
      </c>
      <c r="AC7" s="11">
        <v>2.0089999999816275</v>
      </c>
      <c r="AD7" s="11">
        <v>1.9159999999844244</v>
      </c>
      <c r="AE7" s="11">
        <v>1.8319999999801677</v>
      </c>
      <c r="AF7" s="11">
        <v>1.7569999999824577</v>
      </c>
      <c r="AG7" s="11">
        <v>1.6909999999818657</v>
      </c>
      <c r="AH7" s="11">
        <v>1.620999999986557</v>
      </c>
      <c r="AI7" s="11">
        <v>1.5579999999857683</v>
      </c>
      <c r="AJ7" s="11">
        <v>1.499999999985876</v>
      </c>
      <c r="AK7" s="171">
        <v>1.4479999999842335</v>
      </c>
      <c r="AL7" s="11">
        <v>1.3989999999889444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3">
      <c r="L8" s="82" t="str">
        <f>'Ind T4'!A10</f>
        <v>Electricity and gas</v>
      </c>
      <c r="M8" s="11">
        <v>5.7580000000206493</v>
      </c>
      <c r="N8" s="11">
        <v>6.2789999999702264</v>
      </c>
      <c r="O8" s="11">
        <v>6.0769999999721858</v>
      </c>
      <c r="P8" s="11">
        <v>6.3769999999746565</v>
      </c>
      <c r="Q8" s="11">
        <v>6.2179999999977076</v>
      </c>
      <c r="R8" s="11">
        <v>6.9769999999797303</v>
      </c>
      <c r="S8" s="11">
        <v>6.3440000000043604</v>
      </c>
      <c r="T8" s="11">
        <v>8.2539999999650444</v>
      </c>
      <c r="U8" s="11">
        <v>7.4219999999969977</v>
      </c>
      <c r="V8" s="11">
        <v>7.2169999999705867</v>
      </c>
      <c r="W8" s="11">
        <v>5.9299999999484241</v>
      </c>
      <c r="X8" s="11">
        <v>5.7689999999406503</v>
      </c>
      <c r="Y8" s="11">
        <v>5.6230000000017037</v>
      </c>
      <c r="Z8" s="11">
        <v>5.5809999999988564</v>
      </c>
      <c r="AA8" s="11">
        <v>5.5519999999787375</v>
      </c>
      <c r="AB8" s="11">
        <v>5.5280000000022245</v>
      </c>
      <c r="AC8" s="11">
        <v>5.5019999999908649</v>
      </c>
      <c r="AD8" s="11">
        <v>5.4779999999824716</v>
      </c>
      <c r="AE8" s="11">
        <v>5.4509999999647132</v>
      </c>
      <c r="AF8" s="11">
        <v>5.4270000000037397</v>
      </c>
      <c r="AG8" s="11">
        <v>5.4030000000013931</v>
      </c>
      <c r="AH8" s="11">
        <v>5.3799999999795771</v>
      </c>
      <c r="AI8" s="11">
        <v>5.3559999999685344</v>
      </c>
      <c r="AJ8" s="11">
        <v>5.3339999999935293</v>
      </c>
      <c r="AK8" s="171">
        <v>5.30999999999697</v>
      </c>
      <c r="AL8" s="11">
        <v>5.286999999950595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3">
      <c r="L9" s="82" t="str">
        <f>'Ind T4'!A11</f>
        <v>Water and sewerage</v>
      </c>
      <c r="M9" s="11">
        <v>18.935999999950262</v>
      </c>
      <c r="N9" s="11">
        <v>18.465999999983968</v>
      </c>
      <c r="O9" s="11">
        <v>21.831999999962022</v>
      </c>
      <c r="P9" s="11">
        <v>21.507999999932007</v>
      </c>
      <c r="Q9" s="11">
        <v>17.046999999878039</v>
      </c>
      <c r="R9" s="11">
        <v>22.081999999964733</v>
      </c>
      <c r="S9" s="11">
        <v>21.667999999797328</v>
      </c>
      <c r="T9" s="11">
        <v>18.508000000103326</v>
      </c>
      <c r="U9" s="11">
        <v>26.935000000115348</v>
      </c>
      <c r="V9" s="11">
        <v>25.468000000018925</v>
      </c>
      <c r="W9" s="11">
        <v>21.412000000012718</v>
      </c>
      <c r="X9" s="11">
        <v>20.997000000004764</v>
      </c>
      <c r="Y9" s="11">
        <v>20.881000000059075</v>
      </c>
      <c r="Z9" s="11">
        <v>21.239000000058091</v>
      </c>
      <c r="AA9" s="11">
        <v>22.184000000075809</v>
      </c>
      <c r="AB9" s="11">
        <v>22.736000000181132</v>
      </c>
      <c r="AC9" s="11">
        <v>23.131000000179526</v>
      </c>
      <c r="AD9" s="11">
        <v>23.433000000207358</v>
      </c>
      <c r="AE9" s="11">
        <v>23.671000000212128</v>
      </c>
      <c r="AF9" s="11">
        <v>23.888000000140522</v>
      </c>
      <c r="AG9" s="11">
        <v>24.076000000192675</v>
      </c>
      <c r="AH9" s="11">
        <v>24.255000000189639</v>
      </c>
      <c r="AI9" s="11">
        <v>24.414000000248564</v>
      </c>
      <c r="AJ9" s="11">
        <v>24.583000000212646</v>
      </c>
      <c r="AK9" s="171">
        <v>24.725000000200453</v>
      </c>
      <c r="AL9" s="11">
        <v>24.895000000121044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3">
      <c r="L10" s="13"/>
      <c r="AK10" s="171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3">
      <c r="L11" s="1" t="str">
        <f>'Ind T4'!A13</f>
        <v>Manufacturing</v>
      </c>
      <c r="M11" s="86">
        <f t="shared" ref="M11:P11" si="2">SUM(M12:M14)</f>
        <v>231.9529999992946</v>
      </c>
      <c r="N11" s="86">
        <f t="shared" si="2"/>
        <v>236.92399999968666</v>
      </c>
      <c r="O11" s="86">
        <f t="shared" si="2"/>
        <v>244.27799999964088</v>
      </c>
      <c r="P11" s="86">
        <f t="shared" si="2"/>
        <v>230.22399999950471</v>
      </c>
      <c r="Q11" s="86">
        <f>SUM(Q12:Q14)</f>
        <v>229.55199999879522</v>
      </c>
      <c r="R11" s="86">
        <f t="shared" ref="R11" si="3">SUM(R12:R14)</f>
        <v>225.15099999980188</v>
      </c>
      <c r="S11" s="86">
        <f t="shared" ref="S11" si="4">SUM(S12:S14)</f>
        <v>235.70999999870156</v>
      </c>
      <c r="T11" s="86">
        <f t="shared" ref="T11" si="5">SUM(T12:T14)</f>
        <v>237.14500000081912</v>
      </c>
      <c r="U11" s="86">
        <f t="shared" ref="U11" si="6">SUM(U12:U14)</f>
        <v>234.84400000091108</v>
      </c>
      <c r="V11" s="86">
        <f t="shared" ref="V11" si="7">SUM(V12:V14)</f>
        <v>227.75800000002653</v>
      </c>
      <c r="W11" s="86">
        <f t="shared" ref="W11" si="8">SUM(W12:W14)</f>
        <v>220.63999999966697</v>
      </c>
      <c r="X11" s="86">
        <f t="shared" ref="X11" si="9">SUM(X12:X14)</f>
        <v>220.36599999949433</v>
      </c>
      <c r="Y11" s="86">
        <f t="shared" ref="Y11" si="10">SUM(Y12:Y14)</f>
        <v>218.26600000073103</v>
      </c>
      <c r="Z11" s="86">
        <f t="shared" ref="Z11" si="11">SUM(Z12:Z14)</f>
        <v>215.95200000068155</v>
      </c>
      <c r="AA11" s="86">
        <f t="shared" ref="AA11" si="12">SUM(AA12:AA14)</f>
        <v>214.3000000004717</v>
      </c>
      <c r="AB11" s="86">
        <f t="shared" ref="AB11" si="13">SUM(AB12:AB14)</f>
        <v>212.38000000164976</v>
      </c>
      <c r="AC11" s="86">
        <f t="shared" ref="AC11" si="14">SUM(AC12:AC14)</f>
        <v>210.43000000151807</v>
      </c>
      <c r="AD11" s="86">
        <f>SUM(AD12:AD14)</f>
        <v>208.47400000174923</v>
      </c>
      <c r="AE11" s="86">
        <f t="shared" ref="AE11" si="15">SUM(AE12:AE14)</f>
        <v>206.59900000167411</v>
      </c>
      <c r="AF11" s="86">
        <f t="shared" ref="AF11" si="16">SUM(AF12:AF14)</f>
        <v>204.77200000132819</v>
      </c>
      <c r="AG11" s="86">
        <f t="shared" ref="AG11:AL11" si="17">SUM(AG12:AG14)</f>
        <v>203.14900000170553</v>
      </c>
      <c r="AH11" s="86">
        <f t="shared" si="17"/>
        <v>201.47800000163215</v>
      </c>
      <c r="AI11" s="86">
        <f t="shared" si="17"/>
        <v>199.86200000205733</v>
      </c>
      <c r="AJ11" s="86">
        <f t="shared" si="17"/>
        <v>198.28200000167988</v>
      </c>
      <c r="AK11" s="86">
        <f t="shared" si="17"/>
        <v>196.72500000172943</v>
      </c>
      <c r="AL11" s="86">
        <f t="shared" si="17"/>
        <v>195.23700000064912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3">
      <c r="L12" s="82" t="str">
        <f>'Ind T4'!A14</f>
        <v>Food drink and tobacco</v>
      </c>
      <c r="M12" s="11">
        <v>31.459999999540056</v>
      </c>
      <c r="N12" s="11">
        <v>32.361000000136244</v>
      </c>
      <c r="O12" s="11">
        <v>30.849000000058883</v>
      </c>
      <c r="P12" s="11">
        <v>28.397000000038762</v>
      </c>
      <c r="Q12" s="11">
        <v>37.107999999684338</v>
      </c>
      <c r="R12" s="11">
        <v>32.947000000102392</v>
      </c>
      <c r="S12" s="11">
        <v>33.83899999972467</v>
      </c>
      <c r="T12" s="11">
        <v>37.589000000267049</v>
      </c>
      <c r="U12" s="11">
        <v>37.255000000397139</v>
      </c>
      <c r="V12" s="11">
        <v>35.560000000154922</v>
      </c>
      <c r="W12" s="11">
        <v>34.296999999961379</v>
      </c>
      <c r="X12" s="11">
        <v>34.990999999945757</v>
      </c>
      <c r="Y12" s="11">
        <v>35.80300000037154</v>
      </c>
      <c r="Z12" s="11">
        <v>36.227000000371326</v>
      </c>
      <c r="AA12" s="11">
        <v>36.595000000176874</v>
      </c>
      <c r="AB12" s="11">
        <v>36.915000000564248</v>
      </c>
      <c r="AC12" s="11">
        <v>37.145000000512425</v>
      </c>
      <c r="AD12" s="11">
        <v>37.372000000545533</v>
      </c>
      <c r="AE12" s="11">
        <v>37.607000000523513</v>
      </c>
      <c r="AF12" s="11">
        <v>37.8330000004458</v>
      </c>
      <c r="AG12" s="11">
        <v>38.086000000551842</v>
      </c>
      <c r="AH12" s="11">
        <v>38.341000000524787</v>
      </c>
      <c r="AI12" s="11">
        <v>38.58700000066947</v>
      </c>
      <c r="AJ12" s="11">
        <v>38.82100000048051</v>
      </c>
      <c r="AK12" s="171">
        <v>39.043000000630215</v>
      </c>
      <c r="AL12" s="11">
        <v>39.255000000253339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3">
      <c r="L13" s="82" t="str">
        <f>'Ind T4'!A15</f>
        <v>Engineering</v>
      </c>
      <c r="M13" s="11">
        <v>55.38600000007672</v>
      </c>
      <c r="N13" s="11">
        <v>51.183999999808947</v>
      </c>
      <c r="O13" s="11">
        <v>50.758999999836831</v>
      </c>
      <c r="P13" s="11">
        <v>49.714999999831107</v>
      </c>
      <c r="Q13" s="11">
        <v>46.413999999868757</v>
      </c>
      <c r="R13" s="11">
        <v>45.036999999856398</v>
      </c>
      <c r="S13" s="11">
        <v>46.324999999860623</v>
      </c>
      <c r="T13" s="11">
        <v>47.544000000039233</v>
      </c>
      <c r="U13" s="11">
        <v>46.15800000003216</v>
      </c>
      <c r="V13" s="11">
        <v>44.193999999914404</v>
      </c>
      <c r="W13" s="11">
        <v>41.95699999987874</v>
      </c>
      <c r="X13" s="11">
        <v>42.91199999985151</v>
      </c>
      <c r="Y13" s="11">
        <v>42.495000000058745</v>
      </c>
      <c r="Z13" s="11">
        <v>42.390000000047607</v>
      </c>
      <c r="AA13" s="11">
        <v>42.10900000004542</v>
      </c>
      <c r="AB13" s="11">
        <v>41.735000000218044</v>
      </c>
      <c r="AC13" s="11">
        <v>41.077000000199362</v>
      </c>
      <c r="AD13" s="11">
        <v>40.419000000225701</v>
      </c>
      <c r="AE13" s="11">
        <v>39.757000000210404</v>
      </c>
      <c r="AF13" s="11">
        <v>39.108000000175579</v>
      </c>
      <c r="AG13" s="11">
        <v>38.502000000231597</v>
      </c>
      <c r="AH13" s="11">
        <v>37.877000000205577</v>
      </c>
      <c r="AI13" s="11">
        <v>37.25600000025748</v>
      </c>
      <c r="AJ13" s="11">
        <v>36.635000000227201</v>
      </c>
      <c r="AK13" s="171">
        <v>36.012000000217448</v>
      </c>
      <c r="AL13" s="11">
        <v>35.39400000007759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3">
      <c r="L14" s="82" t="str">
        <f>'Ind T4'!A16</f>
        <v>Rest of manufacturing</v>
      </c>
      <c r="M14" s="11">
        <v>145.10699999967784</v>
      </c>
      <c r="N14" s="11">
        <v>153.37899999974147</v>
      </c>
      <c r="O14" s="11">
        <v>162.66999999974516</v>
      </c>
      <c r="P14" s="11">
        <v>152.11199999963486</v>
      </c>
      <c r="Q14" s="11">
        <v>146.02999999924214</v>
      </c>
      <c r="R14" s="11">
        <v>147.16699999984309</v>
      </c>
      <c r="S14" s="11">
        <v>155.54599999911628</v>
      </c>
      <c r="T14" s="11">
        <v>152.01200000051284</v>
      </c>
      <c r="U14" s="11">
        <v>151.43100000048179</v>
      </c>
      <c r="V14" s="11">
        <v>148.00399999995719</v>
      </c>
      <c r="W14" s="11">
        <v>144.38599999982685</v>
      </c>
      <c r="X14" s="11">
        <v>142.46299999969708</v>
      </c>
      <c r="Y14" s="11">
        <v>139.96800000030075</v>
      </c>
      <c r="Z14" s="11">
        <v>137.33500000026262</v>
      </c>
      <c r="AA14" s="11">
        <v>135.5960000002494</v>
      </c>
      <c r="AB14" s="11">
        <v>133.73000000086748</v>
      </c>
      <c r="AC14" s="11">
        <v>132.20800000080629</v>
      </c>
      <c r="AD14" s="11">
        <v>130.68300000097801</v>
      </c>
      <c r="AE14" s="11">
        <v>129.2350000009402</v>
      </c>
      <c r="AF14" s="11">
        <v>127.83100000070682</v>
      </c>
      <c r="AG14" s="11">
        <v>126.56100000092209</v>
      </c>
      <c r="AH14" s="11">
        <v>125.26000000090178</v>
      </c>
      <c r="AI14" s="11">
        <v>124.01900000113038</v>
      </c>
      <c r="AJ14" s="11">
        <v>122.82600000097217</v>
      </c>
      <c r="AK14" s="171">
        <v>121.67000000088176</v>
      </c>
      <c r="AL14" s="11">
        <v>120.5880000003182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3">
      <c r="L15" s="13"/>
      <c r="AK15" s="171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3">
      <c r="L16" s="1" t="str">
        <f>'Ind T4'!A18</f>
        <v>Construction</v>
      </c>
      <c r="M16" s="86">
        <v>220.26799999824664</v>
      </c>
      <c r="N16" s="86">
        <v>223.24499999990505</v>
      </c>
      <c r="O16" s="86">
        <v>209.38799999959073</v>
      </c>
      <c r="P16" s="86">
        <v>209.04999999887849</v>
      </c>
      <c r="Q16" s="86">
        <v>223.79699999599711</v>
      </c>
      <c r="R16" s="86">
        <v>243.42699999686482</v>
      </c>
      <c r="S16" s="86">
        <v>241.69199999409017</v>
      </c>
      <c r="T16" s="86">
        <v>252.72000000213029</v>
      </c>
      <c r="U16" s="86">
        <v>248.74100000189787</v>
      </c>
      <c r="V16" s="86">
        <v>240.42400000202716</v>
      </c>
      <c r="W16" s="86">
        <v>273.41399999809221</v>
      </c>
      <c r="X16" s="86">
        <v>271.81899999695912</v>
      </c>
      <c r="Y16" s="86">
        <v>276.43999999348642</v>
      </c>
      <c r="Z16" s="86">
        <v>286.52599999318193</v>
      </c>
      <c r="AA16" s="86">
        <v>294.26199999268198</v>
      </c>
      <c r="AB16" s="86">
        <v>297.71799999340323</v>
      </c>
      <c r="AC16" s="86">
        <v>300.88299999371856</v>
      </c>
      <c r="AD16" s="86">
        <v>303.43899999469579</v>
      </c>
      <c r="AE16" s="86">
        <v>306.34199999350761</v>
      </c>
      <c r="AF16" s="86">
        <v>309.1199999933956</v>
      </c>
      <c r="AG16" s="86">
        <v>312.27299999258224</v>
      </c>
      <c r="AH16" s="86">
        <v>315.5009999956186</v>
      </c>
      <c r="AI16" s="86">
        <v>318.82899999577114</v>
      </c>
      <c r="AJ16" s="86">
        <v>322.22799999441241</v>
      </c>
      <c r="AK16" s="355">
        <v>325.68599999369553</v>
      </c>
      <c r="AL16" s="86">
        <v>329.19799999638491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3">
      <c r="L17" s="13"/>
      <c r="AK17" s="171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3">
      <c r="L18" s="1" t="str">
        <f>'Ind T4'!A20</f>
        <v>Trade, accomod. and transport</v>
      </c>
      <c r="M18" s="86">
        <f t="shared" ref="M18:P18" si="18">SUM(M19:M21)</f>
        <v>787.46599998377076</v>
      </c>
      <c r="N18" s="86">
        <f t="shared" si="18"/>
        <v>798.62100000389364</v>
      </c>
      <c r="O18" s="86">
        <f t="shared" si="18"/>
        <v>794.92199999886361</v>
      </c>
      <c r="P18" s="86">
        <f t="shared" si="18"/>
        <v>785.41400000163162</v>
      </c>
      <c r="Q18" s="86">
        <f>SUM(Q19:Q21)</f>
        <v>812.82700000475268</v>
      </c>
      <c r="R18" s="86">
        <f t="shared" ref="R18" si="19">SUM(R19:R21)</f>
        <v>823.25800001243113</v>
      </c>
      <c r="S18" s="86">
        <f t="shared" ref="S18" si="20">SUM(S19:S21)</f>
        <v>841.97000000603771</v>
      </c>
      <c r="T18" s="86">
        <f t="shared" ref="T18" si="21">SUM(T19:T21)</f>
        <v>864.40400000751686</v>
      </c>
      <c r="U18" s="86">
        <f t="shared" ref="U18" si="22">SUM(U19:U21)</f>
        <v>882.5130000129692</v>
      </c>
      <c r="V18" s="86">
        <f t="shared" ref="V18" si="23">SUM(V19:V21)</f>
        <v>857.35200000995974</v>
      </c>
      <c r="W18" s="86">
        <f t="shared" ref="W18" si="24">SUM(W19:W21)</f>
        <v>840.56900000112444</v>
      </c>
      <c r="X18" s="86">
        <f t="shared" ref="X18" si="25">SUM(X19:X21)</f>
        <v>840.32899999241999</v>
      </c>
      <c r="Y18" s="86">
        <f t="shared" ref="Y18" si="26">SUM(Y19:Y21)</f>
        <v>846.93400001827638</v>
      </c>
      <c r="Z18" s="86">
        <f t="shared" ref="Z18" si="27">SUM(Z19:Z21)</f>
        <v>853.6940000207303</v>
      </c>
      <c r="AA18" s="86">
        <f t="shared" ref="AA18" si="28">SUM(AA19:AA21)</f>
        <v>861.42400001061606</v>
      </c>
      <c r="AB18" s="86">
        <f t="shared" ref="AB18" si="29">SUM(AB19:AB21)</f>
        <v>867.31800001808961</v>
      </c>
      <c r="AC18" s="86">
        <f t="shared" ref="AC18" si="30">SUM(AC19:AC21)</f>
        <v>871.90800001437287</v>
      </c>
      <c r="AD18" s="86">
        <f>SUM(AD19:AD21)</f>
        <v>876.03400001430896</v>
      </c>
      <c r="AE18" s="86">
        <f t="shared" ref="AE18" si="31">SUM(AE19:AE21)</f>
        <v>879.91600001311951</v>
      </c>
      <c r="AF18" s="86">
        <f t="shared" ref="AF18" si="32">SUM(AF19:AF21)</f>
        <v>883.61800001600511</v>
      </c>
      <c r="AG18" s="86">
        <f t="shared" ref="AG18:AL18" si="33">SUM(AG19:AG21)</f>
        <v>887.40600001506721</v>
      </c>
      <c r="AH18" s="86">
        <f t="shared" si="33"/>
        <v>891.10500001510286</v>
      </c>
      <c r="AI18" s="86">
        <f t="shared" si="33"/>
        <v>894.71300001571706</v>
      </c>
      <c r="AJ18" s="86">
        <f t="shared" si="33"/>
        <v>898.39400001137506</v>
      </c>
      <c r="AK18" s="86">
        <f t="shared" si="33"/>
        <v>901.95700001946091</v>
      </c>
      <c r="AL18" s="86">
        <f t="shared" si="33"/>
        <v>905.46000000168863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3">
      <c r="L19" s="82" t="str">
        <f>'Ind T4'!A21</f>
        <v>Wholesale and retail trade</v>
      </c>
      <c r="M19" s="11">
        <v>492.6269999897392</v>
      </c>
      <c r="N19" s="11">
        <v>500.76900000216961</v>
      </c>
      <c r="O19" s="11">
        <v>483.90999999887657</v>
      </c>
      <c r="P19" s="11">
        <v>472.55000000065354</v>
      </c>
      <c r="Q19" s="11">
        <v>482.26600000483984</v>
      </c>
      <c r="R19" s="11">
        <v>498.44400000861361</v>
      </c>
      <c r="S19" s="11">
        <v>479.15900000522174</v>
      </c>
      <c r="T19" s="11">
        <v>500.6710000052388</v>
      </c>
      <c r="U19" s="11">
        <v>507.80600000887063</v>
      </c>
      <c r="V19" s="11">
        <v>483.70600000729888</v>
      </c>
      <c r="W19" s="11">
        <v>471.90300000065332</v>
      </c>
      <c r="X19" s="11">
        <v>475.14499999396696</v>
      </c>
      <c r="Y19" s="11">
        <v>476.60600001013944</v>
      </c>
      <c r="Z19" s="11">
        <v>476.96100001162756</v>
      </c>
      <c r="AA19" s="11">
        <v>478.05300000544008</v>
      </c>
      <c r="AB19" s="11">
        <v>479.37400000978693</v>
      </c>
      <c r="AC19" s="11">
        <v>480.21000000738508</v>
      </c>
      <c r="AD19" s="11">
        <v>480.91900000714776</v>
      </c>
      <c r="AE19" s="11">
        <v>481.56100000609302</v>
      </c>
      <c r="AF19" s="11">
        <v>482.15700000821937</v>
      </c>
      <c r="AG19" s="11">
        <v>482.86100000724554</v>
      </c>
      <c r="AH19" s="11">
        <v>483.61500000745906</v>
      </c>
      <c r="AI19" s="11">
        <v>484.36800000746132</v>
      </c>
      <c r="AJ19" s="11">
        <v>485.30000000514383</v>
      </c>
      <c r="AK19" s="171">
        <v>486.21200000960351</v>
      </c>
      <c r="AL19" s="11">
        <v>487.1329999997273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3">
      <c r="L20" s="82" t="str">
        <f>'Ind T4'!A22</f>
        <v>Transport and storage</v>
      </c>
      <c r="M20" s="11">
        <v>141.88799999691722</v>
      </c>
      <c r="N20" s="11">
        <v>141.29000000007343</v>
      </c>
      <c r="O20" s="11">
        <v>142.05699999924303</v>
      </c>
      <c r="P20" s="11">
        <v>142.68599999987401</v>
      </c>
      <c r="Q20" s="11">
        <v>137.86099999835128</v>
      </c>
      <c r="R20" s="11">
        <v>137.70200000063343</v>
      </c>
      <c r="S20" s="11">
        <v>168.53799999847519</v>
      </c>
      <c r="T20" s="11">
        <v>165.26300000083071</v>
      </c>
      <c r="U20" s="11">
        <v>176.63900000060997</v>
      </c>
      <c r="V20" s="11">
        <v>173.9109999992456</v>
      </c>
      <c r="W20" s="11">
        <v>165.97200000091698</v>
      </c>
      <c r="X20" s="11">
        <v>173.53300000161829</v>
      </c>
      <c r="Y20" s="11">
        <v>175.85700000366631</v>
      </c>
      <c r="Z20" s="11">
        <v>177.27300000378372</v>
      </c>
      <c r="AA20" s="11">
        <v>178.73500000307146</v>
      </c>
      <c r="AB20" s="11">
        <v>179.56200000425699</v>
      </c>
      <c r="AC20" s="11">
        <v>180.10100000417722</v>
      </c>
      <c r="AD20" s="11">
        <v>180.6060000043959</v>
      </c>
      <c r="AE20" s="11">
        <v>181.09500000493216</v>
      </c>
      <c r="AF20" s="11">
        <v>181.57800000371279</v>
      </c>
      <c r="AG20" s="11">
        <v>182.10600000454562</v>
      </c>
      <c r="AH20" s="11">
        <v>182.5790000041662</v>
      </c>
      <c r="AI20" s="11">
        <v>183.03800000513957</v>
      </c>
      <c r="AJ20" s="11">
        <v>183.47500000368782</v>
      </c>
      <c r="AK20" s="171">
        <v>183.89300000466224</v>
      </c>
      <c r="AL20" s="11">
        <v>184.30800000338297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3">
      <c r="L21" s="82" t="str">
        <f>'Ind T4'!A23</f>
        <v>Accommodation and food</v>
      </c>
      <c r="M21" s="11">
        <v>152.95099999711428</v>
      </c>
      <c r="N21" s="11">
        <v>156.56200000165066</v>
      </c>
      <c r="O21" s="11">
        <v>168.95500000074404</v>
      </c>
      <c r="P21" s="11">
        <v>170.17800000110395</v>
      </c>
      <c r="Q21" s="11">
        <v>192.70000000156151</v>
      </c>
      <c r="R21" s="11">
        <v>187.11200000318414</v>
      </c>
      <c r="S21" s="11">
        <v>194.27300000234069</v>
      </c>
      <c r="T21" s="11">
        <v>198.47000000144737</v>
      </c>
      <c r="U21" s="11">
        <v>198.06800000348855</v>
      </c>
      <c r="V21" s="11">
        <v>199.73500000341528</v>
      </c>
      <c r="W21" s="11">
        <v>202.69399999955419</v>
      </c>
      <c r="X21" s="11">
        <v>191.65099999683486</v>
      </c>
      <c r="Y21" s="11">
        <v>194.4710000044706</v>
      </c>
      <c r="Z21" s="11">
        <v>199.46000000531902</v>
      </c>
      <c r="AA21" s="11">
        <v>204.63600000210451</v>
      </c>
      <c r="AB21" s="11">
        <v>208.38200000404572</v>
      </c>
      <c r="AC21" s="11">
        <v>211.59700000281057</v>
      </c>
      <c r="AD21" s="11">
        <v>214.5090000027653</v>
      </c>
      <c r="AE21" s="11">
        <v>217.26000000209433</v>
      </c>
      <c r="AF21" s="11">
        <v>219.88300000407301</v>
      </c>
      <c r="AG21" s="11">
        <v>222.43900000327605</v>
      </c>
      <c r="AH21" s="11">
        <v>224.91100000347762</v>
      </c>
      <c r="AI21" s="11">
        <v>227.30700000311614</v>
      </c>
      <c r="AJ21" s="11">
        <v>229.61900000254337</v>
      </c>
      <c r="AK21" s="171">
        <v>231.85200000519512</v>
      </c>
      <c r="AL21" s="11">
        <v>234.01899999857832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3">
      <c r="L22" s="13"/>
      <c r="AK22" s="171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3">
      <c r="L23" s="1" t="str">
        <f>'Ind T4'!A25</f>
        <v>Business and other services</v>
      </c>
      <c r="M23" s="86">
        <f>SUM(M24:M31)</f>
        <v>838.31800000422675</v>
      </c>
      <c r="N23" s="86">
        <f t="shared" ref="N23:AL23" si="34">SUM(N24:N31)</f>
        <v>791.59599999508964</v>
      </c>
      <c r="O23" s="86">
        <f t="shared" si="34"/>
        <v>873.62499999619058</v>
      </c>
      <c r="P23" s="86">
        <f t="shared" si="34"/>
        <v>884.8059999950824</v>
      </c>
      <c r="Q23" s="86">
        <f t="shared" si="34"/>
        <v>949.77400000210969</v>
      </c>
      <c r="R23" s="86">
        <f t="shared" si="34"/>
        <v>993.68699999888429</v>
      </c>
      <c r="S23" s="86">
        <f t="shared" si="34"/>
        <v>988.34000000313245</v>
      </c>
      <c r="T23" s="86">
        <f t="shared" si="34"/>
        <v>1011.6019999959028</v>
      </c>
      <c r="U23" s="86">
        <f t="shared" si="34"/>
        <v>1005.5469999975095</v>
      </c>
      <c r="V23" s="86">
        <f t="shared" si="34"/>
        <v>1054.9569999959917</v>
      </c>
      <c r="W23" s="86">
        <f t="shared" si="34"/>
        <v>1044.4069999964181</v>
      </c>
      <c r="X23" s="86">
        <f t="shared" si="34"/>
        <v>1053.4589999937739</v>
      </c>
      <c r="Y23" s="86">
        <f t="shared" si="34"/>
        <v>1056.1590000013991</v>
      </c>
      <c r="Z23" s="86">
        <f t="shared" si="34"/>
        <v>1061.5680000015461</v>
      </c>
      <c r="AA23" s="86">
        <f t="shared" si="34"/>
        <v>1068.9760000039339</v>
      </c>
      <c r="AB23" s="86">
        <f t="shared" si="34"/>
        <v>1074.6150000076559</v>
      </c>
      <c r="AC23" s="86">
        <f t="shared" si="34"/>
        <v>1080.4850000067479</v>
      </c>
      <c r="AD23" s="86">
        <f t="shared" si="34"/>
        <v>1086.282000009918</v>
      </c>
      <c r="AE23" s="86">
        <f t="shared" si="34"/>
        <v>1092.0440000100159</v>
      </c>
      <c r="AF23" s="86">
        <f t="shared" si="34"/>
        <v>1097.8870000125351</v>
      </c>
      <c r="AG23" s="86">
        <f t="shared" si="34"/>
        <v>1103.8660000128807</v>
      </c>
      <c r="AH23" s="86">
        <f t="shared" si="34"/>
        <v>1109.7660000104406</v>
      </c>
      <c r="AI23" s="86">
        <f t="shared" si="34"/>
        <v>1115.713000010755</v>
      </c>
      <c r="AJ23" s="86">
        <f t="shared" si="34"/>
        <v>1121.6560000156271</v>
      </c>
      <c r="AK23" s="86">
        <f t="shared" si="34"/>
        <v>1127.571000009714</v>
      </c>
      <c r="AL23" s="86">
        <f t="shared" si="34"/>
        <v>1133.4689999983545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3">
      <c r="L24" s="82" t="str">
        <f>'Ind T4'!A26</f>
        <v>Media</v>
      </c>
      <c r="M24" s="11">
        <v>23.498000000140312</v>
      </c>
      <c r="N24" s="11">
        <v>23.83399999979278</v>
      </c>
      <c r="O24" s="11">
        <v>26.28699999988639</v>
      </c>
      <c r="P24" s="11">
        <v>23.075999999864809</v>
      </c>
      <c r="Q24" s="11">
        <v>24.086999999993715</v>
      </c>
      <c r="R24" s="11">
        <v>36.552000000029444</v>
      </c>
      <c r="S24" s="11">
        <v>32.319000000125634</v>
      </c>
      <c r="T24" s="11">
        <v>29.63599999993146</v>
      </c>
      <c r="U24" s="11">
        <v>26.521999999975478</v>
      </c>
      <c r="V24" s="11">
        <v>29.073999999872537</v>
      </c>
      <c r="W24" s="11">
        <v>31.163999999966283</v>
      </c>
      <c r="X24" s="11">
        <v>30.668999999906148</v>
      </c>
      <c r="Y24" s="11">
        <v>30.48300000013975</v>
      </c>
      <c r="Z24" s="11">
        <v>30.275000000143301</v>
      </c>
      <c r="AA24" s="11">
        <v>30.125000000242995</v>
      </c>
      <c r="AB24" s="11">
        <v>30.126000000375701</v>
      </c>
      <c r="AC24" s="11">
        <v>30.088000000346216</v>
      </c>
      <c r="AD24" s="11">
        <v>30.051000000409818</v>
      </c>
      <c r="AE24" s="11">
        <v>30.012000000433368</v>
      </c>
      <c r="AF24" s="11">
        <v>29.974000000479627</v>
      </c>
      <c r="AG24" s="11">
        <v>29.923000000515529</v>
      </c>
      <c r="AH24" s="11">
        <v>29.879000000396736</v>
      </c>
      <c r="AI24" s="11">
        <v>29.83300000042324</v>
      </c>
      <c r="AJ24" s="11">
        <v>29.790000000544175</v>
      </c>
      <c r="AK24" s="171">
        <v>29.744000000413095</v>
      </c>
      <c r="AL24" s="11">
        <v>29.699000000039586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3">
      <c r="L25" s="82" t="str">
        <f>'Ind T4'!A27</f>
        <v>Information technology</v>
      </c>
      <c r="M25" s="11">
        <v>67.92800000115227</v>
      </c>
      <c r="N25" s="11">
        <v>66.435999999137138</v>
      </c>
      <c r="O25" s="11">
        <v>79.652999999287843</v>
      </c>
      <c r="P25" s="11">
        <v>79.929999999181462</v>
      </c>
      <c r="Q25" s="11">
        <v>93.0840000005593</v>
      </c>
      <c r="R25" s="11">
        <v>83.208999999124018</v>
      </c>
      <c r="S25" s="11">
        <v>89.712000000758295</v>
      </c>
      <c r="T25" s="11">
        <v>102.55599999883296</v>
      </c>
      <c r="U25" s="11">
        <v>80.963999999093815</v>
      </c>
      <c r="V25" s="11">
        <v>84.552999998846516</v>
      </c>
      <c r="W25" s="11">
        <v>83.633999999069403</v>
      </c>
      <c r="X25" s="11">
        <v>84.295999998851116</v>
      </c>
      <c r="Y25" s="11">
        <v>84.71499999939499</v>
      </c>
      <c r="Z25" s="11">
        <v>85.723999999278632</v>
      </c>
      <c r="AA25" s="11">
        <v>86.521999999461244</v>
      </c>
      <c r="AB25" s="11">
        <v>87.2039999997385</v>
      </c>
      <c r="AC25" s="11">
        <v>87.792999999607787</v>
      </c>
      <c r="AD25" s="11">
        <v>88.259999999522861</v>
      </c>
      <c r="AE25" s="11">
        <v>88.685999999241801</v>
      </c>
      <c r="AF25" s="11">
        <v>89.111000000071144</v>
      </c>
      <c r="AG25" s="11">
        <v>89.564999999987435</v>
      </c>
      <c r="AH25" s="11">
        <v>90.012999999552534</v>
      </c>
      <c r="AI25" s="11">
        <v>90.439999999287494</v>
      </c>
      <c r="AJ25" s="11">
        <v>90.837000000243677</v>
      </c>
      <c r="AK25" s="171">
        <v>91.191999999740148</v>
      </c>
      <c r="AL25" s="11">
        <v>91.509999998699584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3">
      <c r="L26" s="82" t="str">
        <f>'Ind T4'!A28</f>
        <v>Finance and insurance</v>
      </c>
      <c r="M26" s="11">
        <v>70.848000000368572</v>
      </c>
      <c r="N26" s="11">
        <v>75.860999999434355</v>
      </c>
      <c r="O26" s="11">
        <v>76.109999999473715</v>
      </c>
      <c r="P26" s="11">
        <v>76.971999999470981</v>
      </c>
      <c r="Q26" s="11">
        <v>82.430000000119151</v>
      </c>
      <c r="R26" s="11">
        <v>74.523999999641632</v>
      </c>
      <c r="S26" s="11">
        <v>71.18200000027079</v>
      </c>
      <c r="T26" s="11">
        <v>69.75999999948138</v>
      </c>
      <c r="U26" s="11">
        <v>71.834999999471123</v>
      </c>
      <c r="V26" s="11">
        <v>75.766999999226869</v>
      </c>
      <c r="W26" s="11">
        <v>78.172999999498444</v>
      </c>
      <c r="X26" s="11">
        <v>79.048999999285243</v>
      </c>
      <c r="Y26" s="11">
        <v>78.300999999786939</v>
      </c>
      <c r="Z26" s="11">
        <v>77.330999999731191</v>
      </c>
      <c r="AA26" s="11">
        <v>76.301000000091975</v>
      </c>
      <c r="AB26" s="11">
        <v>75.513000000691946</v>
      </c>
      <c r="AC26" s="11">
        <v>74.806000000663801</v>
      </c>
      <c r="AD26" s="11">
        <v>74.098000000812604</v>
      </c>
      <c r="AE26" s="11">
        <v>73.391000000789035</v>
      </c>
      <c r="AF26" s="11">
        <v>72.683000001008011</v>
      </c>
      <c r="AG26" s="11">
        <v>71.983000001047301</v>
      </c>
      <c r="AH26" s="11">
        <v>71.251000000818493</v>
      </c>
      <c r="AI26" s="11">
        <v>70.529000000867413</v>
      </c>
      <c r="AJ26" s="11">
        <v>69.809000001374201</v>
      </c>
      <c r="AK26" s="171">
        <v>69.093000000793111</v>
      </c>
      <c r="AL26" s="11">
        <v>68.380999999685031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3">
      <c r="L27" s="82" t="str">
        <f>'Ind T4'!A29</f>
        <v>Real estate</v>
      </c>
      <c r="M27" s="11">
        <v>56.804999999950802</v>
      </c>
      <c r="N27" s="11">
        <v>41.445999999775339</v>
      </c>
      <c r="O27" s="11">
        <v>39.814999999757454</v>
      </c>
      <c r="P27" s="11">
        <v>48.46599999973801</v>
      </c>
      <c r="Q27" s="11">
        <v>36.964999999984109</v>
      </c>
      <c r="R27" s="11">
        <v>44.884999999948363</v>
      </c>
      <c r="S27" s="11">
        <v>42.697000000005801</v>
      </c>
      <c r="T27" s="11">
        <v>44.929999999801396</v>
      </c>
      <c r="U27" s="11">
        <v>52.929000000010191</v>
      </c>
      <c r="V27" s="11">
        <v>50.697999999990891</v>
      </c>
      <c r="W27" s="11">
        <v>51.984999999648018</v>
      </c>
      <c r="X27" s="11">
        <v>52.025999999480184</v>
      </c>
      <c r="Y27" s="11">
        <v>51.855000000079585</v>
      </c>
      <c r="Z27" s="11">
        <v>52.037000000080312</v>
      </c>
      <c r="AA27" s="11">
        <v>52.601999999950678</v>
      </c>
      <c r="AB27" s="11">
        <v>53.148000000317865</v>
      </c>
      <c r="AC27" s="11">
        <v>53.816000000226026</v>
      </c>
      <c r="AD27" s="11">
        <v>54.546000000339575</v>
      </c>
      <c r="AE27" s="11">
        <v>55.309000000243529</v>
      </c>
      <c r="AF27" s="11">
        <v>56.090000000529656</v>
      </c>
      <c r="AG27" s="11">
        <v>56.878000000506454</v>
      </c>
      <c r="AH27" s="11">
        <v>57.67500000039508</v>
      </c>
      <c r="AI27" s="11">
        <v>58.47100000040102</v>
      </c>
      <c r="AJ27" s="11">
        <v>59.263000000569086</v>
      </c>
      <c r="AK27" s="171">
        <v>60.050000000434565</v>
      </c>
      <c r="AL27" s="11">
        <v>60.826999999666633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3">
      <c r="L28" s="82" t="str">
        <f>'Ind T4'!A30</f>
        <v>Professional services</v>
      </c>
      <c r="M28" s="11">
        <v>226.64300000498292</v>
      </c>
      <c r="N28" s="11">
        <v>206.86799999669114</v>
      </c>
      <c r="O28" s="11">
        <v>238.42399999742977</v>
      </c>
      <c r="P28" s="11">
        <v>243.0079999968226</v>
      </c>
      <c r="Q28" s="11">
        <v>264.67200000116071</v>
      </c>
      <c r="R28" s="11">
        <v>277.4479999970377</v>
      </c>
      <c r="S28" s="11">
        <v>265.52900000096719</v>
      </c>
      <c r="T28" s="11">
        <v>299.32199999733126</v>
      </c>
      <c r="U28" s="11">
        <v>300.44099999584904</v>
      </c>
      <c r="V28" s="11">
        <v>330.80599999527561</v>
      </c>
      <c r="W28" s="11">
        <v>308.6649999988694</v>
      </c>
      <c r="X28" s="11">
        <v>313.58399999811519</v>
      </c>
      <c r="Y28" s="11">
        <v>316.03499999796202</v>
      </c>
      <c r="Z28" s="11">
        <v>319.22399999777161</v>
      </c>
      <c r="AA28" s="11">
        <v>322.5680000009329</v>
      </c>
      <c r="AB28" s="11">
        <v>325.30000000143718</v>
      </c>
      <c r="AC28" s="11">
        <v>327.88500000166607</v>
      </c>
      <c r="AD28" s="11">
        <v>330.54400000203674</v>
      </c>
      <c r="AE28" s="11">
        <v>333.26300000232874</v>
      </c>
      <c r="AF28" s="11">
        <v>336.06000000307984</v>
      </c>
      <c r="AG28" s="11">
        <v>338.79300000326691</v>
      </c>
      <c r="AH28" s="11">
        <v>341.45800000222897</v>
      </c>
      <c r="AI28" s="11">
        <v>344.13700000203232</v>
      </c>
      <c r="AJ28" s="11">
        <v>346.81300000545991</v>
      </c>
      <c r="AK28" s="171">
        <v>349.48700000225023</v>
      </c>
      <c r="AL28" s="11">
        <v>352.1619999985495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3">
      <c r="L29" s="82" t="str">
        <f>'Ind T4'!A31</f>
        <v>Support services</v>
      </c>
      <c r="M29" s="11">
        <v>229.94299999787054</v>
      </c>
      <c r="N29" s="11">
        <v>214.18300000103821</v>
      </c>
      <c r="O29" s="11">
        <v>246.81800000096101</v>
      </c>
      <c r="P29" s="11">
        <v>268.69600000108676</v>
      </c>
      <c r="Q29" s="11">
        <v>280.57800000031955</v>
      </c>
      <c r="R29" s="11">
        <v>302.63600000230775</v>
      </c>
      <c r="S29" s="11">
        <v>298.32100000101246</v>
      </c>
      <c r="T29" s="11">
        <v>287.04200000069875</v>
      </c>
      <c r="U29" s="11">
        <v>300.138000002674</v>
      </c>
      <c r="V29" s="11">
        <v>309.53100000260196</v>
      </c>
      <c r="W29" s="11">
        <v>291.01499999948669</v>
      </c>
      <c r="X29" s="11">
        <v>295.51799999871486</v>
      </c>
      <c r="Y29" s="11">
        <v>301.10400000297653</v>
      </c>
      <c r="Z29" s="11">
        <v>304.25500000328793</v>
      </c>
      <c r="AA29" s="11">
        <v>306.90200000129119</v>
      </c>
      <c r="AB29" s="11">
        <v>309.03100000285241</v>
      </c>
      <c r="AC29" s="11">
        <v>311.40700000225377</v>
      </c>
      <c r="AD29" s="11">
        <v>313.74600000252337</v>
      </c>
      <c r="AE29" s="11">
        <v>316.07700000234183</v>
      </c>
      <c r="AF29" s="11">
        <v>318.40200000295295</v>
      </c>
      <c r="AG29" s="11">
        <v>320.7960000029247</v>
      </c>
      <c r="AH29" s="11">
        <v>323.11400000276046</v>
      </c>
      <c r="AI29" s="11">
        <v>325.43800000305617</v>
      </c>
      <c r="AJ29" s="11">
        <v>327.76300000228161</v>
      </c>
      <c r="AK29" s="171">
        <v>330.09800000331785</v>
      </c>
      <c r="AL29" s="11">
        <v>332.44000000063778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3">
      <c r="L30" s="82" t="str">
        <f>'Ind T4'!A32</f>
        <v>Arts and entertainment</v>
      </c>
      <c r="M30" s="11">
        <v>73.6150000000695</v>
      </c>
      <c r="N30" s="11">
        <v>73.547999999628829</v>
      </c>
      <c r="O30" s="11">
        <v>80.066999999767106</v>
      </c>
      <c r="P30" s="11">
        <v>71.523999999566144</v>
      </c>
      <c r="Q30" s="11">
        <v>83.289000000115607</v>
      </c>
      <c r="R30" s="11">
        <v>74.761000000313388</v>
      </c>
      <c r="S30" s="11">
        <v>93.556999999989756</v>
      </c>
      <c r="T30" s="11">
        <v>92.026000000129613</v>
      </c>
      <c r="U30" s="11">
        <v>88.778000000139372</v>
      </c>
      <c r="V30" s="11">
        <v>87.07599999998088</v>
      </c>
      <c r="W30" s="11">
        <v>102.6960000004706</v>
      </c>
      <c r="X30" s="11">
        <v>101.42700000020554</v>
      </c>
      <c r="Y30" s="11">
        <v>97.07400000069444</v>
      </c>
      <c r="Z30" s="11">
        <v>95.931000000811906</v>
      </c>
      <c r="AA30" s="11">
        <v>96.903000001411797</v>
      </c>
      <c r="AB30" s="11">
        <v>97.292000001495268</v>
      </c>
      <c r="AC30" s="11">
        <v>97.791000001449817</v>
      </c>
      <c r="AD30" s="11">
        <v>98.224000002144052</v>
      </c>
      <c r="AE30" s="11">
        <v>98.549000002539273</v>
      </c>
      <c r="AF30" s="11">
        <v>98.817000002198569</v>
      </c>
      <c r="AG30" s="11">
        <v>99.123000002390796</v>
      </c>
      <c r="AH30" s="11">
        <v>99.472000002197674</v>
      </c>
      <c r="AI30" s="11">
        <v>99.838000002434995</v>
      </c>
      <c r="AJ30" s="11">
        <v>100.20300000261507</v>
      </c>
      <c r="AK30" s="171">
        <v>100.55400000172413</v>
      </c>
      <c r="AL30" s="11">
        <v>100.89200000081811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3">
      <c r="L31" s="82" t="str">
        <f>'Ind T4'!A33</f>
        <v>Other services</v>
      </c>
      <c r="M31" s="11">
        <v>89.037999999691962</v>
      </c>
      <c r="N31" s="11">
        <v>89.419999999591809</v>
      </c>
      <c r="O31" s="11">
        <v>86.450999999627342</v>
      </c>
      <c r="P31" s="11">
        <v>73.13399999935163</v>
      </c>
      <c r="Q31" s="11">
        <v>84.668999999857533</v>
      </c>
      <c r="R31" s="11">
        <v>99.6720000004821</v>
      </c>
      <c r="S31" s="11">
        <v>95.023000000002355</v>
      </c>
      <c r="T31" s="11">
        <v>86.3299999996959</v>
      </c>
      <c r="U31" s="11">
        <v>83.940000000296479</v>
      </c>
      <c r="V31" s="11">
        <v>87.452000000196477</v>
      </c>
      <c r="W31" s="11">
        <v>97.074999999409286</v>
      </c>
      <c r="X31" s="11">
        <v>96.889999999215632</v>
      </c>
      <c r="Y31" s="11">
        <v>96.592000000364877</v>
      </c>
      <c r="Z31" s="11">
        <v>96.791000000441358</v>
      </c>
      <c r="AA31" s="11">
        <v>97.053000000551251</v>
      </c>
      <c r="AB31" s="11">
        <v>97.001000000746984</v>
      </c>
      <c r="AC31" s="11">
        <v>96.8990000005345</v>
      </c>
      <c r="AD31" s="11">
        <v>96.813000002128959</v>
      </c>
      <c r="AE31" s="11">
        <v>96.757000002098366</v>
      </c>
      <c r="AF31" s="11">
        <v>96.750000002215117</v>
      </c>
      <c r="AG31" s="11">
        <v>96.805000002241613</v>
      </c>
      <c r="AH31" s="11">
        <v>96.904000002090712</v>
      </c>
      <c r="AI31" s="11">
        <v>97.027000002252223</v>
      </c>
      <c r="AJ31" s="11">
        <v>97.17800000253942</v>
      </c>
      <c r="AK31" s="171">
        <v>97.353000001041067</v>
      </c>
      <c r="AL31" s="11">
        <v>97.558000000258232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3">
      <c r="L32" s="13"/>
      <c r="AK32" s="171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3">
      <c r="L33" s="1" t="str">
        <f>'Ind T4'!A35</f>
        <v>Non-marketed services</v>
      </c>
      <c r="M33" s="86">
        <f>SUM(M34:M36)</f>
        <v>651.56700001432796</v>
      </c>
      <c r="N33" s="86">
        <f t="shared" ref="N33:P33" si="35">SUM(N34:N36)</f>
        <v>671.26400000008721</v>
      </c>
      <c r="O33" s="86">
        <f t="shared" si="35"/>
        <v>669.88500000439808</v>
      </c>
      <c r="P33" s="86">
        <f t="shared" si="35"/>
        <v>694.50300000373181</v>
      </c>
      <c r="Q33" s="86">
        <f>SUM(Q34:Q36)</f>
        <v>713.35699999881319</v>
      </c>
      <c r="R33" s="86">
        <f t="shared" ref="R33" si="36">SUM(R34:R36)</f>
        <v>697.94799999140344</v>
      </c>
      <c r="S33" s="86">
        <f t="shared" ref="S33" si="37">SUM(S34:S36)</f>
        <v>717.55899999755206</v>
      </c>
      <c r="T33" s="86">
        <f t="shared" ref="T33" si="38">SUM(T34:T36)</f>
        <v>728.75499999398403</v>
      </c>
      <c r="U33" s="86">
        <f t="shared" ref="U33" si="39">SUM(U34:U36)</f>
        <v>733.03299998623311</v>
      </c>
      <c r="V33" s="86">
        <f t="shared" ref="V33" si="40">SUM(V34:V36)</f>
        <v>748.788999989888</v>
      </c>
      <c r="W33" s="86">
        <f t="shared" ref="W33" si="41">SUM(W34:W36)</f>
        <v>739.61800000320522</v>
      </c>
      <c r="X33" s="86">
        <f t="shared" ref="X33" si="42">SUM(X34:X36)</f>
        <v>744.97400001578649</v>
      </c>
      <c r="Y33" s="86">
        <f t="shared" ref="Y33" si="43">SUM(Y34:Y36)</f>
        <v>750.35199998435826</v>
      </c>
      <c r="Z33" s="86">
        <f t="shared" ref="Z33" si="44">SUM(Z34:Z36)</f>
        <v>756.64799998187095</v>
      </c>
      <c r="AA33" s="86">
        <f t="shared" ref="AA33" si="45">SUM(AA34:AA36)</f>
        <v>764.61099999024441</v>
      </c>
      <c r="AB33" s="86">
        <f t="shared" ref="AB33" si="46">SUM(AB34:AB36)</f>
        <v>771.25099997883706</v>
      </c>
      <c r="AC33" s="86">
        <f t="shared" ref="AC33" si="47">SUM(AC34:AC36)</f>
        <v>776.56699998335057</v>
      </c>
      <c r="AD33" s="86">
        <f t="shared" ref="AD33" si="48">SUM(AD34:AD36)</f>
        <v>781.65999997825315</v>
      </c>
      <c r="AE33" s="86">
        <f t="shared" ref="AE33" si="49">SUM(AE34:AE36)</f>
        <v>786.70699997988334</v>
      </c>
      <c r="AF33" s="86">
        <f t="shared" ref="AF33" si="50">SUM(AF34:AF36)</f>
        <v>791.75799997570039</v>
      </c>
      <c r="AG33" s="86">
        <f t="shared" ref="AG33:AL33" si="51">SUM(AG34:AG36)</f>
        <v>796.97599997663167</v>
      </c>
      <c r="AH33" s="86">
        <f t="shared" si="51"/>
        <v>802.19599997608191</v>
      </c>
      <c r="AI33" s="86">
        <f t="shared" si="51"/>
        <v>807.40399997433383</v>
      </c>
      <c r="AJ33" s="86">
        <f t="shared" si="51"/>
        <v>812.63099997581935</v>
      </c>
      <c r="AK33" s="86">
        <f t="shared" si="51"/>
        <v>817.91899997467954</v>
      </c>
      <c r="AL33" s="86">
        <f t="shared" si="51"/>
        <v>823.28000000067448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3">
      <c r="L34" s="82" t="str">
        <f>'Ind T4'!A36</f>
        <v>Public admin. and defence</v>
      </c>
      <c r="M34" s="11">
        <v>106.43000000072863</v>
      </c>
      <c r="N34" s="11">
        <v>96.484999999292015</v>
      </c>
      <c r="O34" s="11">
        <v>94.628999999413466</v>
      </c>
      <c r="P34" s="11">
        <v>94.089999999279556</v>
      </c>
      <c r="Q34" s="11">
        <v>94.769999999686334</v>
      </c>
      <c r="R34" s="11">
        <v>93.169999999344981</v>
      </c>
      <c r="S34" s="11">
        <v>89.281999999628582</v>
      </c>
      <c r="T34" s="11">
        <v>90.566999999750863</v>
      </c>
      <c r="U34" s="11">
        <v>89.341999999334661</v>
      </c>
      <c r="V34" s="11">
        <v>87.053999999271809</v>
      </c>
      <c r="W34" s="11">
        <v>89.344999999824566</v>
      </c>
      <c r="X34" s="11">
        <v>90.235999999666134</v>
      </c>
      <c r="Y34" s="11">
        <v>91.807999999706539</v>
      </c>
      <c r="Z34" s="11">
        <v>92.995999999674865</v>
      </c>
      <c r="AA34" s="11">
        <v>94.490000000110456</v>
      </c>
      <c r="AB34" s="11">
        <v>95.20600000044486</v>
      </c>
      <c r="AC34" s="11">
        <v>95.774000000468192</v>
      </c>
      <c r="AD34" s="11">
        <v>96.349000000538723</v>
      </c>
      <c r="AE34" s="11">
        <v>96.92500000054423</v>
      </c>
      <c r="AF34" s="11">
        <v>97.498000000642762</v>
      </c>
      <c r="AG34" s="11">
        <v>98.071000000679348</v>
      </c>
      <c r="AH34" s="11">
        <v>98.637000000579604</v>
      </c>
      <c r="AI34" s="11">
        <v>99.208000000608877</v>
      </c>
      <c r="AJ34" s="11">
        <v>99.776000001061774</v>
      </c>
      <c r="AK34" s="171">
        <v>100.35000000064998</v>
      </c>
      <c r="AL34" s="11">
        <v>100.93299999979894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3">
      <c r="L35" s="82" t="str">
        <f>'Ind T4'!A37</f>
        <v>Education</v>
      </c>
      <c r="M35" s="11">
        <v>248.69900000867776</v>
      </c>
      <c r="N35" s="11">
        <v>256.06700000000768</v>
      </c>
      <c r="O35" s="11">
        <v>256.19600000308128</v>
      </c>
      <c r="P35" s="11">
        <v>261.06900000222527</v>
      </c>
      <c r="Q35" s="11">
        <v>270.64999999920622</v>
      </c>
      <c r="R35" s="11">
        <v>263.15899999695313</v>
      </c>
      <c r="S35" s="11">
        <v>271.20099999843603</v>
      </c>
      <c r="T35" s="11">
        <v>261.68899999522381</v>
      </c>
      <c r="U35" s="11">
        <v>282.54199999209743</v>
      </c>
      <c r="V35" s="11">
        <v>281.39199999629238</v>
      </c>
      <c r="W35" s="11">
        <v>283.23500000341642</v>
      </c>
      <c r="X35" s="11">
        <v>280.66300001246123</v>
      </c>
      <c r="Y35" s="11">
        <v>278.47199998850692</v>
      </c>
      <c r="Z35" s="11">
        <v>278.17499998709127</v>
      </c>
      <c r="AA35" s="11">
        <v>278.41299999425246</v>
      </c>
      <c r="AB35" s="11">
        <v>279.15199998312448</v>
      </c>
      <c r="AC35" s="11">
        <v>279.46099998650794</v>
      </c>
      <c r="AD35" s="11">
        <v>279.76799998690296</v>
      </c>
      <c r="AE35" s="11">
        <v>280.09499998943369</v>
      </c>
      <c r="AF35" s="11">
        <v>280.45999998522439</v>
      </c>
      <c r="AG35" s="11">
        <v>281.01799998588393</v>
      </c>
      <c r="AH35" s="11">
        <v>281.58499998669691</v>
      </c>
      <c r="AI35" s="11">
        <v>282.13599998590746</v>
      </c>
      <c r="AJ35" s="11">
        <v>282.6769999875242</v>
      </c>
      <c r="AK35" s="171">
        <v>283.21799998222093</v>
      </c>
      <c r="AL35" s="11">
        <v>283.76200000257643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3">
      <c r="L36" s="82" t="str">
        <f>'Ind T4'!A38</f>
        <v>Health and social work</v>
      </c>
      <c r="M36" s="11">
        <v>296.43800000492155</v>
      </c>
      <c r="N36" s="11">
        <v>318.7120000007875</v>
      </c>
      <c r="O36" s="11">
        <v>319.06000000190335</v>
      </c>
      <c r="P36" s="11">
        <v>339.34400000222706</v>
      </c>
      <c r="Q36" s="11">
        <v>347.93699999992066</v>
      </c>
      <c r="R36" s="11">
        <v>341.61899999510536</v>
      </c>
      <c r="S36" s="11">
        <v>357.07599999948752</v>
      </c>
      <c r="T36" s="11">
        <v>376.49899999900936</v>
      </c>
      <c r="U36" s="11">
        <v>361.14899999480104</v>
      </c>
      <c r="V36" s="11">
        <v>380.34299999432375</v>
      </c>
      <c r="W36" s="11">
        <v>367.03799999996426</v>
      </c>
      <c r="X36" s="11">
        <v>374.07500000365906</v>
      </c>
      <c r="Y36" s="11">
        <v>380.07199999614477</v>
      </c>
      <c r="Z36" s="11">
        <v>385.47699999510485</v>
      </c>
      <c r="AA36" s="11">
        <v>391.70799999588155</v>
      </c>
      <c r="AB36" s="11">
        <v>396.8929999952677</v>
      </c>
      <c r="AC36" s="11">
        <v>401.33199999637446</v>
      </c>
      <c r="AD36" s="11">
        <v>405.54299999081155</v>
      </c>
      <c r="AE36" s="11">
        <v>409.68699998990542</v>
      </c>
      <c r="AF36" s="11">
        <v>413.79999998983322</v>
      </c>
      <c r="AG36" s="11">
        <v>417.88699999006838</v>
      </c>
      <c r="AH36" s="11">
        <v>421.97399998880542</v>
      </c>
      <c r="AI36" s="11">
        <v>426.05999998781749</v>
      </c>
      <c r="AJ36" s="11">
        <v>430.17799998723336</v>
      </c>
      <c r="AK36" s="171">
        <v>434.35099999180864</v>
      </c>
      <c r="AL36" s="11">
        <v>438.58499999829911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3">
      <c r="L37" s="44"/>
      <c r="AH37" s="11"/>
      <c r="AI37" s="11"/>
      <c r="AJ37" s="11"/>
      <c r="AK37" s="171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3">
      <c r="L38" s="1" t="str">
        <f>'Ind T4'!A40</f>
        <v>All industries</v>
      </c>
      <c r="M38" s="86">
        <f>SUM(M5,M11,M16,M18,M23,M33)</f>
        <v>2798.4679999993905</v>
      </c>
      <c r="N38" s="86">
        <f t="shared" ref="N38:P38" si="52">SUM(N5,N11,N16,N18,N23,N33)</f>
        <v>2783.9249999987169</v>
      </c>
      <c r="O38" s="86">
        <f t="shared" si="52"/>
        <v>2864.99599999873</v>
      </c>
      <c r="P38" s="86">
        <f t="shared" si="52"/>
        <v>2866.9439999988153</v>
      </c>
      <c r="Q38" s="86">
        <f>SUM(Q5,Q11,Q16,Q18,Q23,Q33)</f>
        <v>2998.3949999999568</v>
      </c>
      <c r="R38" s="86">
        <f t="shared" ref="R38:AL38" si="53">SUM(R5,R11,R16,R18,R23,R33)</f>
        <v>3055.7789999995116</v>
      </c>
      <c r="S38" s="86">
        <f t="shared" si="53"/>
        <v>3093.0719999988132</v>
      </c>
      <c r="T38" s="86">
        <f t="shared" si="53"/>
        <v>3154.6430000006767</v>
      </c>
      <c r="U38" s="86">
        <f t="shared" si="53"/>
        <v>3177.303000000009</v>
      </c>
      <c r="V38" s="86">
        <f t="shared" si="53"/>
        <v>3207.1029999983198</v>
      </c>
      <c r="W38" s="86">
        <f t="shared" si="53"/>
        <v>3174.1919999983993</v>
      </c>
      <c r="X38" s="86">
        <f t="shared" si="53"/>
        <v>3186.0539999982821</v>
      </c>
      <c r="Y38" s="86">
        <f t="shared" si="53"/>
        <v>3203.2799999985009</v>
      </c>
      <c r="Z38" s="86">
        <f t="shared" si="53"/>
        <v>3229.9769999982655</v>
      </c>
      <c r="AA38" s="86">
        <f t="shared" si="53"/>
        <v>3260.2139999980773</v>
      </c>
      <c r="AB38" s="86">
        <f t="shared" si="53"/>
        <v>3280.252000000004</v>
      </c>
      <c r="AC38" s="86">
        <f t="shared" si="53"/>
        <v>3297.4640000000127</v>
      </c>
      <c r="AD38" s="86">
        <f>SUM(AD5,AD11,AD16,AD18,AD23,AD33)</f>
        <v>3313.2079999993693</v>
      </c>
      <c r="AE38" s="86">
        <f t="shared" si="53"/>
        <v>3328.9949999986211</v>
      </c>
      <c r="AF38" s="86">
        <f t="shared" si="53"/>
        <v>3344.6009999993253</v>
      </c>
      <c r="AG38" s="86">
        <f t="shared" si="53"/>
        <v>3361.1599999993114</v>
      </c>
      <c r="AH38" s="86">
        <f t="shared" si="53"/>
        <v>3377.5699999992939</v>
      </c>
      <c r="AI38" s="86">
        <f t="shared" si="53"/>
        <v>3394.0659999991476</v>
      </c>
      <c r="AJ38" s="86">
        <f t="shared" si="53"/>
        <v>3410.7699999993347</v>
      </c>
      <c r="AK38" s="86">
        <f t="shared" si="53"/>
        <v>3427.4509999996517</v>
      </c>
      <c r="AL38" s="86">
        <f t="shared" si="53"/>
        <v>3444.2829999978994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3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3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3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3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3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3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3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3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45" x14ac:dyDescent="0.4">
      <c r="A47" s="79" t="str">
        <f>CONCATENATE("Industry Figure 2.1  Change in Employment in ",$L$5,", ",$M$2,"-",$O$2,", ",Info!B5)</f>
        <v>Industry Figure 2.1  Change in Employment in Primary sector and utilities, 2010-2035, East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3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3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3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3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3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3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3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3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3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3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3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3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3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3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3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3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3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3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3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3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3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3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3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3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3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3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3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3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3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45" x14ac:dyDescent="0.4">
      <c r="A77" s="79" t="str">
        <f>CONCATENATE("Industry Figure 2.2  Change in Employment in ",$L$11,", ",$M$2,"-",$O$2,", ",Info!B5)</f>
        <v>Industry Figure 2.2  Change in Employment in Manufacturing, 2010-2035, East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3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3">
      <c r="AL79" s="11"/>
    </row>
    <row r="107" spans="1:1" ht="15.45" x14ac:dyDescent="0.4">
      <c r="A107" s="79" t="str">
        <f>CONCATENATE("Industry Figure 2.3  Change in Employment in ",$L$16,", ",$M$2,"-",$O$2,", ",Info!B5)</f>
        <v>Industry Figure 2.3  Change in Employment in Construction, 2010-2035, East</v>
      </c>
    </row>
    <row r="137" spans="1:1" ht="15.45" x14ac:dyDescent="0.4">
      <c r="A137" s="79" t="str">
        <f>CONCATENATE("Industry Figure 2.4  Change in Employment in ",$L$18,", ",$M$2,"-",$O$2,", ",Info!B5)</f>
        <v>Industry Figure 2.4  Change in Employment in Trade, accomod. and transport, 2010-2035, East</v>
      </c>
    </row>
    <row r="167" spans="1:1" ht="15.45" x14ac:dyDescent="0.4">
      <c r="A167" s="79" t="str">
        <f>CONCATENATE("Industry Figure 2.5  Change in Employment in ",$L$23,", ",$M$2,"- ",$O$2,", ",Info!B5)</f>
        <v>Industry Figure 2.5  Change in Employment in Business and other services, 2010- 2035, East</v>
      </c>
    </row>
    <row r="197" spans="1:1" ht="15.45" x14ac:dyDescent="0.4">
      <c r="A197" s="79" t="str">
        <f>CONCATENATE("Industry Figure 2.6  Change in Employment in ",$L$33,", ",$M$2,"-",$O$2,", ",Info!B5)</f>
        <v>Industry Figure 2.6  Change in Employment in Non-marketed services, 2010-2035, East</v>
      </c>
    </row>
    <row r="227" spans="1:15" ht="15.45" x14ac:dyDescent="0.4">
      <c r="A227" s="79" t="str">
        <f>CONCATENATE("Industry Figure 2.7  Employment trends by broad sector (SIC 2007), shares in %, ",$M$230,"-",$O$230,", ",Info!B5)</f>
        <v>Industry Figure 2.7  Employment trends by broad sector (SIC 2007), shares in %, 2015-2035, East</v>
      </c>
      <c r="L227" s="45" t="s">
        <v>440</v>
      </c>
    </row>
    <row r="228" spans="1:15" ht="12.9" x14ac:dyDescent="0.35">
      <c r="L228" s="29" t="s">
        <v>421</v>
      </c>
    </row>
    <row r="230" spans="1:15" x14ac:dyDescent="0.3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3">
      <c r="L231" t="str">
        <f>L33</f>
        <v>Non-marketed services</v>
      </c>
      <c r="M231" s="39">
        <f>'Ind T1'!B25</f>
        <v>22.840264298940301</v>
      </c>
      <c r="N231" s="39">
        <f>'Ind T1'!D25</f>
        <v>23.300984943682622</v>
      </c>
      <c r="O231" s="39">
        <f>'Ind T1'!F25</f>
        <v>23.902797766652061</v>
      </c>
    </row>
    <row r="232" spans="1:15" x14ac:dyDescent="0.3">
      <c r="L232" t="str">
        <f>L23</f>
        <v>Business and other services</v>
      </c>
      <c r="M232" s="39">
        <f>'Ind T1'!B24</f>
        <v>32.518287480836904</v>
      </c>
      <c r="N232" s="39">
        <f>'Ind T1'!D24</f>
        <v>32.903082107098278</v>
      </c>
      <c r="O232" s="39">
        <f>'Ind T1'!F24</f>
        <v>32.908706979044574</v>
      </c>
    </row>
    <row r="233" spans="1:15" x14ac:dyDescent="0.3">
      <c r="L233" t="str">
        <f>L18</f>
        <v>Trade, accomod. and transport</v>
      </c>
      <c r="M233" s="39">
        <f>'Ind T1'!B23</f>
        <v>26.941018968078605</v>
      </c>
      <c r="N233" s="39">
        <f>'Ind T1'!D23</f>
        <v>26.481353364936606</v>
      </c>
      <c r="O233" s="39">
        <f>'Ind T1'!F23</f>
        <v>26.288780567747803</v>
      </c>
    </row>
    <row r="234" spans="1:15" x14ac:dyDescent="0.3">
      <c r="L234" t="str">
        <f>L16</f>
        <v>Construction</v>
      </c>
      <c r="M234" s="39">
        <f>'Ind T1'!B22</f>
        <v>7.9661192775035001</v>
      </c>
      <c r="N234" s="39">
        <f>'Ind T1'!D22</f>
        <v>8.6136566407523585</v>
      </c>
      <c r="O234" s="39">
        <f>'Ind T1'!F22</f>
        <v>9.5578092739936213</v>
      </c>
    </row>
    <row r="235" spans="1:15" x14ac:dyDescent="0.3">
      <c r="L235" t="str">
        <f>L11</f>
        <v>Manufacturing</v>
      </c>
      <c r="M235" s="39">
        <f>'Ind T1'!B21</f>
        <v>7.3680393771878734</v>
      </c>
      <c r="N235" s="39">
        <f>'Ind T1'!D21</f>
        <v>6.9510603013232402</v>
      </c>
      <c r="O235" s="39">
        <f>'Ind T1'!F21</f>
        <v>5.6684366528757444</v>
      </c>
    </row>
    <row r="236" spans="1:15" x14ac:dyDescent="0.3">
      <c r="L236" t="str">
        <f>L5</f>
        <v>Primary sector and utilities</v>
      </c>
      <c r="M236" s="39">
        <f>'Ind T1'!B20</f>
        <v>2.3662705974528091</v>
      </c>
      <c r="N236" s="39">
        <f>'Ind T1'!D20</f>
        <v>1.7498626422069126</v>
      </c>
      <c r="O236" s="39">
        <f>'Ind T1'!F20</f>
        <v>1.6734687596861992</v>
      </c>
    </row>
    <row r="257" spans="1:16" ht="15.45" x14ac:dyDescent="0.4">
      <c r="A257" s="79" t="str">
        <f>CONCATENATE("Industry Figure 2.8  Employment trends by broad sector (SIC 2007), change in thousands, ",$M$230,"-",$O$230,", ",Info!B5)</f>
        <v>Industry Figure 2.8  Employment trends by broad sector (SIC 2007), change in thousands, 2015-2035, East</v>
      </c>
      <c r="L257" s="45" t="s">
        <v>441</v>
      </c>
    </row>
    <row r="258" spans="1:16" ht="12.9" x14ac:dyDescent="0.35">
      <c r="L258" s="29" t="s">
        <v>420</v>
      </c>
      <c r="M258" s="10"/>
      <c r="N258" s="10"/>
      <c r="O258" s="10"/>
    </row>
    <row r="259" spans="1:16" x14ac:dyDescent="0.3">
      <c r="P259" s="10"/>
    </row>
    <row r="260" spans="1:16" x14ac:dyDescent="0.3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3">
      <c r="L261" t="str">
        <f t="shared" ref="L261:L266" si="54">L231</f>
        <v>Non-marketed services</v>
      </c>
      <c r="N261" s="11">
        <f>'Ind T1'!D12-'Ind T1'!B12</f>
        <v>41.670000011801676</v>
      </c>
      <c r="O261" s="11">
        <f>'Ind T1'!F50</f>
        <v>83.661999997469138</v>
      </c>
      <c r="P261" s="11"/>
    </row>
    <row r="262" spans="1:16" x14ac:dyDescent="0.3">
      <c r="L262" t="str">
        <f t="shared" si="54"/>
        <v>Business and other services</v>
      </c>
      <c r="N262" s="11">
        <f>'Ind T1'!D11-'Ind T1'!B11</f>
        <v>50.719999997533591</v>
      </c>
      <c r="O262" s="11">
        <f>'Ind T1'!F49</f>
        <v>89.062000001935985</v>
      </c>
      <c r="P262" s="11"/>
    </row>
    <row r="263" spans="1:16" x14ac:dyDescent="0.3">
      <c r="L263" t="str">
        <f t="shared" si="54"/>
        <v>Trade, accomod. and transport</v>
      </c>
      <c r="N263" s="11">
        <f>'Ind T1'!D10-'Ind T1'!B10</f>
        <v>17.310999988693311</v>
      </c>
      <c r="O263" s="11">
        <f>'Ind T1'!F48</f>
        <v>64.891000000564077</v>
      </c>
      <c r="P263" s="11"/>
    </row>
    <row r="264" spans="1:16" x14ac:dyDescent="0.3">
      <c r="L264" t="str">
        <f t="shared" si="54"/>
        <v>Construction</v>
      </c>
      <c r="N264" s="11">
        <f>'Ind T1'!D9-'Ind T1'!B9</f>
        <v>29.987000001227386</v>
      </c>
      <c r="O264" s="11">
        <f>'Ind T1'!F47</f>
        <v>55.783999998292643</v>
      </c>
      <c r="P264" s="11"/>
    </row>
    <row r="265" spans="1:16" x14ac:dyDescent="0.3">
      <c r="L265" t="str">
        <f t="shared" si="54"/>
        <v>Manufacturing</v>
      </c>
      <c r="N265" s="11">
        <f>'Ind T1'!D8-'Ind T1'!B8</f>
        <v>-4.511000000134942</v>
      </c>
      <c r="O265" s="11">
        <f>'Ind T1'!F46</f>
        <v>-25.402999999017794</v>
      </c>
      <c r="P265" s="11"/>
    </row>
    <row r="266" spans="1:16" x14ac:dyDescent="0.3">
      <c r="L266" t="str">
        <f t="shared" si="54"/>
        <v>Primary sector and utilities</v>
      </c>
      <c r="N266" s="11">
        <f>'Ind T1'!D7-'Ind T1'!B7</f>
        <v>-16.764000000233494</v>
      </c>
      <c r="O266" s="11">
        <f>'Ind T1'!F45</f>
        <v>2.0950000002550127</v>
      </c>
    </row>
    <row r="268" spans="1:16" x14ac:dyDescent="0.3">
      <c r="L268" t="str">
        <f>L38</f>
        <v>All industries</v>
      </c>
      <c r="N268" s="11">
        <f>'Ind T1'!D14-'Ind T1'!B14</f>
        <v>118.41299999888724</v>
      </c>
      <c r="O268" s="11">
        <f>SUM(O261:O266)</f>
        <v>270.0909999994991</v>
      </c>
    </row>
  </sheetData>
  <phoneticPr fontId="4" type="noConversion"/>
  <conditionalFormatting sqref="L4:AM4 L22:AM22 L17:AM17">
    <cfRule type="cellIs" dxfId="12" priority="3" stopIfTrue="1" operator="equal">
      <formula>0</formula>
    </cfRule>
  </conditionalFormatting>
  <conditionalFormatting sqref="AQ4:BP4">
    <cfRule type="cellIs" dxfId="11" priority="2" stopIfTrue="1" operator="equal">
      <formula>0</formula>
    </cfRule>
  </conditionalFormatting>
  <conditionalFormatting sqref="BS4:CR4">
    <cfRule type="cellIs" dxfId="10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8"/>
  <dimension ref="A1:R1295"/>
  <sheetViews>
    <sheetView showGridLines="0" zoomScale="85" zoomScaleNormal="85" workbookViewId="0"/>
  </sheetViews>
  <sheetFormatPr defaultRowHeight="12.45" x14ac:dyDescent="0.3"/>
  <cols>
    <col min="1" max="1" width="38.4609375" customWidth="1"/>
    <col min="2" max="12" width="7.23046875" customWidth="1"/>
    <col min="257" max="257" width="33.15234375" bestFit="1" customWidth="1"/>
    <col min="258" max="260" width="7.15234375" customWidth="1"/>
    <col min="261" max="261" width="5" customWidth="1"/>
    <col min="262" max="264" width="7.15234375" customWidth="1"/>
    <col min="265" max="265" width="5" customWidth="1"/>
    <col min="266" max="268" width="7.15234375" customWidth="1"/>
    <col min="513" max="513" width="33.15234375" bestFit="1" customWidth="1"/>
    <col min="514" max="516" width="7.15234375" customWidth="1"/>
    <col min="517" max="517" width="5" customWidth="1"/>
    <col min="518" max="520" width="7.15234375" customWidth="1"/>
    <col min="521" max="521" width="5" customWidth="1"/>
    <col min="522" max="524" width="7.15234375" customWidth="1"/>
    <col min="769" max="769" width="33.15234375" bestFit="1" customWidth="1"/>
    <col min="770" max="772" width="7.15234375" customWidth="1"/>
    <col min="773" max="773" width="5" customWidth="1"/>
    <col min="774" max="776" width="7.15234375" customWidth="1"/>
    <col min="777" max="777" width="5" customWidth="1"/>
    <col min="778" max="780" width="7.15234375" customWidth="1"/>
    <col min="1025" max="1025" width="33.15234375" bestFit="1" customWidth="1"/>
    <col min="1026" max="1028" width="7.15234375" customWidth="1"/>
    <col min="1029" max="1029" width="5" customWidth="1"/>
    <col min="1030" max="1032" width="7.15234375" customWidth="1"/>
    <col min="1033" max="1033" width="5" customWidth="1"/>
    <col min="1034" max="1036" width="7.15234375" customWidth="1"/>
    <col min="1281" max="1281" width="33.15234375" bestFit="1" customWidth="1"/>
    <col min="1282" max="1284" width="7.15234375" customWidth="1"/>
    <col min="1285" max="1285" width="5" customWidth="1"/>
    <col min="1286" max="1288" width="7.15234375" customWidth="1"/>
    <col min="1289" max="1289" width="5" customWidth="1"/>
    <col min="1290" max="1292" width="7.15234375" customWidth="1"/>
    <col min="1537" max="1537" width="33.15234375" bestFit="1" customWidth="1"/>
    <col min="1538" max="1540" width="7.15234375" customWidth="1"/>
    <col min="1541" max="1541" width="5" customWidth="1"/>
    <col min="1542" max="1544" width="7.15234375" customWidth="1"/>
    <col min="1545" max="1545" width="5" customWidth="1"/>
    <col min="1546" max="1548" width="7.15234375" customWidth="1"/>
    <col min="1793" max="1793" width="33.15234375" bestFit="1" customWidth="1"/>
    <col min="1794" max="1796" width="7.15234375" customWidth="1"/>
    <col min="1797" max="1797" width="5" customWidth="1"/>
    <col min="1798" max="1800" width="7.15234375" customWidth="1"/>
    <col min="1801" max="1801" width="5" customWidth="1"/>
    <col min="1802" max="1804" width="7.15234375" customWidth="1"/>
    <col min="2049" max="2049" width="33.15234375" bestFit="1" customWidth="1"/>
    <col min="2050" max="2052" width="7.15234375" customWidth="1"/>
    <col min="2053" max="2053" width="5" customWidth="1"/>
    <col min="2054" max="2056" width="7.15234375" customWidth="1"/>
    <col min="2057" max="2057" width="5" customWidth="1"/>
    <col min="2058" max="2060" width="7.15234375" customWidth="1"/>
    <col min="2305" max="2305" width="33.15234375" bestFit="1" customWidth="1"/>
    <col min="2306" max="2308" width="7.15234375" customWidth="1"/>
    <col min="2309" max="2309" width="5" customWidth="1"/>
    <col min="2310" max="2312" width="7.15234375" customWidth="1"/>
    <col min="2313" max="2313" width="5" customWidth="1"/>
    <col min="2314" max="2316" width="7.15234375" customWidth="1"/>
    <col min="2561" max="2561" width="33.15234375" bestFit="1" customWidth="1"/>
    <col min="2562" max="2564" width="7.15234375" customWidth="1"/>
    <col min="2565" max="2565" width="5" customWidth="1"/>
    <col min="2566" max="2568" width="7.15234375" customWidth="1"/>
    <col min="2569" max="2569" width="5" customWidth="1"/>
    <col min="2570" max="2572" width="7.15234375" customWidth="1"/>
    <col min="2817" max="2817" width="33.15234375" bestFit="1" customWidth="1"/>
    <col min="2818" max="2820" width="7.15234375" customWidth="1"/>
    <col min="2821" max="2821" width="5" customWidth="1"/>
    <col min="2822" max="2824" width="7.15234375" customWidth="1"/>
    <col min="2825" max="2825" width="5" customWidth="1"/>
    <col min="2826" max="2828" width="7.15234375" customWidth="1"/>
    <col min="3073" max="3073" width="33.15234375" bestFit="1" customWidth="1"/>
    <col min="3074" max="3076" width="7.15234375" customWidth="1"/>
    <col min="3077" max="3077" width="5" customWidth="1"/>
    <col min="3078" max="3080" width="7.15234375" customWidth="1"/>
    <col min="3081" max="3081" width="5" customWidth="1"/>
    <col min="3082" max="3084" width="7.15234375" customWidth="1"/>
    <col min="3329" max="3329" width="33.15234375" bestFit="1" customWidth="1"/>
    <col min="3330" max="3332" width="7.15234375" customWidth="1"/>
    <col min="3333" max="3333" width="5" customWidth="1"/>
    <col min="3334" max="3336" width="7.15234375" customWidth="1"/>
    <col min="3337" max="3337" width="5" customWidth="1"/>
    <col min="3338" max="3340" width="7.15234375" customWidth="1"/>
    <col min="3585" max="3585" width="33.15234375" bestFit="1" customWidth="1"/>
    <col min="3586" max="3588" width="7.15234375" customWidth="1"/>
    <col min="3589" max="3589" width="5" customWidth="1"/>
    <col min="3590" max="3592" width="7.15234375" customWidth="1"/>
    <col min="3593" max="3593" width="5" customWidth="1"/>
    <col min="3594" max="3596" width="7.15234375" customWidth="1"/>
    <col min="3841" max="3841" width="33.15234375" bestFit="1" customWidth="1"/>
    <col min="3842" max="3844" width="7.15234375" customWidth="1"/>
    <col min="3845" max="3845" width="5" customWidth="1"/>
    <col min="3846" max="3848" width="7.15234375" customWidth="1"/>
    <col min="3849" max="3849" width="5" customWidth="1"/>
    <col min="3850" max="3852" width="7.15234375" customWidth="1"/>
    <col min="4097" max="4097" width="33.15234375" bestFit="1" customWidth="1"/>
    <col min="4098" max="4100" width="7.15234375" customWidth="1"/>
    <col min="4101" max="4101" width="5" customWidth="1"/>
    <col min="4102" max="4104" width="7.15234375" customWidth="1"/>
    <col min="4105" max="4105" width="5" customWidth="1"/>
    <col min="4106" max="4108" width="7.15234375" customWidth="1"/>
    <col min="4353" max="4353" width="33.15234375" bestFit="1" customWidth="1"/>
    <col min="4354" max="4356" width="7.15234375" customWidth="1"/>
    <col min="4357" max="4357" width="5" customWidth="1"/>
    <col min="4358" max="4360" width="7.15234375" customWidth="1"/>
    <col min="4361" max="4361" width="5" customWidth="1"/>
    <col min="4362" max="4364" width="7.15234375" customWidth="1"/>
    <col min="4609" max="4609" width="33.15234375" bestFit="1" customWidth="1"/>
    <col min="4610" max="4612" width="7.15234375" customWidth="1"/>
    <col min="4613" max="4613" width="5" customWidth="1"/>
    <col min="4614" max="4616" width="7.15234375" customWidth="1"/>
    <col min="4617" max="4617" width="5" customWidth="1"/>
    <col min="4618" max="4620" width="7.15234375" customWidth="1"/>
    <col min="4865" max="4865" width="33.15234375" bestFit="1" customWidth="1"/>
    <col min="4866" max="4868" width="7.15234375" customWidth="1"/>
    <col min="4869" max="4869" width="5" customWidth="1"/>
    <col min="4870" max="4872" width="7.15234375" customWidth="1"/>
    <col min="4873" max="4873" width="5" customWidth="1"/>
    <col min="4874" max="4876" width="7.15234375" customWidth="1"/>
    <col min="5121" max="5121" width="33.15234375" bestFit="1" customWidth="1"/>
    <col min="5122" max="5124" width="7.15234375" customWidth="1"/>
    <col min="5125" max="5125" width="5" customWidth="1"/>
    <col min="5126" max="5128" width="7.15234375" customWidth="1"/>
    <col min="5129" max="5129" width="5" customWidth="1"/>
    <col min="5130" max="5132" width="7.15234375" customWidth="1"/>
    <col min="5377" max="5377" width="33.15234375" bestFit="1" customWidth="1"/>
    <col min="5378" max="5380" width="7.15234375" customWidth="1"/>
    <col min="5381" max="5381" width="5" customWidth="1"/>
    <col min="5382" max="5384" width="7.15234375" customWidth="1"/>
    <col min="5385" max="5385" width="5" customWidth="1"/>
    <col min="5386" max="5388" width="7.15234375" customWidth="1"/>
    <col min="5633" max="5633" width="33.15234375" bestFit="1" customWidth="1"/>
    <col min="5634" max="5636" width="7.15234375" customWidth="1"/>
    <col min="5637" max="5637" width="5" customWidth="1"/>
    <col min="5638" max="5640" width="7.15234375" customWidth="1"/>
    <col min="5641" max="5641" width="5" customWidth="1"/>
    <col min="5642" max="5644" width="7.15234375" customWidth="1"/>
    <col min="5889" max="5889" width="33.15234375" bestFit="1" customWidth="1"/>
    <col min="5890" max="5892" width="7.15234375" customWidth="1"/>
    <col min="5893" max="5893" width="5" customWidth="1"/>
    <col min="5894" max="5896" width="7.15234375" customWidth="1"/>
    <col min="5897" max="5897" width="5" customWidth="1"/>
    <col min="5898" max="5900" width="7.15234375" customWidth="1"/>
    <col min="6145" max="6145" width="33.15234375" bestFit="1" customWidth="1"/>
    <col min="6146" max="6148" width="7.15234375" customWidth="1"/>
    <col min="6149" max="6149" width="5" customWidth="1"/>
    <col min="6150" max="6152" width="7.15234375" customWidth="1"/>
    <col min="6153" max="6153" width="5" customWidth="1"/>
    <col min="6154" max="6156" width="7.15234375" customWidth="1"/>
    <col min="6401" max="6401" width="33.15234375" bestFit="1" customWidth="1"/>
    <col min="6402" max="6404" width="7.15234375" customWidth="1"/>
    <col min="6405" max="6405" width="5" customWidth="1"/>
    <col min="6406" max="6408" width="7.15234375" customWidth="1"/>
    <col min="6409" max="6409" width="5" customWidth="1"/>
    <col min="6410" max="6412" width="7.15234375" customWidth="1"/>
    <col min="6657" max="6657" width="33.15234375" bestFit="1" customWidth="1"/>
    <col min="6658" max="6660" width="7.15234375" customWidth="1"/>
    <col min="6661" max="6661" width="5" customWidth="1"/>
    <col min="6662" max="6664" width="7.15234375" customWidth="1"/>
    <col min="6665" max="6665" width="5" customWidth="1"/>
    <col min="6666" max="6668" width="7.15234375" customWidth="1"/>
    <col min="6913" max="6913" width="33.15234375" bestFit="1" customWidth="1"/>
    <col min="6914" max="6916" width="7.15234375" customWidth="1"/>
    <col min="6917" max="6917" width="5" customWidth="1"/>
    <col min="6918" max="6920" width="7.15234375" customWidth="1"/>
    <col min="6921" max="6921" width="5" customWidth="1"/>
    <col min="6922" max="6924" width="7.15234375" customWidth="1"/>
    <col min="7169" max="7169" width="33.15234375" bestFit="1" customWidth="1"/>
    <col min="7170" max="7172" width="7.15234375" customWidth="1"/>
    <col min="7173" max="7173" width="5" customWidth="1"/>
    <col min="7174" max="7176" width="7.15234375" customWidth="1"/>
    <col min="7177" max="7177" width="5" customWidth="1"/>
    <col min="7178" max="7180" width="7.15234375" customWidth="1"/>
    <col min="7425" max="7425" width="33.15234375" bestFit="1" customWidth="1"/>
    <col min="7426" max="7428" width="7.15234375" customWidth="1"/>
    <col min="7429" max="7429" width="5" customWidth="1"/>
    <col min="7430" max="7432" width="7.15234375" customWidth="1"/>
    <col min="7433" max="7433" width="5" customWidth="1"/>
    <col min="7434" max="7436" width="7.15234375" customWidth="1"/>
    <col min="7681" max="7681" width="33.15234375" bestFit="1" customWidth="1"/>
    <col min="7682" max="7684" width="7.15234375" customWidth="1"/>
    <col min="7685" max="7685" width="5" customWidth="1"/>
    <col min="7686" max="7688" width="7.15234375" customWidth="1"/>
    <col min="7689" max="7689" width="5" customWidth="1"/>
    <col min="7690" max="7692" width="7.15234375" customWidth="1"/>
    <col min="7937" max="7937" width="33.15234375" bestFit="1" customWidth="1"/>
    <col min="7938" max="7940" width="7.15234375" customWidth="1"/>
    <col min="7941" max="7941" width="5" customWidth="1"/>
    <col min="7942" max="7944" width="7.15234375" customWidth="1"/>
    <col min="7945" max="7945" width="5" customWidth="1"/>
    <col min="7946" max="7948" width="7.15234375" customWidth="1"/>
    <col min="8193" max="8193" width="33.15234375" bestFit="1" customWidth="1"/>
    <col min="8194" max="8196" width="7.15234375" customWidth="1"/>
    <col min="8197" max="8197" width="5" customWidth="1"/>
    <col min="8198" max="8200" width="7.15234375" customWidth="1"/>
    <col min="8201" max="8201" width="5" customWidth="1"/>
    <col min="8202" max="8204" width="7.15234375" customWidth="1"/>
    <col min="8449" max="8449" width="33.15234375" bestFit="1" customWidth="1"/>
    <col min="8450" max="8452" width="7.15234375" customWidth="1"/>
    <col min="8453" max="8453" width="5" customWidth="1"/>
    <col min="8454" max="8456" width="7.15234375" customWidth="1"/>
    <col min="8457" max="8457" width="5" customWidth="1"/>
    <col min="8458" max="8460" width="7.15234375" customWidth="1"/>
    <col min="8705" max="8705" width="33.15234375" bestFit="1" customWidth="1"/>
    <col min="8706" max="8708" width="7.15234375" customWidth="1"/>
    <col min="8709" max="8709" width="5" customWidth="1"/>
    <col min="8710" max="8712" width="7.15234375" customWidth="1"/>
    <col min="8713" max="8713" width="5" customWidth="1"/>
    <col min="8714" max="8716" width="7.15234375" customWidth="1"/>
    <col min="8961" max="8961" width="33.15234375" bestFit="1" customWidth="1"/>
    <col min="8962" max="8964" width="7.15234375" customWidth="1"/>
    <col min="8965" max="8965" width="5" customWidth="1"/>
    <col min="8966" max="8968" width="7.15234375" customWidth="1"/>
    <col min="8969" max="8969" width="5" customWidth="1"/>
    <col min="8970" max="8972" width="7.15234375" customWidth="1"/>
    <col min="9217" max="9217" width="33.15234375" bestFit="1" customWidth="1"/>
    <col min="9218" max="9220" width="7.15234375" customWidth="1"/>
    <col min="9221" max="9221" width="5" customWidth="1"/>
    <col min="9222" max="9224" width="7.15234375" customWidth="1"/>
    <col min="9225" max="9225" width="5" customWidth="1"/>
    <col min="9226" max="9228" width="7.15234375" customWidth="1"/>
    <col min="9473" max="9473" width="33.15234375" bestFit="1" customWidth="1"/>
    <col min="9474" max="9476" width="7.15234375" customWidth="1"/>
    <col min="9477" max="9477" width="5" customWidth="1"/>
    <col min="9478" max="9480" width="7.15234375" customWidth="1"/>
    <col min="9481" max="9481" width="5" customWidth="1"/>
    <col min="9482" max="9484" width="7.15234375" customWidth="1"/>
    <col min="9729" max="9729" width="33.15234375" bestFit="1" customWidth="1"/>
    <col min="9730" max="9732" width="7.15234375" customWidth="1"/>
    <col min="9733" max="9733" width="5" customWidth="1"/>
    <col min="9734" max="9736" width="7.15234375" customWidth="1"/>
    <col min="9737" max="9737" width="5" customWidth="1"/>
    <col min="9738" max="9740" width="7.15234375" customWidth="1"/>
    <col min="9985" max="9985" width="33.15234375" bestFit="1" customWidth="1"/>
    <col min="9986" max="9988" width="7.15234375" customWidth="1"/>
    <col min="9989" max="9989" width="5" customWidth="1"/>
    <col min="9990" max="9992" width="7.15234375" customWidth="1"/>
    <col min="9993" max="9993" width="5" customWidth="1"/>
    <col min="9994" max="9996" width="7.15234375" customWidth="1"/>
    <col min="10241" max="10241" width="33.15234375" bestFit="1" customWidth="1"/>
    <col min="10242" max="10244" width="7.15234375" customWidth="1"/>
    <col min="10245" max="10245" width="5" customWidth="1"/>
    <col min="10246" max="10248" width="7.15234375" customWidth="1"/>
    <col min="10249" max="10249" width="5" customWidth="1"/>
    <col min="10250" max="10252" width="7.15234375" customWidth="1"/>
    <col min="10497" max="10497" width="33.15234375" bestFit="1" customWidth="1"/>
    <col min="10498" max="10500" width="7.15234375" customWidth="1"/>
    <col min="10501" max="10501" width="5" customWidth="1"/>
    <col min="10502" max="10504" width="7.15234375" customWidth="1"/>
    <col min="10505" max="10505" width="5" customWidth="1"/>
    <col min="10506" max="10508" width="7.15234375" customWidth="1"/>
    <col min="10753" max="10753" width="33.15234375" bestFit="1" customWidth="1"/>
    <col min="10754" max="10756" width="7.15234375" customWidth="1"/>
    <col min="10757" max="10757" width="5" customWidth="1"/>
    <col min="10758" max="10760" width="7.15234375" customWidth="1"/>
    <col min="10761" max="10761" width="5" customWidth="1"/>
    <col min="10762" max="10764" width="7.15234375" customWidth="1"/>
    <col min="11009" max="11009" width="33.15234375" bestFit="1" customWidth="1"/>
    <col min="11010" max="11012" width="7.15234375" customWidth="1"/>
    <col min="11013" max="11013" width="5" customWidth="1"/>
    <col min="11014" max="11016" width="7.15234375" customWidth="1"/>
    <col min="11017" max="11017" width="5" customWidth="1"/>
    <col min="11018" max="11020" width="7.15234375" customWidth="1"/>
    <col min="11265" max="11265" width="33.15234375" bestFit="1" customWidth="1"/>
    <col min="11266" max="11268" width="7.15234375" customWidth="1"/>
    <col min="11269" max="11269" width="5" customWidth="1"/>
    <col min="11270" max="11272" width="7.15234375" customWidth="1"/>
    <col min="11273" max="11273" width="5" customWidth="1"/>
    <col min="11274" max="11276" width="7.15234375" customWidth="1"/>
    <col min="11521" max="11521" width="33.15234375" bestFit="1" customWidth="1"/>
    <col min="11522" max="11524" width="7.15234375" customWidth="1"/>
    <col min="11525" max="11525" width="5" customWidth="1"/>
    <col min="11526" max="11528" width="7.15234375" customWidth="1"/>
    <col min="11529" max="11529" width="5" customWidth="1"/>
    <col min="11530" max="11532" width="7.15234375" customWidth="1"/>
    <col min="11777" max="11777" width="33.15234375" bestFit="1" customWidth="1"/>
    <col min="11778" max="11780" width="7.15234375" customWidth="1"/>
    <col min="11781" max="11781" width="5" customWidth="1"/>
    <col min="11782" max="11784" width="7.15234375" customWidth="1"/>
    <col min="11785" max="11785" width="5" customWidth="1"/>
    <col min="11786" max="11788" width="7.15234375" customWidth="1"/>
    <col min="12033" max="12033" width="33.15234375" bestFit="1" customWidth="1"/>
    <col min="12034" max="12036" width="7.15234375" customWidth="1"/>
    <col min="12037" max="12037" width="5" customWidth="1"/>
    <col min="12038" max="12040" width="7.15234375" customWidth="1"/>
    <col min="12041" max="12041" width="5" customWidth="1"/>
    <col min="12042" max="12044" width="7.15234375" customWidth="1"/>
    <col min="12289" max="12289" width="33.15234375" bestFit="1" customWidth="1"/>
    <col min="12290" max="12292" width="7.15234375" customWidth="1"/>
    <col min="12293" max="12293" width="5" customWidth="1"/>
    <col min="12294" max="12296" width="7.15234375" customWidth="1"/>
    <col min="12297" max="12297" width="5" customWidth="1"/>
    <col min="12298" max="12300" width="7.15234375" customWidth="1"/>
    <col min="12545" max="12545" width="33.15234375" bestFit="1" customWidth="1"/>
    <col min="12546" max="12548" width="7.15234375" customWidth="1"/>
    <col min="12549" max="12549" width="5" customWidth="1"/>
    <col min="12550" max="12552" width="7.15234375" customWidth="1"/>
    <col min="12553" max="12553" width="5" customWidth="1"/>
    <col min="12554" max="12556" width="7.15234375" customWidth="1"/>
    <col min="12801" max="12801" width="33.15234375" bestFit="1" customWidth="1"/>
    <col min="12802" max="12804" width="7.15234375" customWidth="1"/>
    <col min="12805" max="12805" width="5" customWidth="1"/>
    <col min="12806" max="12808" width="7.15234375" customWidth="1"/>
    <col min="12809" max="12809" width="5" customWidth="1"/>
    <col min="12810" max="12812" width="7.15234375" customWidth="1"/>
    <col min="13057" max="13057" width="33.15234375" bestFit="1" customWidth="1"/>
    <col min="13058" max="13060" width="7.15234375" customWidth="1"/>
    <col min="13061" max="13061" width="5" customWidth="1"/>
    <col min="13062" max="13064" width="7.15234375" customWidth="1"/>
    <col min="13065" max="13065" width="5" customWidth="1"/>
    <col min="13066" max="13068" width="7.15234375" customWidth="1"/>
    <col min="13313" max="13313" width="33.15234375" bestFit="1" customWidth="1"/>
    <col min="13314" max="13316" width="7.15234375" customWidth="1"/>
    <col min="13317" max="13317" width="5" customWidth="1"/>
    <col min="13318" max="13320" width="7.15234375" customWidth="1"/>
    <col min="13321" max="13321" width="5" customWidth="1"/>
    <col min="13322" max="13324" width="7.15234375" customWidth="1"/>
    <col min="13569" max="13569" width="33.15234375" bestFit="1" customWidth="1"/>
    <col min="13570" max="13572" width="7.15234375" customWidth="1"/>
    <col min="13573" max="13573" width="5" customWidth="1"/>
    <col min="13574" max="13576" width="7.15234375" customWidth="1"/>
    <col min="13577" max="13577" width="5" customWidth="1"/>
    <col min="13578" max="13580" width="7.15234375" customWidth="1"/>
    <col min="13825" max="13825" width="33.15234375" bestFit="1" customWidth="1"/>
    <col min="13826" max="13828" width="7.15234375" customWidth="1"/>
    <col min="13829" max="13829" width="5" customWidth="1"/>
    <col min="13830" max="13832" width="7.15234375" customWidth="1"/>
    <col min="13833" max="13833" width="5" customWidth="1"/>
    <col min="13834" max="13836" width="7.15234375" customWidth="1"/>
    <col min="14081" max="14081" width="33.15234375" bestFit="1" customWidth="1"/>
    <col min="14082" max="14084" width="7.15234375" customWidth="1"/>
    <col min="14085" max="14085" width="5" customWidth="1"/>
    <col min="14086" max="14088" width="7.15234375" customWidth="1"/>
    <col min="14089" max="14089" width="5" customWidth="1"/>
    <col min="14090" max="14092" width="7.15234375" customWidth="1"/>
    <col min="14337" max="14337" width="33.15234375" bestFit="1" customWidth="1"/>
    <col min="14338" max="14340" width="7.15234375" customWidth="1"/>
    <col min="14341" max="14341" width="5" customWidth="1"/>
    <col min="14342" max="14344" width="7.15234375" customWidth="1"/>
    <col min="14345" max="14345" width="5" customWidth="1"/>
    <col min="14346" max="14348" width="7.15234375" customWidth="1"/>
    <col min="14593" max="14593" width="33.15234375" bestFit="1" customWidth="1"/>
    <col min="14594" max="14596" width="7.15234375" customWidth="1"/>
    <col min="14597" max="14597" width="5" customWidth="1"/>
    <col min="14598" max="14600" width="7.15234375" customWidth="1"/>
    <col min="14601" max="14601" width="5" customWidth="1"/>
    <col min="14602" max="14604" width="7.15234375" customWidth="1"/>
    <col min="14849" max="14849" width="33.15234375" bestFit="1" customWidth="1"/>
    <col min="14850" max="14852" width="7.15234375" customWidth="1"/>
    <col min="14853" max="14853" width="5" customWidth="1"/>
    <col min="14854" max="14856" width="7.15234375" customWidth="1"/>
    <col min="14857" max="14857" width="5" customWidth="1"/>
    <col min="14858" max="14860" width="7.15234375" customWidth="1"/>
    <col min="15105" max="15105" width="33.15234375" bestFit="1" customWidth="1"/>
    <col min="15106" max="15108" width="7.15234375" customWidth="1"/>
    <col min="15109" max="15109" width="5" customWidth="1"/>
    <col min="15110" max="15112" width="7.15234375" customWidth="1"/>
    <col min="15113" max="15113" width="5" customWidth="1"/>
    <col min="15114" max="15116" width="7.15234375" customWidth="1"/>
    <col min="15361" max="15361" width="33.15234375" bestFit="1" customWidth="1"/>
    <col min="15362" max="15364" width="7.15234375" customWidth="1"/>
    <col min="15365" max="15365" width="5" customWidth="1"/>
    <col min="15366" max="15368" width="7.15234375" customWidth="1"/>
    <col min="15369" max="15369" width="5" customWidth="1"/>
    <col min="15370" max="15372" width="7.15234375" customWidth="1"/>
    <col min="15617" max="15617" width="33.15234375" bestFit="1" customWidth="1"/>
    <col min="15618" max="15620" width="7.15234375" customWidth="1"/>
    <col min="15621" max="15621" width="5" customWidth="1"/>
    <col min="15622" max="15624" width="7.15234375" customWidth="1"/>
    <col min="15625" max="15625" width="5" customWidth="1"/>
    <col min="15626" max="15628" width="7.15234375" customWidth="1"/>
    <col min="15873" max="15873" width="33.15234375" bestFit="1" customWidth="1"/>
    <col min="15874" max="15876" width="7.15234375" customWidth="1"/>
    <col min="15877" max="15877" width="5" customWidth="1"/>
    <col min="15878" max="15880" width="7.15234375" customWidth="1"/>
    <col min="15881" max="15881" width="5" customWidth="1"/>
    <col min="15882" max="15884" width="7.15234375" customWidth="1"/>
    <col min="16129" max="16129" width="33.15234375" bestFit="1" customWidth="1"/>
    <col min="16130" max="16132" width="7.15234375" customWidth="1"/>
    <col min="16133" max="16133" width="5" customWidth="1"/>
    <col min="16134" max="16136" width="7.15234375" customWidth="1"/>
    <col min="16137" max="16137" width="5" customWidth="1"/>
    <col min="16138" max="16140" width="7.15234375" customWidth="1"/>
  </cols>
  <sheetData>
    <row r="1" spans="1:14" ht="15.45" x14ac:dyDescent="0.4">
      <c r="A1" s="18" t="str">
        <f>CONCATENATE("Industry and Occupation Table 1  Occuptation composition (SOC2020) by gender, ",B$6,"-",J$6,", ",Info!B5)</f>
        <v>Industry and Occupation Table 1  Occuptation composition (SOC2020) by gender, 2015-2035, East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3">
      <c r="A2" s="258" t="s">
        <v>537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3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3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35</v>
      </c>
      <c r="M4" s="236"/>
      <c r="N4" s="236"/>
    </row>
    <row r="5" spans="1:14" x14ac:dyDescent="0.3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3">
      <c r="A6" s="241" t="s">
        <v>0</v>
      </c>
      <c r="B6" s="373">
        <v>2015</v>
      </c>
      <c r="C6" s="374"/>
      <c r="D6" s="374"/>
      <c r="E6" s="246"/>
      <c r="F6" s="373">
        <v>2020</v>
      </c>
      <c r="G6" s="373"/>
      <c r="H6" s="373"/>
      <c r="I6" s="246"/>
      <c r="J6" s="373">
        <v>2035</v>
      </c>
      <c r="K6" s="373"/>
      <c r="L6" s="373"/>
      <c r="M6" s="236"/>
      <c r="N6" s="236"/>
    </row>
    <row r="7" spans="1:14" x14ac:dyDescent="0.3">
      <c r="A7" s="252"/>
      <c r="B7" s="245" t="s">
        <v>352</v>
      </c>
      <c r="C7" s="245" t="s">
        <v>353</v>
      </c>
      <c r="D7" s="245" t="s">
        <v>32</v>
      </c>
      <c r="E7" s="245"/>
      <c r="F7" s="245" t="s">
        <v>352</v>
      </c>
      <c r="G7" s="245" t="s">
        <v>353</v>
      </c>
      <c r="H7" s="245" t="s">
        <v>32</v>
      </c>
      <c r="I7" s="245"/>
      <c r="J7" s="245" t="s">
        <v>352</v>
      </c>
      <c r="K7" s="245" t="s">
        <v>353</v>
      </c>
      <c r="L7" s="245" t="s">
        <v>32</v>
      </c>
      <c r="M7" s="236"/>
      <c r="N7" s="236"/>
    </row>
    <row r="8" spans="1:14" x14ac:dyDescent="0.3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3">
      <c r="A9" s="237" t="str">
        <f>name!E$4</f>
        <v>Managers, directors and senior officials</v>
      </c>
      <c r="B9" s="249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103.7227123258269</v>
      </c>
      <c r="C9" s="249">
        <f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213.57649970697022</v>
      </c>
      <c r="D9" s="249">
        <f>SUM(B9:C9)</f>
        <v>317.29921203279713</v>
      </c>
      <c r="E9" s="238"/>
      <c r="F9" s="249">
        <f>SUM(F26,F43,F60,F77,F94,F111,F128,F145,F162,F179,F196,F213,F230,F247,F264,F281,F298,F315,F332,F349,F366,F383,F400,F417,F434,F451,F468,F485,F502,F519,F536,F553,F570,F587,F604,F621,F638,F655,F672,F689,F706,F723,F740,F757,F774,F791,F808,F825,F842,F859,F876,F893,F910,F927,F944,F961,F978,F995,F1012,F1029,F1046,F1063,F1080,F1097,F1114,F1131,F1148,F1165,F1182,F1199,F1216,F1233,F1250,F1267,F1284)</f>
        <v>130.06028356459535</v>
      </c>
      <c r="G9" s="249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234.81532054319123</v>
      </c>
      <c r="H9" s="249">
        <f>SUM(F9:G9)</f>
        <v>364.87560410778656</v>
      </c>
      <c r="I9" s="238"/>
      <c r="J9" s="249">
        <f>SUM(J26,J43,J60,J77,J94,J111,J128,J145,J162,J179,J196,J213,J230,J247,J264,J281,J298,J315,J332,J349,J366,J383,J400,J417,J434,J451,J468,J485,J502,J519,J536,J553,J570,J587,J604,J621,J638,J655,J672,J689,J706,J723,J740,J757,J774,J791,J808,J825,J842,J859,J876,J893,J910,J927,J944,J961,J978,J995,J1012,J1029,J1046,J1063,J1080,J1097,J1114,J1131,J1148,J1165,J1182,J1199,J1216,J1233,J1250,J1267,J1284)</f>
        <v>166.62718990027255</v>
      </c>
      <c r="K9" s="249">
        <f>SUM(K26,K43,K60,K77,K94,K111,K128,K145,K162,K179,K196,K213,K230,K247,K264,K281,K298,K315,K332,K349,K366,K383,K400,K417,K434,K451,K468,K485,K502,K519,K536,K553,K570,K587,K604,K621,K638,K655,K672,K689,K706,K723,K740,K757,K774,K791,K808,K825,K842,K859,K876,K893,K910,K927,K944,K961,K978,K995,K1012,K1029,K1046,K1063,K1080,K1097,K1114,K1131,K1148,K1165,K1182,K1199,K1216,K1233,K1250,K1267,K1284)</f>
        <v>259.42588641605772</v>
      </c>
      <c r="L9" s="249">
        <f>SUM(J9:K9)</f>
        <v>426.05307631633025</v>
      </c>
      <c r="M9" s="236"/>
      <c r="N9" s="236"/>
    </row>
    <row r="10" spans="1:14" x14ac:dyDescent="0.3">
      <c r="A10" s="237" t="str">
        <f>name!E$5</f>
        <v>Professional occupations</v>
      </c>
      <c r="B10" s="249">
        <f t="shared" ref="B10:C10" si="0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259.02869462688813</v>
      </c>
      <c r="C10" s="249">
        <f t="shared" si="0"/>
        <v>327.27560309959358</v>
      </c>
      <c r="D10" s="249">
        <f t="shared" ref="D10:D17" si="1">SUM(B10:C10)</f>
        <v>586.30429772648176</v>
      </c>
      <c r="E10" s="238"/>
      <c r="F10" s="249">
        <f t="shared" ref="F10:G10" si="2">SUM(F27,F44,F61,F78,F95,F112,F129,F146,F163,F180,F197,F214,F231,F248,F265,F282,F299,F316,F333,F350,F367,F384,F401,F418,F435,F452,F469,F486,F503,F520,F537,F554,F571,F588,F605,F622,F639,F656,F673,F690,F707,F724,F741,F758,F775,F792,F809,F826,F843,F860,F877,F894,F911,F928,F945,F962,F979,F996,F1013,F1030,F1047,F1064,F1081,F1098,F1115,F1132,F1149,F1166,F1183,F1200,F1217,F1234,F1251,F1268,F1285)</f>
        <v>331.10243887649631</v>
      </c>
      <c r="G10" s="249">
        <f t="shared" si="2"/>
        <v>373.71474668083857</v>
      </c>
      <c r="H10" s="249">
        <f t="shared" ref="H10:H17" si="3">SUM(F10:G10)</f>
        <v>704.81718555733482</v>
      </c>
      <c r="I10" s="238"/>
      <c r="J10" s="249">
        <f t="shared" ref="J10:K10" si="4">SUM(J27,J44,J61,J78,J95,J112,J129,J146,J163,J180,J197,J214,J231,J248,J265,J282,J299,J316,J333,J350,J367,J384,J401,J418,J435,J452,J469,J486,J503,J520,J537,J554,J571,J588,J605,J622,J639,J656,J673,J690,J707,J724,J741,J758,J775,J792,J809,J826,J843,J860,J877,J894,J911,J928,J945,J962,J979,J996,J1013,J1030,J1047,J1064,J1081,J1098,J1115,J1132,J1149,J1166,J1183,J1200,J1217,J1234,J1251,J1268,J1285)</f>
        <v>411.78062298768248</v>
      </c>
      <c r="K10" s="249">
        <f t="shared" si="4"/>
        <v>439.54464832560018</v>
      </c>
      <c r="L10" s="249">
        <f t="shared" ref="L10:L17" si="5">SUM(J10:K10)</f>
        <v>851.32527131328266</v>
      </c>
      <c r="M10" s="236"/>
      <c r="N10" s="236"/>
    </row>
    <row r="11" spans="1:14" x14ac:dyDescent="0.3">
      <c r="A11" s="237" t="str">
        <f>name!E$6</f>
        <v>Associate professional occupations</v>
      </c>
      <c r="B11" s="249">
        <f t="shared" ref="B11:C11" si="6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167.44893384923645</v>
      </c>
      <c r="C11" s="249">
        <f t="shared" si="6"/>
        <v>201.54255325504039</v>
      </c>
      <c r="D11" s="249">
        <f t="shared" si="1"/>
        <v>368.99148710427687</v>
      </c>
      <c r="E11" s="238"/>
      <c r="F11" s="249">
        <f t="shared" ref="F11:G11" si="7">SUM(F28,F45,F62,F79,F96,F113,F130,F147,F164,F181,F198,F215,F232,F249,F266,F283,F300,F317,F334,F351,F368,F385,F402,F419,F436,F453,F470,F487,F504,F521,F538,F555,F572,F589,F606,F623,F640,F657,F674,F691,F708,F725,F742,F759,F776,F793,F810,F827,F844,F861,F878,F895,F912,F929,F946,F963,F980,F997,F1014,F1031,F1048,F1065,F1082,F1099,F1116,F1133,F1150,F1167,F1184,F1201,F1218,F1235,F1252,F1269,F1286)</f>
        <v>199.77629052713485</v>
      </c>
      <c r="G11" s="249">
        <f t="shared" si="7"/>
        <v>225.110276356898</v>
      </c>
      <c r="H11" s="249">
        <f t="shared" si="3"/>
        <v>424.88656688403285</v>
      </c>
      <c r="I11" s="238"/>
      <c r="J11" s="249">
        <f t="shared" ref="J11:K11" si="8">SUM(J28,J45,J62,J79,J96,J113,J130,J147,J164,J181,J198,J215,J232,J249,J266,J283,J300,J317,J334,J351,J368,J385,J402,J419,J436,J453,J470,J487,J504,J521,J538,J555,J572,J589,J606,J623,J640,J657,J674,J691,J708,J725,J742,J759,J776,J793,J810,J827,J844,J861,J878,J895,J912,J929,J946,J963,J980,J997,J1014,J1031,J1048,J1065,J1082,J1099,J1116,J1133,J1150,J1167,J1184,J1201,J1218,J1235,J1252,J1269,J1286)</f>
        <v>232.62140135191885</v>
      </c>
      <c r="K11" s="249">
        <f t="shared" si="8"/>
        <v>222.39187286248819</v>
      </c>
      <c r="L11" s="249">
        <f t="shared" si="5"/>
        <v>455.01327421440703</v>
      </c>
      <c r="M11" s="236"/>
      <c r="N11" s="236"/>
    </row>
    <row r="12" spans="1:14" x14ac:dyDescent="0.3">
      <c r="A12" s="237" t="str">
        <f>name!E$7</f>
        <v>Administrative and secretarial occupations</v>
      </c>
      <c r="B12" s="249">
        <f t="shared" ref="B12:C12" si="9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262.88250594223831</v>
      </c>
      <c r="C12" s="249">
        <f t="shared" si="9"/>
        <v>72.367715821368748</v>
      </c>
      <c r="D12" s="249">
        <f t="shared" si="1"/>
        <v>335.25022176360704</v>
      </c>
      <c r="E12" s="238"/>
      <c r="F12" s="249">
        <f t="shared" ref="F12:G12" si="10">SUM(F29,F46,F63,F80,F97,F114,F131,F148,F165,F182,F199,F216,F233,F250,F267,F284,F301,F318,F335,F352,F369,F386,F403,F420,F437,F454,F471,F488,F505,F522,F539,F556,F573,F590,F607,F624,F641,F658,F675,F692,F709,F726,F743,F760,F777,F794,F811,F828,F845,F862,F879,F896,F913,F930,F947,F964,F981,F998,F1015,F1032,F1049,F1066,F1083,F1100,F1117,F1134,F1151,F1168,F1185,F1202,F1219,F1236,F1253,F1270,F1287)</f>
        <v>252.80072147803452</v>
      </c>
      <c r="G12" s="249">
        <f t="shared" si="10"/>
        <v>77.909757962021601</v>
      </c>
      <c r="H12" s="249">
        <f t="shared" si="3"/>
        <v>330.71047944005613</v>
      </c>
      <c r="I12" s="238"/>
      <c r="J12" s="249">
        <f t="shared" ref="J12:K12" si="11">SUM(J29,J46,J63,J80,J97,J114,J131,J148,J165,J182,J199,J216,J233,J250,J267,J284,J301,J318,J335,J352,J369,J386,J403,J420,J437,J454,J471,J488,J505,J522,J539,J556,J573,J590,J607,J624,J641,J658,J675,J692,J709,J726,J743,J760,J777,J794,J811,J828,J845,J862,J879,J896,J913,J930,J947,J964,J981,J998,J1015,J1032,J1049,J1066,J1083,J1100,J1117,J1134,J1151,J1168,J1185,J1202,J1219,J1236,J1253,J1270,J1287)</f>
        <v>197.96019849981033</v>
      </c>
      <c r="K12" s="249">
        <f t="shared" si="11"/>
        <v>82.394604698877714</v>
      </c>
      <c r="L12" s="249">
        <f t="shared" si="5"/>
        <v>280.35480319868805</v>
      </c>
      <c r="M12" s="236"/>
      <c r="N12" s="236"/>
    </row>
    <row r="13" spans="1:14" x14ac:dyDescent="0.3">
      <c r="A13" s="237" t="str">
        <f>name!E$8</f>
        <v>Skilled trades occupations</v>
      </c>
      <c r="B13" s="249">
        <f t="shared" ref="B13:C13" si="12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35.804066017991389</v>
      </c>
      <c r="C13" s="249">
        <f t="shared" si="12"/>
        <v>289.12722393518135</v>
      </c>
      <c r="D13" s="249">
        <f t="shared" si="1"/>
        <v>324.93128995317272</v>
      </c>
      <c r="E13" s="238"/>
      <c r="F13" s="249">
        <f t="shared" ref="F13:G13" si="13">SUM(F30,F47,F64,F81,F98,F115,F132,F149,F166,F183,F200,F217,F234,F251,F268,F285,F302,F319,F336,F353,F370,F387,F404,F421,F438,F455,F472,F489,F506,F523,F540,F557,F574,F591,F608,F625,F642,F659,F676,F693,F710,F727,F744,F761,F778,F795,F812,F829,F846,F863,F880,F897,F914,F931,F948,F965,F982,F999,F1016,F1033,F1050,F1067,F1084,F1101,F1118,F1135,F1152,F1169,F1186,F1203,F1220,F1237,F1254,F1271,F1288)</f>
        <v>38.027551053720089</v>
      </c>
      <c r="G13" s="249">
        <f t="shared" si="13"/>
        <v>233.439043052519</v>
      </c>
      <c r="H13" s="249">
        <f t="shared" si="3"/>
        <v>271.46659410623909</v>
      </c>
      <c r="I13" s="238"/>
      <c r="J13" s="249">
        <f t="shared" ref="J13:K13" si="14">SUM(J30,J47,J64,J81,J98,J115,J132,J149,J166,J183,J200,J217,J234,J251,J268,J285,J302,J319,J336,J353,J370,J387,J404,J421,J438,J455,J472,J489,J506,J523,J540,J557,J574,J591,J608,J625,J642,J659,J676,J693,J710,J727,J744,J761,J778,J795,J812,J829,J846,J863,J880,J897,J914,J931,J948,J965,J982,J999,J1016,J1033,J1050,J1067,J1084,J1101,J1118,J1135,J1152,J1169,J1186,J1203,J1220,J1237,J1254,J1271,J1288)</f>
        <v>48.603062021722749</v>
      </c>
      <c r="K13" s="249">
        <f t="shared" si="14"/>
        <v>229.03936427790984</v>
      </c>
      <c r="L13" s="249">
        <f t="shared" si="5"/>
        <v>277.64242629963258</v>
      </c>
      <c r="M13" s="236"/>
      <c r="N13" s="236"/>
    </row>
    <row r="14" spans="1:14" x14ac:dyDescent="0.3">
      <c r="A14" s="237" t="str">
        <f>name!E$9</f>
        <v>Caring, leisure and other service occupations</v>
      </c>
      <c r="B14" s="249">
        <f t="shared" ref="B14:C14" si="15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227.28322277721907</v>
      </c>
      <c r="C14" s="249">
        <f t="shared" si="15"/>
        <v>53.595120782197249</v>
      </c>
      <c r="D14" s="249">
        <f t="shared" si="1"/>
        <v>280.87834355941629</v>
      </c>
      <c r="E14" s="238"/>
      <c r="F14" s="249">
        <f t="shared" ref="F14:G14" si="16">SUM(F31,F48,F65,F82,F99,F116,F133,F150,F167,F184,F201,F218,F235,F252,F269,F286,F303,F320,F337,F354,F371,F388,F405,F422,F439,F456,F473,F490,F507,F524,F541,F558,F575,F592,F609,F626,F643,F660,F677,F694,F711,F728,F745,F762,F779,F796,F813,F830,F847,F864,F881,F898,F915,F932,F949,F966,F983,F1000,F1017,F1034,F1051,F1068,F1085,F1102,F1119,F1136,F1153,F1170,F1187,F1204,F1221,F1238,F1255,F1272,F1289)</f>
        <v>246.4948063657495</v>
      </c>
      <c r="G14" s="249">
        <f t="shared" si="16"/>
        <v>53.017473030708594</v>
      </c>
      <c r="H14" s="249">
        <f t="shared" si="3"/>
        <v>299.5122793964581</v>
      </c>
      <c r="I14" s="238"/>
      <c r="J14" s="249">
        <f t="shared" ref="J14:K14" si="17">SUM(J31,J48,J65,J82,J99,J116,J133,J150,J167,J184,J201,J218,J235,J252,J269,J286,J303,J320,J337,J354,J371,J388,J405,J422,J439,J456,J473,J490,J507,J524,J541,J558,J575,J592,J609,J626,J643,J660,J677,J694,J711,J728,J745,J762,J779,J796,J813,J830,J847,J864,J881,J898,J915,J932,J949,J966,J983,J1000,J1017,J1034,J1051,J1068,J1085,J1102,J1119,J1136,J1153,J1170,J1187,J1204,J1221,J1238,J1255,J1272,J1289)</f>
        <v>282.93439278761537</v>
      </c>
      <c r="K14" s="249">
        <f t="shared" si="17"/>
        <v>70.567616508272792</v>
      </c>
      <c r="L14" s="249">
        <f t="shared" si="5"/>
        <v>353.50200929588817</v>
      </c>
      <c r="M14" s="236"/>
      <c r="N14" s="236"/>
    </row>
    <row r="15" spans="1:14" x14ac:dyDescent="0.3">
      <c r="A15" s="237" t="str">
        <f>name!E$10</f>
        <v>Sales and customer service occupations</v>
      </c>
      <c r="B15" s="249">
        <f t="shared" ref="B15:C15" si="18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160.94173380201747</v>
      </c>
      <c r="C15" s="249">
        <f t="shared" si="18"/>
        <v>105.44801401654978</v>
      </c>
      <c r="D15" s="249">
        <f t="shared" si="1"/>
        <v>266.38974781856723</v>
      </c>
      <c r="E15" s="238"/>
      <c r="F15" s="249">
        <f t="shared" ref="F15:G15" si="19">SUM(F32,F49,F66,F83,F100,F117,F134,F151,F168,F185,F202,F219,F236,F253,F270,F287,F304,F321,F338,F355,F372,F389,F406,F423,F440,F457,F474,F491,F508,F525,F542,F559,F576,F593,F610,F627,F644,F661,F678,F695,F712,F729,F746,F763,F780,F797,F814,F831,F848,F865,F882,F899,F916,F933,F950,F967,F984,F1001,F1018,F1035,F1052,F1069,F1086,F1103,F1120,F1137,F1154,F1171,F1188,F1205,F1222,F1239,F1256,F1273,F1290)</f>
        <v>145.48639094652177</v>
      </c>
      <c r="G15" s="249">
        <f t="shared" si="19"/>
        <v>99.069676745709657</v>
      </c>
      <c r="H15" s="249">
        <f t="shared" si="3"/>
        <v>244.55606769223141</v>
      </c>
      <c r="I15" s="238"/>
      <c r="J15" s="249">
        <f t="shared" ref="J15:K15" si="20">SUM(J32,J49,J66,J83,J100,J117,J134,J151,J168,J185,J202,J219,J236,J253,J270,J287,J304,J321,J338,J355,J372,J389,J406,J423,J440,J457,J474,J491,J508,J525,J542,J559,J576,J593,J610,J627,J644,J661,J678,J695,J712,J729,J746,J763,J780,J797,J814,J831,J848,J865,J882,J899,J916,J933,J950,J967,J984,J1001,J1018,J1035,J1052,J1069,J1086,J1103,J1120,J1137,J1154,J1171,J1188,J1205,J1222,J1239,J1256,J1273,J1290)</f>
        <v>141.17849826089778</v>
      </c>
      <c r="K15" s="249">
        <f t="shared" si="20"/>
        <v>104.63405967875831</v>
      </c>
      <c r="L15" s="249">
        <f t="shared" si="5"/>
        <v>245.81255793965607</v>
      </c>
      <c r="M15" s="236"/>
      <c r="N15" s="236"/>
    </row>
    <row r="16" spans="1:14" x14ac:dyDescent="0.3">
      <c r="A16" s="237" t="str">
        <f>name!E$11</f>
        <v>Process, plant and machine operatives</v>
      </c>
      <c r="B16" s="249">
        <f t="shared" ref="B16:C16" si="21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26.407854028737564</v>
      </c>
      <c r="C16" s="249">
        <f t="shared" si="21"/>
        <v>164.37026575466248</v>
      </c>
      <c r="D16" s="249">
        <f t="shared" si="1"/>
        <v>190.77811978340006</v>
      </c>
      <c r="E16" s="238"/>
      <c r="F16" s="249">
        <f t="shared" ref="F16:G16" si="22">SUM(F33,F50,F67,F84,F101,F118,F135,F152,F169,F186,F203,F220,F237,F254,F271,F288,F305,F322,F339,F356,F373,F390,F407,F424,F441,F458,F475,F492,F509,F526,F543,F560,F577,F594,F611,F628,F645,F662,F679,F696,F713,F730,F747,F764,F781,F798,F815,F832,F849,F866,F883,F900,F917,F934,F951,F968,F985,F1002,F1019,F1036,F1053,F1070,F1087,F1104,F1121,F1138,F1155,F1172,F1189,F1206,F1223,F1240,F1257,F1274,F1291)</f>
        <v>24.590718075896326</v>
      </c>
      <c r="G16" s="249">
        <f t="shared" si="22"/>
        <v>157.02548447655067</v>
      </c>
      <c r="H16" s="249">
        <f t="shared" si="3"/>
        <v>181.61620255244699</v>
      </c>
      <c r="I16" s="238"/>
      <c r="J16" s="249">
        <f t="shared" ref="J16:K16" si="23">SUM(J33,J50,J67,J84,J101,J118,J135,J152,J169,J186,J203,J220,J237,J254,J271,J288,J305,J322,J339,J356,J373,J390,J407,J424,J441,J458,J475,J492,J509,J526,J543,J560,J577,J594,J611,J628,J645,J662,J679,J696,J713,J730,J747,J764,J781,J798,J815,J832,J849,J866,J883,J900,J917,J934,J951,J968,J985,J1002,J1019,J1036,J1053,J1070,J1087,J1104,J1121,J1138,J1155,J1172,J1189,J1206,J1223,J1240,J1257,J1274,J1291)</f>
        <v>34.770537782923086</v>
      </c>
      <c r="K16" s="249">
        <f t="shared" si="23"/>
        <v>179.87607748543584</v>
      </c>
      <c r="L16" s="249">
        <f t="shared" si="5"/>
        <v>214.64661526835891</v>
      </c>
      <c r="M16" s="236"/>
      <c r="N16" s="236"/>
    </row>
    <row r="17" spans="1:14" x14ac:dyDescent="0.3">
      <c r="A17" s="237" t="str">
        <f>name!E$12</f>
        <v>Elementary occupations</v>
      </c>
      <c r="B17" s="249">
        <f t="shared" ref="B17:C17" si="24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183.55327662988805</v>
      </c>
      <c r="C17" s="249">
        <f t="shared" si="24"/>
        <v>201.40300362790512</v>
      </c>
      <c r="D17" s="249">
        <f t="shared" si="1"/>
        <v>384.9562802577932</v>
      </c>
      <c r="E17" s="238"/>
      <c r="F17" s="249">
        <f t="shared" ref="F17:G17" si="25">SUM(F34,F51,F68,F85,F102,F119,F136,F153,F170,F187,F204,F221,F238,F255,F272,F289,F306,F323,F340,F357,F374,F391,F408,F425,F442,F459,F476,F493,F510,F527,F544,F561,F578,F595,F612,F629,F646,F663,F680,F697,F714,F731,F748,F765,F782,F799,F816,F833,F850,F867,F884,F901,F918,F935,F952,F969,F986,F1003,F1020,F1037,F1054,F1071,F1088,F1105,F1122,F1139,F1156,F1173,F1190,F1207,F1224,F1241,F1258,F1275,F1292)</f>
        <v>170.94879911115765</v>
      </c>
      <c r="G17" s="249">
        <f t="shared" si="25"/>
        <v>180.80222115065624</v>
      </c>
      <c r="H17" s="249">
        <f t="shared" si="3"/>
        <v>351.75102026181389</v>
      </c>
      <c r="I17" s="238"/>
      <c r="J17" s="249">
        <f t="shared" ref="J17:K17" si="26">SUM(J34,J51,J68,J85,J102,J119,J136,J153,J170,J187,J204,J221,J238,J255,J272,J289,J306,J323,J340,J357,J374,J391,J408,J425,J442,J459,J476,J493,J510,J527,J544,J561,J578,J595,J612,J629,J646,J663,J680,J697,J714,J731,J748,J765,J782,J799,J816,J833,J850,J867,J884,J901,J918,J935,J952,J969,J986,J1003,J1020,J1037,J1054,J1071,J1088,J1105,J1122,J1139,J1156,J1173,J1190,J1207,J1224,J1241,J1258,J1275,J1292)</f>
        <v>159.1360964067801</v>
      </c>
      <c r="K17" s="249">
        <f t="shared" si="26"/>
        <v>180.79686974487583</v>
      </c>
      <c r="L17" s="249">
        <f t="shared" si="5"/>
        <v>339.93296615165593</v>
      </c>
      <c r="M17" s="236"/>
      <c r="N17" s="236"/>
    </row>
    <row r="18" spans="1:14" x14ac:dyDescent="0.3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3">
      <c r="A19" s="244" t="s">
        <v>32</v>
      </c>
      <c r="B19" s="247">
        <f>SUM(B9:B17)</f>
        <v>1427.0730000000435</v>
      </c>
      <c r="C19" s="247">
        <f t="shared" ref="C19:L19" si="27">SUM(C9:C17)</f>
        <v>1628.7059999994688</v>
      </c>
      <c r="D19" s="247">
        <f t="shared" si="27"/>
        <v>3055.778999999513</v>
      </c>
      <c r="E19" s="247"/>
      <c r="F19" s="247">
        <f t="shared" si="27"/>
        <v>1539.2879999993065</v>
      </c>
      <c r="G19" s="247">
        <f t="shared" si="27"/>
        <v>1634.9039999990932</v>
      </c>
      <c r="H19" s="247">
        <f t="shared" si="27"/>
        <v>3174.1919999983993</v>
      </c>
      <c r="I19" s="247"/>
      <c r="J19" s="247">
        <f t="shared" si="27"/>
        <v>1675.6119999996235</v>
      </c>
      <c r="K19" s="247">
        <f t="shared" si="27"/>
        <v>1768.6709999982763</v>
      </c>
      <c r="L19" s="247">
        <f t="shared" si="27"/>
        <v>3444.282999997899</v>
      </c>
      <c r="M19" s="236"/>
      <c r="N19" s="236"/>
    </row>
    <row r="20" spans="1:14" x14ac:dyDescent="0.3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3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35</v>
      </c>
      <c r="M21" s="236"/>
      <c r="N21" s="236"/>
    </row>
    <row r="22" spans="1:14" x14ac:dyDescent="0.3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3">
      <c r="A23" s="241" t="str">
        <f>name!A4</f>
        <v>Agriculture, etc</v>
      </c>
      <c r="B23" s="373">
        <f>B$6</f>
        <v>2015</v>
      </c>
      <c r="C23" s="373"/>
      <c r="D23" s="373"/>
      <c r="E23" s="253"/>
      <c r="F23" s="373">
        <f>F$6</f>
        <v>2020</v>
      </c>
      <c r="G23" s="373"/>
      <c r="H23" s="373"/>
      <c r="I23" s="253"/>
      <c r="J23" s="373">
        <f>J$6</f>
        <v>2035</v>
      </c>
      <c r="K23" s="373"/>
      <c r="L23" s="373"/>
      <c r="M23" s="236"/>
      <c r="N23" s="236"/>
    </row>
    <row r="24" spans="1:14" x14ac:dyDescent="0.3">
      <c r="A24" s="254"/>
      <c r="B24" s="255" t="s">
        <v>352</v>
      </c>
      <c r="C24" s="255" t="s">
        <v>353</v>
      </c>
      <c r="D24" s="255" t="s">
        <v>32</v>
      </c>
      <c r="E24" s="255"/>
      <c r="F24" s="255" t="s">
        <v>352</v>
      </c>
      <c r="G24" s="255" t="s">
        <v>353</v>
      </c>
      <c r="H24" s="255" t="s">
        <v>32</v>
      </c>
      <c r="I24" s="255"/>
      <c r="J24" s="255" t="s">
        <v>352</v>
      </c>
      <c r="K24" s="255" t="s">
        <v>353</v>
      </c>
      <c r="L24" s="255" t="s">
        <v>32</v>
      </c>
      <c r="M24" s="236"/>
      <c r="N24" s="236"/>
    </row>
    <row r="25" spans="1:14" x14ac:dyDescent="0.3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3">
      <c r="A26" s="237" t="str">
        <f>name!E$4</f>
        <v>Managers, directors and senior officials</v>
      </c>
      <c r="B26" s="302">
        <v>0.38266255627670864</v>
      </c>
      <c r="C26" s="302">
        <v>1.8780069706300759</v>
      </c>
      <c r="D26" s="302">
        <f>SUM(B26:C26)</f>
        <v>2.2606695269067845</v>
      </c>
      <c r="E26" s="303"/>
      <c r="F26" s="302">
        <v>0.57811315853737877</v>
      </c>
      <c r="G26" s="302">
        <v>1.4862843070789824</v>
      </c>
      <c r="H26" s="302">
        <f>SUM(F26:G26)</f>
        <v>2.0643974656163611</v>
      </c>
      <c r="I26" s="303"/>
      <c r="J26" s="302">
        <v>0.61124337453920952</v>
      </c>
      <c r="K26" s="302">
        <v>2.217511849567614</v>
      </c>
      <c r="L26" s="302">
        <f>SUM(J26:K26)</f>
        <v>2.8287552241068235</v>
      </c>
      <c r="M26" s="236"/>
      <c r="N26" s="236"/>
    </row>
    <row r="27" spans="1:14" x14ac:dyDescent="0.3">
      <c r="A27" s="237" t="str">
        <f>name!E$5</f>
        <v>Professional occupations</v>
      </c>
      <c r="B27" s="302">
        <v>0.58722972535969531</v>
      </c>
      <c r="C27" s="302">
        <v>0.98290300879850201</v>
      </c>
      <c r="D27" s="302">
        <f t="shared" ref="D27:D34" si="28">SUM(B27:C27)</f>
        <v>1.5701327341581974</v>
      </c>
      <c r="E27" s="303"/>
      <c r="F27" s="302">
        <v>1.0663106026965377</v>
      </c>
      <c r="G27" s="302">
        <v>0.95643181732379845</v>
      </c>
      <c r="H27" s="302">
        <f t="shared" ref="H27:H34" si="29">SUM(F27:G27)</f>
        <v>2.0227424200203359</v>
      </c>
      <c r="I27" s="303"/>
      <c r="J27" s="302">
        <v>1.3219208620758576</v>
      </c>
      <c r="K27" s="302">
        <v>1.5143732140427915</v>
      </c>
      <c r="L27" s="302">
        <f t="shared" ref="L27:L34" si="30">SUM(J27:K27)</f>
        <v>2.8362940761186488</v>
      </c>
      <c r="M27" s="236"/>
      <c r="N27" s="236"/>
    </row>
    <row r="28" spans="1:14" x14ac:dyDescent="0.3">
      <c r="A28" s="237" t="str">
        <f>name!E$6</f>
        <v>Associate professional occupations</v>
      </c>
      <c r="B28" s="302">
        <v>0.4275346651202675</v>
      </c>
      <c r="C28" s="302">
        <v>0.71098548401814354</v>
      </c>
      <c r="D28" s="302">
        <f t="shared" si="28"/>
        <v>1.1385201491384112</v>
      </c>
      <c r="E28" s="303"/>
      <c r="F28" s="302">
        <v>0.67623350282111605</v>
      </c>
      <c r="G28" s="302">
        <v>0.62961745636698796</v>
      </c>
      <c r="H28" s="302">
        <f t="shared" si="29"/>
        <v>1.305850959188104</v>
      </c>
      <c r="I28" s="303"/>
      <c r="J28" s="302">
        <v>0.76497281465899014</v>
      </c>
      <c r="K28" s="302">
        <v>0.711960580241636</v>
      </c>
      <c r="L28" s="302">
        <f t="shared" si="30"/>
        <v>1.4769333949006263</v>
      </c>
      <c r="M28" s="236"/>
      <c r="N28" s="236"/>
    </row>
    <row r="29" spans="1:14" x14ac:dyDescent="0.3">
      <c r="A29" s="237" t="str">
        <f>name!E$7</f>
        <v>Administrative and secretarial occupations</v>
      </c>
      <c r="B29" s="302">
        <v>1.7392957882459152</v>
      </c>
      <c r="C29" s="302">
        <v>0.51329009316314511</v>
      </c>
      <c r="D29" s="302">
        <f t="shared" si="28"/>
        <v>2.2525858814090602</v>
      </c>
      <c r="E29" s="303"/>
      <c r="F29" s="302">
        <v>1.8573762724510787</v>
      </c>
      <c r="G29" s="302">
        <v>0.29073426000029357</v>
      </c>
      <c r="H29" s="302">
        <f t="shared" si="29"/>
        <v>2.1481105324513723</v>
      </c>
      <c r="I29" s="303"/>
      <c r="J29" s="302">
        <v>1.1718586513139486</v>
      </c>
      <c r="K29" s="302">
        <v>0.25790179029526428</v>
      </c>
      <c r="L29" s="302">
        <f t="shared" si="30"/>
        <v>1.4297604416092129</v>
      </c>
      <c r="M29" s="236"/>
      <c r="N29" s="236"/>
    </row>
    <row r="30" spans="1:14" x14ac:dyDescent="0.3">
      <c r="A30" s="237" t="str">
        <f>name!E$8</f>
        <v>Skilled trades occupations</v>
      </c>
      <c r="B30" s="302">
        <v>2.505168732244663</v>
      </c>
      <c r="C30" s="302">
        <v>17.955973588646245</v>
      </c>
      <c r="D30" s="302">
        <f t="shared" si="28"/>
        <v>20.461142320890907</v>
      </c>
      <c r="E30" s="303"/>
      <c r="F30" s="302">
        <v>2.3829182994946208</v>
      </c>
      <c r="G30" s="302">
        <v>6.9968460311194125</v>
      </c>
      <c r="H30" s="302">
        <f t="shared" si="29"/>
        <v>9.3797643306140337</v>
      </c>
      <c r="I30" s="303"/>
      <c r="J30" s="302">
        <v>2.7246449771095147</v>
      </c>
      <c r="K30" s="302">
        <v>7.2994516188848122</v>
      </c>
      <c r="L30" s="302">
        <f t="shared" si="30"/>
        <v>10.024096595994326</v>
      </c>
      <c r="M30" s="236"/>
      <c r="N30" s="236"/>
    </row>
    <row r="31" spans="1:14" x14ac:dyDescent="0.3">
      <c r="A31" s="237" t="str">
        <f>name!E$9</f>
        <v>Caring, leisure and other service occupations</v>
      </c>
      <c r="B31" s="302">
        <v>0.76324441981980518</v>
      </c>
      <c r="C31" s="302">
        <v>0.86877700026288562</v>
      </c>
      <c r="D31" s="302">
        <f t="shared" si="28"/>
        <v>1.6320214200826908</v>
      </c>
      <c r="E31" s="303"/>
      <c r="F31" s="302">
        <v>0.80059218025985202</v>
      </c>
      <c r="G31" s="302">
        <v>0.60983683103702613</v>
      </c>
      <c r="H31" s="302">
        <f t="shared" si="29"/>
        <v>1.4104290112968783</v>
      </c>
      <c r="I31" s="303"/>
      <c r="J31" s="302">
        <v>0.65925277254050019</v>
      </c>
      <c r="K31" s="302">
        <v>0.75852079615166879</v>
      </c>
      <c r="L31" s="302">
        <f t="shared" si="30"/>
        <v>1.4177735686921689</v>
      </c>
      <c r="M31" s="236"/>
      <c r="N31" s="236"/>
    </row>
    <row r="32" spans="1:14" x14ac:dyDescent="0.3">
      <c r="A32" s="237" t="str">
        <f>name!E$10</f>
        <v>Sales and customer service occupations</v>
      </c>
      <c r="B32" s="302">
        <v>0.42078075084900907</v>
      </c>
      <c r="C32" s="302">
        <v>0.48114125799297053</v>
      </c>
      <c r="D32" s="302">
        <f t="shared" si="28"/>
        <v>0.90192200884197959</v>
      </c>
      <c r="E32" s="303"/>
      <c r="F32" s="302">
        <v>0.43198712523947769</v>
      </c>
      <c r="G32" s="302">
        <v>0.2473881733022287</v>
      </c>
      <c r="H32" s="302">
        <f t="shared" si="29"/>
        <v>0.67937529854170642</v>
      </c>
      <c r="I32" s="303"/>
      <c r="J32" s="302">
        <v>0.35550330338379121</v>
      </c>
      <c r="K32" s="302">
        <v>0.29143735328364673</v>
      </c>
      <c r="L32" s="302">
        <f t="shared" si="30"/>
        <v>0.64694065666743794</v>
      </c>
      <c r="M32" s="236"/>
      <c r="N32" s="236"/>
    </row>
    <row r="33" spans="1:18" x14ac:dyDescent="0.3">
      <c r="A33" s="237" t="str">
        <f>name!E$11</f>
        <v>Process, plant and machine operatives</v>
      </c>
      <c r="B33" s="302">
        <v>0.26073471863724135</v>
      </c>
      <c r="C33" s="302">
        <v>2.357571308156821</v>
      </c>
      <c r="D33" s="302">
        <f t="shared" si="28"/>
        <v>2.6183060267940625</v>
      </c>
      <c r="E33" s="303"/>
      <c r="F33" s="302">
        <v>0.30260805553155251</v>
      </c>
      <c r="G33" s="302">
        <v>1.3590451359466587</v>
      </c>
      <c r="H33" s="302">
        <f t="shared" si="29"/>
        <v>1.6616531914782111</v>
      </c>
      <c r="I33" s="303"/>
      <c r="J33" s="302">
        <v>0.28770471738171044</v>
      </c>
      <c r="K33" s="302">
        <v>1.5108798103938519</v>
      </c>
      <c r="L33" s="302">
        <f t="shared" si="30"/>
        <v>1.7985845277755623</v>
      </c>
      <c r="M33" s="236"/>
      <c r="N33" s="236"/>
    </row>
    <row r="34" spans="1:18" x14ac:dyDescent="0.3">
      <c r="A34" s="237" t="str">
        <f>name!E$12</f>
        <v>Elementary occupations</v>
      </c>
      <c r="B34" s="302">
        <v>1.6273486435629325</v>
      </c>
      <c r="C34" s="302">
        <v>6.3483512884096491</v>
      </c>
      <c r="D34" s="302">
        <f t="shared" si="28"/>
        <v>7.9756999319725814</v>
      </c>
      <c r="E34" s="303"/>
      <c r="F34" s="302">
        <v>1.4918608028485958</v>
      </c>
      <c r="G34" s="302">
        <v>3.2788159878877794</v>
      </c>
      <c r="H34" s="302">
        <f t="shared" si="29"/>
        <v>4.770676790736375</v>
      </c>
      <c r="I34" s="303"/>
      <c r="J34" s="302">
        <v>1.0638985269480705</v>
      </c>
      <c r="K34" s="302">
        <v>2.5349629872739277</v>
      </c>
      <c r="L34" s="302">
        <f t="shared" si="30"/>
        <v>3.5988615142219982</v>
      </c>
      <c r="M34" s="236"/>
      <c r="N34" s="236"/>
    </row>
    <row r="35" spans="1:18" x14ac:dyDescent="0.3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3">
      <c r="A36" s="244" t="s">
        <v>32</v>
      </c>
      <c r="B36" s="311">
        <f>SUM(B26:B34)</f>
        <v>8.7140000001162381</v>
      </c>
      <c r="C36" s="311">
        <f t="shared" ref="C36:K36" si="31">SUM(C26:C34)</f>
        <v>32.097000000078438</v>
      </c>
      <c r="D36" s="311">
        <f t="shared" si="31"/>
        <v>40.811000000194682</v>
      </c>
      <c r="E36" s="311"/>
      <c r="F36" s="311">
        <f t="shared" si="31"/>
        <v>9.5879999998802106</v>
      </c>
      <c r="G36" s="311">
        <f t="shared" si="31"/>
        <v>15.855000000063168</v>
      </c>
      <c r="H36" s="311">
        <f t="shared" si="31"/>
        <v>25.442999999943378</v>
      </c>
      <c r="I36" s="311"/>
      <c r="J36" s="311">
        <f t="shared" si="31"/>
        <v>8.9609999999515928</v>
      </c>
      <c r="K36" s="311">
        <f t="shared" si="31"/>
        <v>17.09700000013521</v>
      </c>
      <c r="L36" s="311">
        <f>SUM(L26:L34)</f>
        <v>26.058000000086807</v>
      </c>
      <c r="M36" s="236"/>
      <c r="N36" s="236"/>
    </row>
    <row r="37" spans="1:18" x14ac:dyDescent="0.3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3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35</v>
      </c>
      <c r="M38" s="236"/>
      <c r="N38" s="236"/>
    </row>
    <row r="39" spans="1:18" x14ac:dyDescent="0.3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3">
      <c r="A40" s="241" t="str">
        <f>name!A5</f>
        <v>Coal, oil &amp; gas; Mining &amp; related</v>
      </c>
      <c r="B40" s="373">
        <f>B$6</f>
        <v>2015</v>
      </c>
      <c r="C40" s="373"/>
      <c r="D40" s="373"/>
      <c r="E40" s="253"/>
      <c r="F40" s="373">
        <f>F23</f>
        <v>2020</v>
      </c>
      <c r="G40" s="373"/>
      <c r="H40" s="373"/>
      <c r="I40" s="253"/>
      <c r="J40" s="373">
        <f>J23</f>
        <v>2035</v>
      </c>
      <c r="K40" s="373"/>
      <c r="L40" s="373"/>
      <c r="M40" s="236"/>
      <c r="N40" s="236"/>
    </row>
    <row r="41" spans="1:18" x14ac:dyDescent="0.3">
      <c r="A41" s="254"/>
      <c r="B41" s="255" t="s">
        <v>352</v>
      </c>
      <c r="C41" s="255" t="s">
        <v>353</v>
      </c>
      <c r="D41" s="255" t="s">
        <v>32</v>
      </c>
      <c r="E41" s="255"/>
      <c r="F41" s="255" t="s">
        <v>352</v>
      </c>
      <c r="G41" s="255" t="s">
        <v>353</v>
      </c>
      <c r="H41" s="255" t="s">
        <v>32</v>
      </c>
      <c r="I41" s="255"/>
      <c r="J41" s="255" t="s">
        <v>352</v>
      </c>
      <c r="K41" s="255" t="s">
        <v>353</v>
      </c>
      <c r="L41" s="255" t="s">
        <v>32</v>
      </c>
      <c r="M41" s="236"/>
      <c r="N41" s="236"/>
    </row>
    <row r="42" spans="1:18" x14ac:dyDescent="0.3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3">
      <c r="A43" s="237" t="str">
        <f>name!E$4</f>
        <v>Managers, directors and senior officials</v>
      </c>
      <c r="B43" s="302">
        <v>1.8013053438117321E-2</v>
      </c>
      <c r="C43" s="302">
        <v>0.25000332848440665</v>
      </c>
      <c r="D43" s="302">
        <f>SUM(B43:C43)</f>
        <v>0.26801638192252397</v>
      </c>
      <c r="E43" s="303"/>
      <c r="F43" s="302">
        <v>2.1677212274101697E-2</v>
      </c>
      <c r="G43" s="302">
        <v>0.34039792112697947</v>
      </c>
      <c r="H43" s="302">
        <f>SUM(F43:G43)</f>
        <v>0.36207513340108116</v>
      </c>
      <c r="I43" s="303"/>
      <c r="J43" s="302">
        <v>1.2110938880773355E-2</v>
      </c>
      <c r="K43" s="302">
        <v>0.18027022069706022</v>
      </c>
      <c r="L43" s="302">
        <f>SUM(J43:K43)</f>
        <v>0.19238115957783358</v>
      </c>
      <c r="M43" s="236"/>
      <c r="N43" s="236"/>
    </row>
    <row r="44" spans="1:18" x14ac:dyDescent="0.3">
      <c r="A44" s="237" t="str">
        <f>name!E$5</f>
        <v>Professional occupations</v>
      </c>
      <c r="B44" s="302">
        <v>4.1859906499182351E-2</v>
      </c>
      <c r="C44" s="302">
        <v>0.42374703019172705</v>
      </c>
      <c r="D44" s="302">
        <f t="shared" ref="D44:D51" si="32">SUM(B44:C44)</f>
        <v>0.46560693669090941</v>
      </c>
      <c r="E44" s="303"/>
      <c r="F44" s="302">
        <v>5.2553671712418475E-2</v>
      </c>
      <c r="G44" s="302">
        <v>0.5854348239969247</v>
      </c>
      <c r="H44" s="302">
        <f t="shared" ref="H44:H51" si="33">SUM(F44:G44)</f>
        <v>0.63798849570934313</v>
      </c>
      <c r="I44" s="303"/>
      <c r="J44" s="302">
        <v>2.8512430218960751E-2</v>
      </c>
      <c r="K44" s="302">
        <v>0.37398278313359223</v>
      </c>
      <c r="L44" s="302">
        <f t="shared" ref="L44:L51" si="34">SUM(J44:K44)</f>
        <v>0.40249521335255301</v>
      </c>
      <c r="M44" s="236"/>
      <c r="N44" s="236"/>
    </row>
    <row r="45" spans="1:18" x14ac:dyDescent="0.3">
      <c r="A45" s="237" t="str">
        <f>name!E$6</f>
        <v>Associate professional occupations</v>
      </c>
      <c r="B45" s="302">
        <v>2.835021200942138E-2</v>
      </c>
      <c r="C45" s="302">
        <v>0.18791554100528435</v>
      </c>
      <c r="D45" s="302">
        <f t="shared" si="32"/>
        <v>0.21626575301470574</v>
      </c>
      <c r="E45" s="303"/>
      <c r="F45" s="302">
        <v>3.250934963727127E-2</v>
      </c>
      <c r="G45" s="302">
        <v>0.24792788827538692</v>
      </c>
      <c r="H45" s="302">
        <f t="shared" si="33"/>
        <v>0.28043723791265818</v>
      </c>
      <c r="I45" s="303"/>
      <c r="J45" s="302">
        <v>1.6954387698564766E-2</v>
      </c>
      <c r="K45" s="302">
        <v>0.11249474680137526</v>
      </c>
      <c r="L45" s="302">
        <f t="shared" si="34"/>
        <v>0.12944913449994003</v>
      </c>
      <c r="M45" s="236"/>
      <c r="N45" s="236"/>
    </row>
    <row r="46" spans="1:18" x14ac:dyDescent="0.3">
      <c r="A46" s="237" t="str">
        <f>name!E$7</f>
        <v>Administrative and secretarial occupations</v>
      </c>
      <c r="B46" s="302">
        <v>5.9907802897377037E-2</v>
      </c>
      <c r="C46" s="302">
        <v>5.9101587977076313E-2</v>
      </c>
      <c r="D46" s="302">
        <f t="shared" si="32"/>
        <v>0.11900939087445335</v>
      </c>
      <c r="E46" s="303"/>
      <c r="F46" s="302">
        <v>5.6425870853045429E-2</v>
      </c>
      <c r="G46" s="302">
        <v>7.0058766830265781E-2</v>
      </c>
      <c r="H46" s="302">
        <f t="shared" si="33"/>
        <v>0.1264846376833112</v>
      </c>
      <c r="I46" s="303"/>
      <c r="J46" s="302">
        <v>2.4923651588588249E-2</v>
      </c>
      <c r="K46" s="302">
        <v>3.2574642506235887E-2</v>
      </c>
      <c r="L46" s="302">
        <f t="shared" si="34"/>
        <v>5.749829409482414E-2</v>
      </c>
      <c r="M46" s="236"/>
      <c r="N46" s="236"/>
    </row>
    <row r="47" spans="1:18" x14ac:dyDescent="0.3">
      <c r="A47" s="237" t="str">
        <f>name!E$8</f>
        <v>Skilled trades occupations</v>
      </c>
      <c r="B47" s="302">
        <v>7.0804213994590821E-3</v>
      </c>
      <c r="C47" s="302">
        <v>0.36733406469646179</v>
      </c>
      <c r="D47" s="302">
        <f t="shared" si="32"/>
        <v>0.37441448609592087</v>
      </c>
      <c r="E47" s="303"/>
      <c r="F47" s="302">
        <v>6.2025821876181006E-3</v>
      </c>
      <c r="G47" s="302">
        <v>0.35675257146277112</v>
      </c>
      <c r="H47" s="302">
        <f>SUM(F47:G47)</f>
        <v>0.36295515365038922</v>
      </c>
      <c r="I47" s="303"/>
      <c r="J47" s="302">
        <v>3.8260712933663966E-3</v>
      </c>
      <c r="K47" s="302">
        <v>0.14994609050446087</v>
      </c>
      <c r="L47" s="302">
        <f t="shared" si="34"/>
        <v>0.15377216179782727</v>
      </c>
      <c r="M47" s="236"/>
      <c r="N47" s="236"/>
    </row>
    <row r="48" spans="1:18" x14ac:dyDescent="0.3">
      <c r="A48" s="237" t="str">
        <f>name!E$9</f>
        <v>Caring, leisure and other service occupations</v>
      </c>
      <c r="B48" s="302">
        <v>4.677306547275091E-2</v>
      </c>
      <c r="C48" s="302">
        <v>1.44277698341741E-2</v>
      </c>
      <c r="D48" s="302">
        <f t="shared" si="32"/>
        <v>6.1200835306925008E-2</v>
      </c>
      <c r="E48" s="303"/>
      <c r="F48" s="302">
        <v>4.420696756489334E-2</v>
      </c>
      <c r="G48" s="302">
        <v>1.5907949790302859E-2</v>
      </c>
      <c r="H48" s="302">
        <f t="shared" si="33"/>
        <v>6.0114917355196196E-2</v>
      </c>
      <c r="I48" s="303"/>
      <c r="J48" s="302">
        <v>2.0938881820893106E-2</v>
      </c>
      <c r="K48" s="302">
        <v>9.385711160978881E-3</v>
      </c>
      <c r="L48" s="302">
        <f t="shared" si="34"/>
        <v>3.0324592981871987E-2</v>
      </c>
      <c r="M48" s="236"/>
      <c r="N48" s="236"/>
    </row>
    <row r="49" spans="1:14" x14ac:dyDescent="0.3">
      <c r="A49" s="237" t="str">
        <f>name!E$10</f>
        <v>Sales and customer service occupations</v>
      </c>
      <c r="B49" s="302">
        <v>2.1925649423783836E-2</v>
      </c>
      <c r="C49" s="302">
        <v>3.3093774423450774E-2</v>
      </c>
      <c r="D49" s="302">
        <f t="shared" si="32"/>
        <v>5.5019423847234614E-2</v>
      </c>
      <c r="E49" s="303"/>
      <c r="F49" s="302">
        <v>1.9179311334280663E-2</v>
      </c>
      <c r="G49" s="302">
        <v>3.3803226633203905E-2</v>
      </c>
      <c r="H49" s="302">
        <f t="shared" si="33"/>
        <v>5.2982537967484568E-2</v>
      </c>
      <c r="I49" s="303"/>
      <c r="J49" s="302">
        <v>1.0402009010525624E-2</v>
      </c>
      <c r="K49" s="302">
        <v>1.7255467618752782E-2</v>
      </c>
      <c r="L49" s="302">
        <f t="shared" si="34"/>
        <v>2.7657476629278407E-2</v>
      </c>
      <c r="M49" s="236"/>
      <c r="N49" s="236"/>
    </row>
    <row r="50" spans="1:14" x14ac:dyDescent="0.3">
      <c r="A50" s="237" t="str">
        <f>name!E$11</f>
        <v>Process, plant and machine operatives</v>
      </c>
      <c r="B50" s="302">
        <v>4.2247086909125839E-3</v>
      </c>
      <c r="C50" s="302">
        <v>0.57091682560001078</v>
      </c>
      <c r="D50" s="302">
        <f t="shared" si="32"/>
        <v>0.57514153429092341</v>
      </c>
      <c r="E50" s="303"/>
      <c r="F50" s="302">
        <v>3.0728054183991995E-3</v>
      </c>
      <c r="G50" s="302">
        <v>0.56023657525077297</v>
      </c>
      <c r="H50" s="302">
        <f t="shared" si="33"/>
        <v>0.56330938066917213</v>
      </c>
      <c r="I50" s="303"/>
      <c r="J50" s="302">
        <v>2.8410857521714355E-3</v>
      </c>
      <c r="K50" s="302">
        <v>0.22468623275748048</v>
      </c>
      <c r="L50" s="302">
        <f t="shared" si="34"/>
        <v>0.22752731850965191</v>
      </c>
      <c r="M50" s="236"/>
      <c r="N50" s="236"/>
    </row>
    <row r="51" spans="1:14" x14ac:dyDescent="0.3">
      <c r="A51" s="237" t="str">
        <f>name!E$12</f>
        <v>Elementary occupations</v>
      </c>
      <c r="B51" s="302">
        <v>3.0865180168074449E-2</v>
      </c>
      <c r="C51" s="302">
        <v>0.27246007777524434</v>
      </c>
      <c r="D51" s="302">
        <f t="shared" si="32"/>
        <v>0.30332525794331877</v>
      </c>
      <c r="E51" s="303"/>
      <c r="F51" s="302">
        <v>2.4172229017470404E-2</v>
      </c>
      <c r="G51" s="302">
        <v>0.28848027662179998</v>
      </c>
      <c r="H51" s="302">
        <f t="shared" si="33"/>
        <v>0.31265250563927038</v>
      </c>
      <c r="I51" s="303"/>
      <c r="J51" s="302">
        <v>1.1490543736224554E-2</v>
      </c>
      <c r="K51" s="302">
        <v>0.16640410480894025</v>
      </c>
      <c r="L51" s="302">
        <f t="shared" si="34"/>
        <v>0.17789464854516479</v>
      </c>
      <c r="M51" s="236"/>
      <c r="N51" s="236"/>
    </row>
    <row r="52" spans="1:14" x14ac:dyDescent="0.3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3">
      <c r="A53" s="244" t="s">
        <v>32</v>
      </c>
      <c r="B53" s="311">
        <f>SUM(B43:B51)</f>
        <v>0.25899999999907891</v>
      </c>
      <c r="C53" s="311">
        <f t="shared" ref="C53:L53" si="35">SUM(C43:C51)</f>
        <v>2.1789999999878362</v>
      </c>
      <c r="D53" s="311">
        <f t="shared" si="35"/>
        <v>2.4379999999869151</v>
      </c>
      <c r="E53" s="311"/>
      <c r="F53" s="311">
        <f t="shared" si="35"/>
        <v>0.25999999999949858</v>
      </c>
      <c r="G53" s="311">
        <f t="shared" si="35"/>
        <v>2.4989999999884076</v>
      </c>
      <c r="H53" s="311">
        <f t="shared" si="35"/>
        <v>2.7589999999879065</v>
      </c>
      <c r="I53" s="311"/>
      <c r="J53" s="311">
        <f t="shared" si="35"/>
        <v>0.13200000000006823</v>
      </c>
      <c r="K53" s="311">
        <f t="shared" si="35"/>
        <v>1.2669999999888768</v>
      </c>
      <c r="L53" s="311">
        <f t="shared" si="35"/>
        <v>1.3989999999889449</v>
      </c>
      <c r="M53" s="236"/>
      <c r="N53" s="236"/>
    </row>
    <row r="54" spans="1:14" x14ac:dyDescent="0.3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3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35</v>
      </c>
      <c r="M55" s="236"/>
      <c r="N55" s="236"/>
    </row>
    <row r="56" spans="1:14" x14ac:dyDescent="0.3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3">
      <c r="A57" s="241" t="str">
        <f>name!A6</f>
        <v>Food products</v>
      </c>
      <c r="B57" s="373">
        <f>B$6</f>
        <v>2015</v>
      </c>
      <c r="C57" s="373"/>
      <c r="D57" s="373"/>
      <c r="E57" s="253"/>
      <c r="F57" s="373">
        <f>F40</f>
        <v>2020</v>
      </c>
      <c r="G57" s="373"/>
      <c r="H57" s="373"/>
      <c r="I57" s="253"/>
      <c r="J57" s="373">
        <f>J40</f>
        <v>2035</v>
      </c>
      <c r="K57" s="373"/>
      <c r="L57" s="373"/>
      <c r="M57" s="236"/>
      <c r="N57" s="236"/>
    </row>
    <row r="58" spans="1:14" x14ac:dyDescent="0.3">
      <c r="A58" s="254"/>
      <c r="B58" s="255" t="s">
        <v>352</v>
      </c>
      <c r="C58" s="255" t="s">
        <v>353</v>
      </c>
      <c r="D58" s="255" t="s">
        <v>32</v>
      </c>
      <c r="E58" s="255"/>
      <c r="F58" s="255" t="s">
        <v>352</v>
      </c>
      <c r="G58" s="255" t="s">
        <v>353</v>
      </c>
      <c r="H58" s="255" t="s">
        <v>32</v>
      </c>
      <c r="I58" s="255"/>
      <c r="J58" s="255" t="s">
        <v>352</v>
      </c>
      <c r="K58" s="255" t="s">
        <v>353</v>
      </c>
      <c r="L58" s="255" t="s">
        <v>32</v>
      </c>
      <c r="M58" s="236"/>
      <c r="N58" s="236"/>
    </row>
    <row r="59" spans="1:14" x14ac:dyDescent="0.3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3">
      <c r="A60" s="237" t="str">
        <f>name!E$4</f>
        <v>Managers, directors and senior officials</v>
      </c>
      <c r="B60" s="302">
        <v>0.70129948364506178</v>
      </c>
      <c r="C60" s="302">
        <v>1.1296330838323603</v>
      </c>
      <c r="D60" s="302">
        <f>SUM(B60:C60)</f>
        <v>1.8309325674774222</v>
      </c>
      <c r="E60" s="303"/>
      <c r="F60" s="302">
        <v>0.91051837150567827</v>
      </c>
      <c r="G60" s="302">
        <v>1.5816761183441908</v>
      </c>
      <c r="H60" s="302">
        <f>SUM(F60:G60)</f>
        <v>2.4921944898498691</v>
      </c>
      <c r="I60" s="303"/>
      <c r="J60" s="302">
        <v>1.3573502967098563</v>
      </c>
      <c r="K60" s="302">
        <v>1.6687086002195359</v>
      </c>
      <c r="L60" s="302">
        <f>SUM(J60:K60)</f>
        <v>3.026058896929392</v>
      </c>
      <c r="M60" s="236"/>
      <c r="N60" s="236"/>
    </row>
    <row r="61" spans="1:14" x14ac:dyDescent="0.3">
      <c r="A61" s="237" t="str">
        <f>name!E$5</f>
        <v>Professional occupations</v>
      </c>
      <c r="B61" s="302">
        <v>0.62649629643144467</v>
      </c>
      <c r="C61" s="302">
        <v>0.75875684799512555</v>
      </c>
      <c r="D61" s="302">
        <f t="shared" ref="D61:D68" si="36">SUM(B61:C61)</f>
        <v>1.3852531444265703</v>
      </c>
      <c r="E61" s="303"/>
      <c r="F61" s="302">
        <v>0.95634742042386423</v>
      </c>
      <c r="G61" s="302">
        <v>1.1844927028339651</v>
      </c>
      <c r="H61" s="302">
        <f t="shared" ref="H61:H68" si="37">SUM(F61:G61)</f>
        <v>2.1408401232578296</v>
      </c>
      <c r="I61" s="303"/>
      <c r="J61" s="302">
        <v>1.609496624175129</v>
      </c>
      <c r="K61" s="302">
        <v>1.6574235114986229</v>
      </c>
      <c r="L61" s="302">
        <f t="shared" ref="L61:L68" si="38">SUM(J61:K61)</f>
        <v>3.2669201356737521</v>
      </c>
      <c r="M61" s="236"/>
      <c r="N61" s="236"/>
    </row>
    <row r="62" spans="1:14" x14ac:dyDescent="0.3">
      <c r="A62" s="237" t="str">
        <f>name!E$6</f>
        <v>Associate professional occupations</v>
      </c>
      <c r="B62" s="302">
        <v>0.97149555363447748</v>
      </c>
      <c r="C62" s="302">
        <v>1.2227838449771111</v>
      </c>
      <c r="D62" s="302">
        <f t="shared" si="36"/>
        <v>2.1942793986115885</v>
      </c>
      <c r="E62" s="303"/>
      <c r="F62" s="302">
        <v>1.2717916790622465</v>
      </c>
      <c r="G62" s="302">
        <v>1.8304839988615109</v>
      </c>
      <c r="H62" s="302">
        <f t="shared" si="37"/>
        <v>3.1022756779237577</v>
      </c>
      <c r="I62" s="303"/>
      <c r="J62" s="302">
        <v>1.8206813043975849</v>
      </c>
      <c r="K62" s="302">
        <v>1.8006292282715581</v>
      </c>
      <c r="L62" s="302">
        <f t="shared" si="38"/>
        <v>3.6213105326691428</v>
      </c>
      <c r="M62" s="236"/>
      <c r="N62" s="236"/>
    </row>
    <row r="63" spans="1:14" x14ac:dyDescent="0.3">
      <c r="A63" s="237" t="str">
        <f>name!E$7</f>
        <v>Administrative and secretarial occupations</v>
      </c>
      <c r="B63" s="302">
        <v>1.2703132664455381</v>
      </c>
      <c r="C63" s="302">
        <v>0.53361859711925774</v>
      </c>
      <c r="D63" s="302">
        <f t="shared" si="36"/>
        <v>1.8039318635647958</v>
      </c>
      <c r="E63" s="303"/>
      <c r="F63" s="302">
        <v>1.1038229125413654</v>
      </c>
      <c r="G63" s="302">
        <v>0.77294199465997915</v>
      </c>
      <c r="H63" s="302">
        <f t="shared" si="37"/>
        <v>1.8767649072013446</v>
      </c>
      <c r="I63" s="303"/>
      <c r="J63" s="302">
        <v>1.2328506634554441</v>
      </c>
      <c r="K63" s="302">
        <v>0.75974691000637773</v>
      </c>
      <c r="L63" s="302">
        <f t="shared" si="38"/>
        <v>1.992597573461822</v>
      </c>
      <c r="M63" s="236"/>
      <c r="N63" s="236"/>
    </row>
    <row r="64" spans="1:14" x14ac:dyDescent="0.3">
      <c r="A64" s="237" t="str">
        <f>name!E$8</f>
        <v>Skilled trades occupations</v>
      </c>
      <c r="B64" s="302">
        <v>1.106136047413764</v>
      </c>
      <c r="C64" s="302">
        <v>4.7393240086693584</v>
      </c>
      <c r="D64" s="302">
        <f t="shared" si="36"/>
        <v>5.8454600560831222</v>
      </c>
      <c r="E64" s="303"/>
      <c r="F64" s="302">
        <v>0.91255513705993896</v>
      </c>
      <c r="G64" s="302">
        <v>4.3155737633435258</v>
      </c>
      <c r="H64" s="302">
        <f t="shared" si="37"/>
        <v>5.2281289004034646</v>
      </c>
      <c r="I64" s="303"/>
      <c r="J64" s="302">
        <v>0.95800584006384903</v>
      </c>
      <c r="K64" s="302">
        <v>4.6916966903625399</v>
      </c>
      <c r="L64" s="302">
        <f t="shared" si="38"/>
        <v>5.6497025304263886</v>
      </c>
      <c r="M64" s="236"/>
      <c r="N64" s="236"/>
    </row>
    <row r="65" spans="1:14" x14ac:dyDescent="0.3">
      <c r="A65" s="237" t="str">
        <f>name!E$9</f>
        <v>Caring, leisure and other service occupations</v>
      </c>
      <c r="B65" s="302">
        <v>0.10244620666927777</v>
      </c>
      <c r="C65" s="302">
        <v>8.5378935649315979E-2</v>
      </c>
      <c r="D65" s="302">
        <f t="shared" si="36"/>
        <v>0.18782514231859376</v>
      </c>
      <c r="E65" s="303"/>
      <c r="F65" s="302">
        <v>8.2888906072919974E-2</v>
      </c>
      <c r="G65" s="302">
        <v>0.11807673595391727</v>
      </c>
      <c r="H65" s="302">
        <f t="shared" si="37"/>
        <v>0.20096564202683725</v>
      </c>
      <c r="I65" s="303"/>
      <c r="J65" s="302">
        <v>9.3967720780042105E-2</v>
      </c>
      <c r="K65" s="302">
        <v>0.12320174941195242</v>
      </c>
      <c r="L65" s="302">
        <f t="shared" si="38"/>
        <v>0.21716947019199451</v>
      </c>
      <c r="M65" s="236"/>
      <c r="N65" s="236"/>
    </row>
    <row r="66" spans="1:14" x14ac:dyDescent="0.3">
      <c r="A66" s="237" t="str">
        <f>name!E$10</f>
        <v>Sales and customer service occupations</v>
      </c>
      <c r="B66" s="302">
        <v>0.66981955438510843</v>
      </c>
      <c r="C66" s="302">
        <v>0.32211334025670574</v>
      </c>
      <c r="D66" s="302">
        <f t="shared" si="36"/>
        <v>0.99193289464181422</v>
      </c>
      <c r="E66" s="303"/>
      <c r="F66" s="302">
        <v>0.63950772931812039</v>
      </c>
      <c r="G66" s="302">
        <v>0.4395291080692082</v>
      </c>
      <c r="H66" s="302">
        <f t="shared" si="37"/>
        <v>1.0790368373873287</v>
      </c>
      <c r="I66" s="303"/>
      <c r="J66" s="302">
        <v>0.76494400257480399</v>
      </c>
      <c r="K66" s="302">
        <v>0.53102538784219366</v>
      </c>
      <c r="L66" s="302">
        <f t="shared" si="38"/>
        <v>1.2959693904169978</v>
      </c>
      <c r="M66" s="236"/>
      <c r="N66" s="236"/>
    </row>
    <row r="67" spans="1:14" x14ac:dyDescent="0.3">
      <c r="A67" s="237" t="str">
        <f>name!E$11</f>
        <v>Process, plant and machine operatives</v>
      </c>
      <c r="B67" s="302">
        <v>2.1848873606173673</v>
      </c>
      <c r="C67" s="302">
        <v>8.5261137569796084</v>
      </c>
      <c r="D67" s="302">
        <f t="shared" si="36"/>
        <v>10.711001117596975</v>
      </c>
      <c r="E67" s="303"/>
      <c r="F67" s="302">
        <v>1.8969766236395171</v>
      </c>
      <c r="G67" s="302">
        <v>8.6053103376239157</v>
      </c>
      <c r="H67" s="302">
        <f t="shared" si="37"/>
        <v>10.502286961263433</v>
      </c>
      <c r="I67" s="303"/>
      <c r="J67" s="302">
        <v>2.1477770975903252</v>
      </c>
      <c r="K67" s="302">
        <v>10.091254087683406</v>
      </c>
      <c r="L67" s="302">
        <f t="shared" si="38"/>
        <v>12.239031185273731</v>
      </c>
      <c r="M67" s="236"/>
      <c r="N67" s="236"/>
    </row>
    <row r="68" spans="1:14" x14ac:dyDescent="0.3">
      <c r="A68" s="237" t="str">
        <f>name!E$12</f>
        <v>Elementary occupations</v>
      </c>
      <c r="B68" s="302">
        <v>2.1121062308218317</v>
      </c>
      <c r="C68" s="302">
        <v>1.5912775845528422</v>
      </c>
      <c r="D68" s="302">
        <f t="shared" si="36"/>
        <v>3.7033838153746741</v>
      </c>
      <c r="E68" s="303"/>
      <c r="F68" s="302">
        <v>1.7075912201881396</v>
      </c>
      <c r="G68" s="302">
        <v>1.9299152404579807</v>
      </c>
      <c r="H68" s="302">
        <f t="shared" si="37"/>
        <v>3.6375064606461205</v>
      </c>
      <c r="I68" s="303"/>
      <c r="J68" s="302">
        <v>1.7279264501781277</v>
      </c>
      <c r="K68" s="302">
        <v>1.633313835019685</v>
      </c>
      <c r="L68" s="302">
        <f t="shared" si="38"/>
        <v>3.3612402851978125</v>
      </c>
      <c r="M68" s="236"/>
      <c r="N68" s="236"/>
    </row>
    <row r="69" spans="1:14" x14ac:dyDescent="0.3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3">
      <c r="A70" s="244" t="s">
        <v>32</v>
      </c>
      <c r="B70" s="311">
        <f>SUM(B60:B68)</f>
        <v>9.7450000000638699</v>
      </c>
      <c r="C70" s="311">
        <f t="shared" ref="C70:L70" si="39">SUM(C60:C68)</f>
        <v>18.909000000031686</v>
      </c>
      <c r="D70" s="311">
        <f t="shared" si="39"/>
        <v>28.654000000095557</v>
      </c>
      <c r="E70" s="311"/>
      <c r="F70" s="311">
        <f t="shared" si="39"/>
        <v>9.4819999998117908</v>
      </c>
      <c r="G70" s="311">
        <f t="shared" si="39"/>
        <v>20.778000000148193</v>
      </c>
      <c r="H70" s="311">
        <f t="shared" si="39"/>
        <v>30.25999999995998</v>
      </c>
      <c r="I70" s="311"/>
      <c r="J70" s="311">
        <f t="shared" si="39"/>
        <v>11.712999999925163</v>
      </c>
      <c r="K70" s="311">
        <f t="shared" si="39"/>
        <v>22.957000000315873</v>
      </c>
      <c r="L70" s="311">
        <f t="shared" si="39"/>
        <v>34.670000000241032</v>
      </c>
      <c r="M70" s="236"/>
      <c r="N70" s="236"/>
    </row>
    <row r="71" spans="1:14" x14ac:dyDescent="0.3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3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35</v>
      </c>
      <c r="M72" s="236"/>
      <c r="N72" s="236"/>
    </row>
    <row r="73" spans="1:14" x14ac:dyDescent="0.3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3">
      <c r="A74" s="241" t="str">
        <f>name!A7</f>
        <v>Beverages and tobacco</v>
      </c>
      <c r="B74" s="373">
        <f>B$6</f>
        <v>2015</v>
      </c>
      <c r="C74" s="373"/>
      <c r="D74" s="373"/>
      <c r="E74" s="253"/>
      <c r="F74" s="373">
        <f>F57</f>
        <v>2020</v>
      </c>
      <c r="G74" s="373"/>
      <c r="H74" s="373"/>
      <c r="I74" s="253"/>
      <c r="J74" s="373">
        <f>J57</f>
        <v>2035</v>
      </c>
      <c r="K74" s="373"/>
      <c r="L74" s="373"/>
      <c r="M74" s="236"/>
      <c r="N74" s="236"/>
    </row>
    <row r="75" spans="1:14" x14ac:dyDescent="0.3">
      <c r="A75" s="254"/>
      <c r="B75" s="255" t="s">
        <v>352</v>
      </c>
      <c r="C75" s="255" t="s">
        <v>353</v>
      </c>
      <c r="D75" s="255" t="s">
        <v>32</v>
      </c>
      <c r="E75" s="255"/>
      <c r="F75" s="255" t="s">
        <v>352</v>
      </c>
      <c r="G75" s="255" t="s">
        <v>353</v>
      </c>
      <c r="H75" s="255" t="s">
        <v>32</v>
      </c>
      <c r="I75" s="255"/>
      <c r="J75" s="255" t="s">
        <v>352</v>
      </c>
      <c r="K75" s="255" t="s">
        <v>353</v>
      </c>
      <c r="L75" s="255" t="s">
        <v>32</v>
      </c>
      <c r="M75" s="236"/>
      <c r="N75" s="236"/>
    </row>
    <row r="76" spans="1:14" x14ac:dyDescent="0.3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3">
      <c r="A77" s="237" t="str">
        <f>name!E$4</f>
        <v>Managers, directors and senior officials</v>
      </c>
      <c r="B77" s="302">
        <v>0.16965775128718724</v>
      </c>
      <c r="C77" s="302">
        <v>0.35378774569189786</v>
      </c>
      <c r="D77" s="302">
        <f>SUM(B77:C77)</f>
        <v>0.52344549697908516</v>
      </c>
      <c r="E77" s="303"/>
      <c r="F77" s="302">
        <v>0.1686586849724801</v>
      </c>
      <c r="G77" s="302">
        <v>0.35147378300783538</v>
      </c>
      <c r="H77" s="302">
        <f>SUM(F77:G77)</f>
        <v>0.52013246798031543</v>
      </c>
      <c r="I77" s="303"/>
      <c r="J77" s="302">
        <v>0.22827700800997594</v>
      </c>
      <c r="K77" s="302">
        <v>0.35854976367525493</v>
      </c>
      <c r="L77" s="302">
        <f>SUM(J77:K77)</f>
        <v>0.5868267716852309</v>
      </c>
      <c r="M77" s="236"/>
      <c r="N77" s="236"/>
    </row>
    <row r="78" spans="1:14" x14ac:dyDescent="0.3">
      <c r="A78" s="237" t="str">
        <f>name!E$5</f>
        <v>Professional occupations</v>
      </c>
      <c r="B78" s="302">
        <v>0.14451974328358541</v>
      </c>
      <c r="C78" s="302">
        <v>0.51093800414027313</v>
      </c>
      <c r="D78" s="302">
        <f t="shared" ref="D78:D85" si="40">SUM(B78:C78)</f>
        <v>0.65545774742385854</v>
      </c>
      <c r="E78" s="303"/>
      <c r="F78" s="302">
        <v>0.16295722816395711</v>
      </c>
      <c r="G78" s="302">
        <v>0.55158191313971128</v>
      </c>
      <c r="H78" s="302">
        <f t="shared" ref="H78:H85" si="41">SUM(F78:G78)</f>
        <v>0.71453914130366836</v>
      </c>
      <c r="I78" s="303"/>
      <c r="J78" s="302">
        <v>0.21028641150695318</v>
      </c>
      <c r="K78" s="302">
        <v>0.74402739822340946</v>
      </c>
      <c r="L78" s="302">
        <f t="shared" ref="L78:L85" si="42">SUM(J78:K78)</f>
        <v>0.95431380973036262</v>
      </c>
      <c r="M78" s="236"/>
      <c r="N78" s="236"/>
    </row>
    <row r="79" spans="1:14" x14ac:dyDescent="0.3">
      <c r="A79" s="237" t="str">
        <f>name!E$6</f>
        <v>Associate professional occupations</v>
      </c>
      <c r="B79" s="302">
        <v>0.22124638319624093</v>
      </c>
      <c r="C79" s="302">
        <v>0.42870511054933685</v>
      </c>
      <c r="D79" s="302">
        <f t="shared" si="40"/>
        <v>0.64995149374557781</v>
      </c>
      <c r="E79" s="303"/>
      <c r="F79" s="302">
        <v>0.23388498427665189</v>
      </c>
      <c r="G79" s="302">
        <v>0.46009755353565956</v>
      </c>
      <c r="H79" s="302">
        <f t="shared" si="41"/>
        <v>0.69398253781231145</v>
      </c>
      <c r="I79" s="303"/>
      <c r="J79" s="302">
        <v>0.2732515525824184</v>
      </c>
      <c r="K79" s="302">
        <v>0.45920242587623977</v>
      </c>
      <c r="L79" s="302">
        <f t="shared" si="42"/>
        <v>0.73245397845865812</v>
      </c>
      <c r="M79" s="236"/>
      <c r="N79" s="236"/>
    </row>
    <row r="80" spans="1:14" x14ac:dyDescent="0.3">
      <c r="A80" s="237" t="str">
        <f>name!E$7</f>
        <v>Administrative and secretarial occupations</v>
      </c>
      <c r="B80" s="302">
        <v>0.32935388013319933</v>
      </c>
      <c r="C80" s="302">
        <v>6.5529163789000519E-2</v>
      </c>
      <c r="D80" s="302">
        <f t="shared" si="40"/>
        <v>0.39488304392219986</v>
      </c>
      <c r="E80" s="303"/>
      <c r="F80" s="302">
        <v>0.31495860933105457</v>
      </c>
      <c r="G80" s="302">
        <v>7.2828035636890998E-2</v>
      </c>
      <c r="H80" s="302">
        <f t="shared" si="41"/>
        <v>0.38778664496794557</v>
      </c>
      <c r="I80" s="303"/>
      <c r="J80" s="302">
        <v>0.35561962932194535</v>
      </c>
      <c r="K80" s="302">
        <v>7.9552203292896598E-2</v>
      </c>
      <c r="L80" s="302">
        <f t="shared" si="42"/>
        <v>0.43517183261484194</v>
      </c>
      <c r="M80" s="236"/>
      <c r="N80" s="236"/>
    </row>
    <row r="81" spans="1:14" x14ac:dyDescent="0.3">
      <c r="A81" s="237" t="str">
        <f>name!E$8</f>
        <v>Skilled trades occupations</v>
      </c>
      <c r="B81" s="302">
        <v>4.4133654368092266E-2</v>
      </c>
      <c r="C81" s="302">
        <v>0.324438750396288</v>
      </c>
      <c r="D81" s="302">
        <f t="shared" si="40"/>
        <v>0.36857240476438025</v>
      </c>
      <c r="E81" s="303"/>
      <c r="F81" s="302">
        <v>2.4094941195079329E-2</v>
      </c>
      <c r="G81" s="302">
        <v>0.247562949483279</v>
      </c>
      <c r="H81" s="302">
        <f t="shared" si="41"/>
        <v>0.27165789067835833</v>
      </c>
      <c r="I81" s="303"/>
      <c r="J81" s="302">
        <v>3.552950672634958E-2</v>
      </c>
      <c r="K81" s="302">
        <v>0.22550267998953169</v>
      </c>
      <c r="L81" s="302">
        <f t="shared" si="42"/>
        <v>0.26103218671588124</v>
      </c>
      <c r="M81" s="236"/>
      <c r="N81" s="236"/>
    </row>
    <row r="82" spans="1:14" x14ac:dyDescent="0.3">
      <c r="A82" s="237" t="str">
        <f>name!E$9</f>
        <v>Caring, leisure and other service occupations</v>
      </c>
      <c r="B82" s="302">
        <v>0.10382901236625243</v>
      </c>
      <c r="C82" s="302">
        <v>3.0848189173660334E-2</v>
      </c>
      <c r="D82" s="302">
        <f t="shared" si="40"/>
        <v>0.13467720153991275</v>
      </c>
      <c r="E82" s="303"/>
      <c r="F82" s="302">
        <v>8.1308798638035432E-2</v>
      </c>
      <c r="G82" s="302">
        <v>4.0125899436740879E-2</v>
      </c>
      <c r="H82" s="302">
        <f t="shared" si="41"/>
        <v>0.1214346980747763</v>
      </c>
      <c r="I82" s="303"/>
      <c r="J82" s="302">
        <v>8.3588586666470649E-2</v>
      </c>
      <c r="K82" s="302">
        <v>4.9993364374607836E-2</v>
      </c>
      <c r="L82" s="302">
        <f t="shared" si="42"/>
        <v>0.13358195104107848</v>
      </c>
      <c r="M82" s="236"/>
      <c r="N82" s="236"/>
    </row>
    <row r="83" spans="1:14" x14ac:dyDescent="0.3">
      <c r="A83" s="237" t="str">
        <f>name!E$10</f>
        <v>Sales and customer service occupations</v>
      </c>
      <c r="B83" s="302">
        <v>0.13702764564868652</v>
      </c>
      <c r="C83" s="302">
        <v>8.3604862193658216E-2</v>
      </c>
      <c r="D83" s="302">
        <f t="shared" si="40"/>
        <v>0.22063250784234473</v>
      </c>
      <c r="E83" s="303"/>
      <c r="F83" s="302">
        <v>0.1446477130182322</v>
      </c>
      <c r="G83" s="302">
        <v>7.7909960367345335E-2</v>
      </c>
      <c r="H83" s="302">
        <f t="shared" si="41"/>
        <v>0.22255767338557753</v>
      </c>
      <c r="I83" s="303"/>
      <c r="J83" s="302">
        <v>0.20399127309344448</v>
      </c>
      <c r="K83" s="302">
        <v>9.0978649295015521E-2</v>
      </c>
      <c r="L83" s="302">
        <f t="shared" si="42"/>
        <v>0.29496992238845998</v>
      </c>
      <c r="M83" s="236"/>
      <c r="N83" s="236"/>
    </row>
    <row r="84" spans="1:14" x14ac:dyDescent="0.3">
      <c r="A84" s="237" t="str">
        <f>name!E$11</f>
        <v>Process, plant and machine operatives</v>
      </c>
      <c r="B84" s="302">
        <v>3.4922086174887755E-2</v>
      </c>
      <c r="C84" s="302">
        <v>0.90571929315693389</v>
      </c>
      <c r="D84" s="302">
        <f t="shared" si="40"/>
        <v>0.94064137933182168</v>
      </c>
      <c r="E84" s="303"/>
      <c r="F84" s="302">
        <v>2.3397747481239572E-2</v>
      </c>
      <c r="G84" s="302">
        <v>0.77563499819442427</v>
      </c>
      <c r="H84" s="302">
        <f t="shared" si="41"/>
        <v>0.79903274567566385</v>
      </c>
      <c r="I84" s="303"/>
      <c r="J84" s="302">
        <v>3.4644058392322284E-2</v>
      </c>
      <c r="K84" s="302">
        <v>0.94507067920305365</v>
      </c>
      <c r="L84" s="302">
        <f t="shared" si="42"/>
        <v>0.97971473759537597</v>
      </c>
      <c r="M84" s="236"/>
      <c r="N84" s="236"/>
    </row>
    <row r="85" spans="1:14" x14ac:dyDescent="0.3">
      <c r="A85" s="237" t="str">
        <f>name!E$12</f>
        <v>Elementary occupations</v>
      </c>
      <c r="B85" s="302">
        <v>0.14330984354504256</v>
      </c>
      <c r="C85" s="302">
        <v>0.26142888091261557</v>
      </c>
      <c r="D85" s="302">
        <f t="shared" si="40"/>
        <v>0.40473872445765813</v>
      </c>
      <c r="E85" s="303"/>
      <c r="F85" s="302">
        <v>0.10809129291390157</v>
      </c>
      <c r="G85" s="302">
        <v>0.19778490720889999</v>
      </c>
      <c r="H85" s="302">
        <f t="shared" si="41"/>
        <v>0.30587620012280159</v>
      </c>
      <c r="I85" s="303"/>
      <c r="J85" s="302">
        <v>6.8811973690082129E-2</v>
      </c>
      <c r="K85" s="302">
        <v>0.13812283609233228</v>
      </c>
      <c r="L85" s="302">
        <f t="shared" si="42"/>
        <v>0.20693480978241441</v>
      </c>
      <c r="M85" s="236"/>
      <c r="N85" s="236"/>
    </row>
    <row r="86" spans="1:14" x14ac:dyDescent="0.3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3">
      <c r="A87" s="244" t="s">
        <v>32</v>
      </c>
      <c r="B87" s="311">
        <f>SUM(B77:B85)</f>
        <v>1.3280000000031746</v>
      </c>
      <c r="C87" s="311">
        <f t="shared" ref="C87:D87" si="43">SUM(C77:C85)</f>
        <v>2.9650000000036645</v>
      </c>
      <c r="D87" s="311">
        <f t="shared" si="43"/>
        <v>4.2930000000068391</v>
      </c>
      <c r="E87" s="311"/>
      <c r="F87" s="311">
        <f t="shared" ref="F87:H87" si="44">SUM(F77:F85)</f>
        <v>1.2619999999906319</v>
      </c>
      <c r="G87" s="311">
        <f t="shared" si="44"/>
        <v>2.7750000000107868</v>
      </c>
      <c r="H87" s="311">
        <f t="shared" si="44"/>
        <v>4.0370000000014192</v>
      </c>
      <c r="I87" s="311"/>
      <c r="J87" s="311">
        <f t="shared" ref="J87:L87" si="45">SUM(J77:J85)</f>
        <v>1.493999999989962</v>
      </c>
      <c r="K87" s="311">
        <f t="shared" si="45"/>
        <v>3.0910000000223414</v>
      </c>
      <c r="L87" s="311">
        <f t="shared" si="45"/>
        <v>4.5850000000123039</v>
      </c>
      <c r="M87" s="236"/>
      <c r="N87" s="236"/>
    </row>
    <row r="88" spans="1:14" x14ac:dyDescent="0.3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3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35</v>
      </c>
      <c r="M89" s="236"/>
      <c r="N89" s="236"/>
    </row>
    <row r="90" spans="1:14" x14ac:dyDescent="0.3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3">
      <c r="A91" s="241" t="str">
        <f>name!A8</f>
        <v>Textiles</v>
      </c>
      <c r="B91" s="373">
        <f>B$6</f>
        <v>2015</v>
      </c>
      <c r="C91" s="373"/>
      <c r="D91" s="373"/>
      <c r="E91" s="253"/>
      <c r="F91" s="373">
        <f>F74</f>
        <v>2020</v>
      </c>
      <c r="G91" s="373"/>
      <c r="H91" s="373"/>
      <c r="I91" s="253"/>
      <c r="J91" s="373">
        <f>J74</f>
        <v>2035</v>
      </c>
      <c r="K91" s="373"/>
      <c r="L91" s="373"/>
      <c r="M91" s="236"/>
      <c r="N91" s="236"/>
    </row>
    <row r="92" spans="1:14" x14ac:dyDescent="0.3">
      <c r="A92" s="254"/>
      <c r="B92" s="255" t="s">
        <v>352</v>
      </c>
      <c r="C92" s="255" t="s">
        <v>353</v>
      </c>
      <c r="D92" s="255" t="s">
        <v>32</v>
      </c>
      <c r="E92" s="255"/>
      <c r="F92" s="255" t="s">
        <v>352</v>
      </c>
      <c r="G92" s="255" t="s">
        <v>353</v>
      </c>
      <c r="H92" s="255" t="s">
        <v>32</v>
      </c>
      <c r="I92" s="255"/>
      <c r="J92" s="255" t="s">
        <v>352</v>
      </c>
      <c r="K92" s="255" t="s">
        <v>353</v>
      </c>
      <c r="L92" s="255" t="s">
        <v>32</v>
      </c>
      <c r="M92" s="236"/>
      <c r="N92" s="236"/>
    </row>
    <row r="93" spans="1:14" x14ac:dyDescent="0.3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3">
      <c r="A94" s="237" t="str">
        <f>name!E$4</f>
        <v>Managers, directors and senior officials</v>
      </c>
      <c r="B94" s="302">
        <v>0.2107660149304591</v>
      </c>
      <c r="C94" s="302">
        <v>0.2382783133115495</v>
      </c>
      <c r="D94" s="302">
        <f>SUM(B94:C94)</f>
        <v>0.44904432824200857</v>
      </c>
      <c r="E94" s="303"/>
      <c r="F94" s="302">
        <v>0.32100026435201334</v>
      </c>
      <c r="G94" s="302">
        <v>0.48112167512594933</v>
      </c>
      <c r="H94" s="302">
        <f>SUM(F94:G94)</f>
        <v>0.80212193947796262</v>
      </c>
      <c r="I94" s="303"/>
      <c r="J94" s="302">
        <v>0.28062116268984255</v>
      </c>
      <c r="K94" s="302">
        <v>0.3659231621075163</v>
      </c>
      <c r="L94" s="302">
        <f>SUM(J94:K94)</f>
        <v>0.64654432479735879</v>
      </c>
      <c r="M94" s="236"/>
      <c r="N94" s="236"/>
    </row>
    <row r="95" spans="1:14" x14ac:dyDescent="0.3">
      <c r="A95" s="237" t="str">
        <f>name!E$5</f>
        <v>Professional occupations</v>
      </c>
      <c r="B95" s="302">
        <v>0.2220401199411714</v>
      </c>
      <c r="C95" s="302">
        <v>0.13332027386146564</v>
      </c>
      <c r="D95" s="302">
        <f t="shared" ref="D95:D102" si="46">SUM(B95:C95)</f>
        <v>0.35536039380263706</v>
      </c>
      <c r="E95" s="303"/>
      <c r="F95" s="302">
        <v>0.41035045875101644</v>
      </c>
      <c r="G95" s="302">
        <v>0.31755917755363472</v>
      </c>
      <c r="H95" s="302">
        <f t="shared" ref="H95:H102" si="47">SUM(F95:G95)</f>
        <v>0.72790963630465111</v>
      </c>
      <c r="I95" s="303"/>
      <c r="J95" s="302">
        <v>0.39481950281852335</v>
      </c>
      <c r="K95" s="302">
        <v>0.28366542691897689</v>
      </c>
      <c r="L95" s="302">
        <f t="shared" ref="L95:L102" si="48">SUM(J95:K95)</f>
        <v>0.67848492973750019</v>
      </c>
      <c r="M95" s="236"/>
      <c r="N95" s="236"/>
    </row>
    <row r="96" spans="1:14" x14ac:dyDescent="0.3">
      <c r="A96" s="237" t="str">
        <f>name!E$6</f>
        <v>Associate professional occupations</v>
      </c>
      <c r="B96" s="302">
        <v>0.30566613799164566</v>
      </c>
      <c r="C96" s="302">
        <v>0.1230224975362363</v>
      </c>
      <c r="D96" s="302">
        <f t="shared" si="46"/>
        <v>0.42868863552788194</v>
      </c>
      <c r="E96" s="303"/>
      <c r="F96" s="302">
        <v>0.45370468642486161</v>
      </c>
      <c r="G96" s="302">
        <v>0.26149794318525138</v>
      </c>
      <c r="H96" s="302">
        <f t="shared" si="47"/>
        <v>0.71520262961011305</v>
      </c>
      <c r="I96" s="303"/>
      <c r="J96" s="302">
        <v>0.38388677603509813</v>
      </c>
      <c r="K96" s="302">
        <v>0.18918523925132968</v>
      </c>
      <c r="L96" s="302">
        <f t="shared" si="48"/>
        <v>0.57307201528642782</v>
      </c>
      <c r="M96" s="236"/>
      <c r="N96" s="236"/>
    </row>
    <row r="97" spans="1:14" x14ac:dyDescent="0.3">
      <c r="A97" s="237" t="str">
        <f>name!E$7</f>
        <v>Administrative and secretarial occupations</v>
      </c>
      <c r="B97" s="302">
        <v>0.27367884081618687</v>
      </c>
      <c r="C97" s="302">
        <v>0.11004914517238744</v>
      </c>
      <c r="D97" s="302">
        <f t="shared" si="46"/>
        <v>0.38372798598857433</v>
      </c>
      <c r="E97" s="303"/>
      <c r="F97" s="302">
        <v>0.41808559591627548</v>
      </c>
      <c r="G97" s="302">
        <v>0.25923467738151634</v>
      </c>
      <c r="H97" s="302">
        <f t="shared" si="47"/>
        <v>0.67732027329779187</v>
      </c>
      <c r="I97" s="303"/>
      <c r="J97" s="302">
        <v>0.25348573181121092</v>
      </c>
      <c r="K97" s="302">
        <v>0.20803414486638161</v>
      </c>
      <c r="L97" s="302">
        <f t="shared" si="48"/>
        <v>0.46151987667759253</v>
      </c>
      <c r="M97" s="236"/>
      <c r="N97" s="236"/>
    </row>
    <row r="98" spans="1:14" x14ac:dyDescent="0.3">
      <c r="A98" s="237" t="str">
        <f>name!E$8</f>
        <v>Skilled trades occupations</v>
      </c>
      <c r="B98" s="302">
        <v>0.191711112111834</v>
      </c>
      <c r="C98" s="302">
        <v>0.41280676529228638</v>
      </c>
      <c r="D98" s="302">
        <f t="shared" si="46"/>
        <v>0.60451787740412044</v>
      </c>
      <c r="E98" s="303"/>
      <c r="F98" s="302">
        <v>0.18483432714452566</v>
      </c>
      <c r="G98" s="302">
        <v>0.65330133584079575</v>
      </c>
      <c r="H98" s="302">
        <f t="shared" si="47"/>
        <v>0.83813566298532138</v>
      </c>
      <c r="I98" s="303"/>
      <c r="J98" s="302">
        <v>0.11000729950249995</v>
      </c>
      <c r="K98" s="302">
        <v>0.44643021135589517</v>
      </c>
      <c r="L98" s="302">
        <f t="shared" si="48"/>
        <v>0.5564375108583951</v>
      </c>
      <c r="M98" s="236"/>
      <c r="N98" s="236"/>
    </row>
    <row r="99" spans="1:14" x14ac:dyDescent="0.3">
      <c r="A99" s="237" t="str">
        <f>name!E$9</f>
        <v>Caring, leisure and other service occupations</v>
      </c>
      <c r="B99" s="302">
        <v>3.7874005741599451E-2</v>
      </c>
      <c r="C99" s="302">
        <v>3.3869212396800967E-3</v>
      </c>
      <c r="D99" s="302">
        <f t="shared" si="46"/>
        <v>4.1260926981279547E-2</v>
      </c>
      <c r="E99" s="303"/>
      <c r="F99" s="302">
        <v>5.1601457871322712E-2</v>
      </c>
      <c r="G99" s="302">
        <v>8.0788868804276878E-3</v>
      </c>
      <c r="H99" s="302">
        <f t="shared" si="47"/>
        <v>5.9680344751750401E-2</v>
      </c>
      <c r="I99" s="303"/>
      <c r="J99" s="302">
        <v>3.8929923238272317E-2</v>
      </c>
      <c r="K99" s="302">
        <v>7.6918160526208259E-3</v>
      </c>
      <c r="L99" s="302">
        <f t="shared" si="48"/>
        <v>4.6621739290893145E-2</v>
      </c>
      <c r="M99" s="236"/>
      <c r="N99" s="236"/>
    </row>
    <row r="100" spans="1:14" x14ac:dyDescent="0.3">
      <c r="A100" s="237" t="str">
        <f>name!E$10</f>
        <v>Sales and customer service occupations</v>
      </c>
      <c r="B100" s="302">
        <v>0.12436210848897238</v>
      </c>
      <c r="C100" s="302">
        <v>0.10698490589031844</v>
      </c>
      <c r="D100" s="302">
        <f t="shared" si="46"/>
        <v>0.23134701437929081</v>
      </c>
      <c r="E100" s="303"/>
      <c r="F100" s="302">
        <v>0.14728679905640771</v>
      </c>
      <c r="G100" s="302">
        <v>0.19629949827424445</v>
      </c>
      <c r="H100" s="302">
        <f t="shared" si="47"/>
        <v>0.34358629733065216</v>
      </c>
      <c r="I100" s="303"/>
      <c r="J100" s="302">
        <v>0.10326913197980651</v>
      </c>
      <c r="K100" s="302">
        <v>0.15923556484265056</v>
      </c>
      <c r="L100" s="302">
        <f t="shared" si="48"/>
        <v>0.26250469682245708</v>
      </c>
      <c r="M100" s="236"/>
      <c r="N100" s="236"/>
    </row>
    <row r="101" spans="1:14" x14ac:dyDescent="0.3">
      <c r="A101" s="237" t="str">
        <f>name!E$11</f>
        <v>Process, plant and machine operatives</v>
      </c>
      <c r="B101" s="302">
        <v>0.37893022675910337</v>
      </c>
      <c r="C101" s="302">
        <v>0.2448562744707643</v>
      </c>
      <c r="D101" s="302">
        <f t="shared" si="46"/>
        <v>0.62378650122986767</v>
      </c>
      <c r="E101" s="303"/>
      <c r="F101" s="302">
        <v>0.41611527541302162</v>
      </c>
      <c r="G101" s="302">
        <v>0.41585391875560079</v>
      </c>
      <c r="H101" s="302">
        <f t="shared" si="47"/>
        <v>0.83196919416862247</v>
      </c>
      <c r="I101" s="303"/>
      <c r="J101" s="302">
        <v>0.28673402647082302</v>
      </c>
      <c r="K101" s="302">
        <v>0.35071159363106169</v>
      </c>
      <c r="L101" s="302">
        <f t="shared" si="48"/>
        <v>0.63744562010188477</v>
      </c>
      <c r="M101" s="236"/>
      <c r="N101" s="236"/>
    </row>
    <row r="102" spans="1:14" x14ac:dyDescent="0.3">
      <c r="A102" s="237" t="str">
        <f>name!E$12</f>
        <v>Elementary occupations</v>
      </c>
      <c r="B102" s="302">
        <v>0.1029714332248482</v>
      </c>
      <c r="C102" s="302">
        <v>0.12929490322718715</v>
      </c>
      <c r="D102" s="302">
        <f t="shared" si="46"/>
        <v>0.23226633645203534</v>
      </c>
      <c r="E102" s="303"/>
      <c r="F102" s="302">
        <v>7.6021135052871502E-2</v>
      </c>
      <c r="G102" s="302">
        <v>0.22505288701036028</v>
      </c>
      <c r="H102" s="302">
        <f t="shared" si="47"/>
        <v>0.30107402206323175</v>
      </c>
      <c r="I102" s="303"/>
      <c r="J102" s="302">
        <v>4.8246445461612109E-2</v>
      </c>
      <c r="K102" s="302">
        <v>0.13512284099286928</v>
      </c>
      <c r="L102" s="302">
        <f t="shared" si="48"/>
        <v>0.18336928645448139</v>
      </c>
      <c r="M102" s="236"/>
      <c r="N102" s="236"/>
    </row>
    <row r="103" spans="1:14" x14ac:dyDescent="0.3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3">
      <c r="A104" s="244" t="s">
        <v>32</v>
      </c>
      <c r="B104" s="311">
        <f>SUM(B94:B102)</f>
        <v>1.8480000000058201</v>
      </c>
      <c r="C104" s="311">
        <f t="shared" ref="C104:D104" si="49">SUM(C94:C102)</f>
        <v>1.5020000000018754</v>
      </c>
      <c r="D104" s="311">
        <f t="shared" si="49"/>
        <v>3.3500000000076957</v>
      </c>
      <c r="E104" s="311"/>
      <c r="F104" s="311">
        <f t="shared" ref="F104:H104" si="50">SUM(F94:F102)</f>
        <v>2.478999999982316</v>
      </c>
      <c r="G104" s="311">
        <f t="shared" si="50"/>
        <v>2.8180000000077805</v>
      </c>
      <c r="H104" s="311">
        <f t="shared" si="50"/>
        <v>5.2969999999900974</v>
      </c>
      <c r="I104" s="311"/>
      <c r="J104" s="311">
        <f t="shared" ref="J104:L104" si="51">SUM(J94:J102)</f>
        <v>1.9000000000076886</v>
      </c>
      <c r="K104" s="311">
        <f t="shared" si="51"/>
        <v>2.1460000000193018</v>
      </c>
      <c r="L104" s="311">
        <f t="shared" si="51"/>
        <v>4.0460000000269902</v>
      </c>
      <c r="M104" s="236"/>
      <c r="N104" s="236"/>
    </row>
    <row r="105" spans="1:14" x14ac:dyDescent="0.3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3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35</v>
      </c>
      <c r="M106" s="236"/>
      <c r="N106" s="236"/>
    </row>
    <row r="107" spans="1:14" x14ac:dyDescent="0.3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3">
      <c r="A108" s="241" t="str">
        <f>name!A9</f>
        <v>Wearing apparel; Leather, etc</v>
      </c>
      <c r="B108" s="373">
        <f>B$6</f>
        <v>2015</v>
      </c>
      <c r="C108" s="373"/>
      <c r="D108" s="373"/>
      <c r="E108" s="253"/>
      <c r="F108" s="373">
        <f>F91</f>
        <v>2020</v>
      </c>
      <c r="G108" s="373"/>
      <c r="H108" s="373"/>
      <c r="I108" s="253"/>
      <c r="J108" s="373">
        <f>J91</f>
        <v>2035</v>
      </c>
      <c r="K108" s="373"/>
      <c r="L108" s="373"/>
      <c r="M108" s="236"/>
      <c r="N108" s="236"/>
    </row>
    <row r="109" spans="1:14" x14ac:dyDescent="0.3">
      <c r="A109" s="254"/>
      <c r="B109" s="255" t="s">
        <v>352</v>
      </c>
      <c r="C109" s="255" t="s">
        <v>353</v>
      </c>
      <c r="D109" s="255" t="s">
        <v>32</v>
      </c>
      <c r="E109" s="255"/>
      <c r="F109" s="255" t="s">
        <v>352</v>
      </c>
      <c r="G109" s="255" t="s">
        <v>353</v>
      </c>
      <c r="H109" s="255" t="s">
        <v>32</v>
      </c>
      <c r="I109" s="255"/>
      <c r="J109" s="255" t="s">
        <v>352</v>
      </c>
      <c r="K109" s="255" t="s">
        <v>353</v>
      </c>
      <c r="L109" s="255" t="s">
        <v>32</v>
      </c>
      <c r="M109" s="236"/>
      <c r="N109" s="236"/>
    </row>
    <row r="110" spans="1:14" x14ac:dyDescent="0.3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3">
      <c r="A111" s="237" t="str">
        <f>name!E$4</f>
        <v>Managers, directors and senior officials</v>
      </c>
      <c r="B111" s="302">
        <v>0.10953909017005839</v>
      </c>
      <c r="C111" s="302">
        <v>9.5532131877206314E-2</v>
      </c>
      <c r="D111" s="302">
        <f>SUM(B111:C111)</f>
        <v>0.20507122204726469</v>
      </c>
      <c r="E111" s="303"/>
      <c r="F111" s="302">
        <v>0.1609101818879716</v>
      </c>
      <c r="G111" s="302">
        <v>0.2520604396745445</v>
      </c>
      <c r="H111" s="302">
        <f>SUM(F111:G111)</f>
        <v>0.41297062156251607</v>
      </c>
      <c r="I111" s="303"/>
      <c r="J111" s="302">
        <v>0.12643689275345932</v>
      </c>
      <c r="K111" s="302">
        <v>0.20174722094166331</v>
      </c>
      <c r="L111" s="302">
        <f>SUM(J111:K111)</f>
        <v>0.32818411369512263</v>
      </c>
      <c r="M111" s="236"/>
      <c r="N111" s="236"/>
    </row>
    <row r="112" spans="1:14" x14ac:dyDescent="0.3">
      <c r="A112" s="237" t="str">
        <f>name!E$5</f>
        <v>Professional occupations</v>
      </c>
      <c r="B112" s="302">
        <v>0.12141752215367344</v>
      </c>
      <c r="C112" s="302">
        <v>7.0094060335613051E-2</v>
      </c>
      <c r="D112" s="302">
        <f t="shared" ref="D112:D119" si="52">SUM(B112:C112)</f>
        <v>0.19151158248928649</v>
      </c>
      <c r="E112" s="303"/>
      <c r="F112" s="302">
        <v>0.24534671473830041</v>
      </c>
      <c r="G112" s="302">
        <v>0.18757670063527013</v>
      </c>
      <c r="H112" s="302">
        <f t="shared" ref="H112:H119" si="53">SUM(F112:G112)</f>
        <v>0.43292341537357054</v>
      </c>
      <c r="I112" s="303"/>
      <c r="J112" s="302">
        <v>0.21855792329095275</v>
      </c>
      <c r="K112" s="302">
        <v>0.1643143073564815</v>
      </c>
      <c r="L112" s="302">
        <f t="shared" ref="L112:L119" si="54">SUM(J112:K112)</f>
        <v>0.38287223064743425</v>
      </c>
      <c r="M112" s="236"/>
      <c r="N112" s="236"/>
    </row>
    <row r="113" spans="1:14" x14ac:dyDescent="0.3">
      <c r="A113" s="237" t="str">
        <f>name!E$6</f>
        <v>Associate professional occupations</v>
      </c>
      <c r="B113" s="302">
        <v>0.17042810223199673</v>
      </c>
      <c r="C113" s="302">
        <v>5.0991628255491389E-2</v>
      </c>
      <c r="D113" s="302">
        <f t="shared" si="52"/>
        <v>0.22141973048748811</v>
      </c>
      <c r="E113" s="303"/>
      <c r="F113" s="302">
        <v>0.2295541597238637</v>
      </c>
      <c r="G113" s="302">
        <v>0.13316445817153727</v>
      </c>
      <c r="H113" s="302">
        <f t="shared" si="53"/>
        <v>0.36271861789540094</v>
      </c>
      <c r="I113" s="303"/>
      <c r="J113" s="302">
        <v>0.17964641082850633</v>
      </c>
      <c r="K113" s="302">
        <v>9.5593675415373724E-2</v>
      </c>
      <c r="L113" s="302">
        <f t="shared" si="54"/>
        <v>0.27524008624388008</v>
      </c>
      <c r="M113" s="236"/>
      <c r="N113" s="236"/>
    </row>
    <row r="114" spans="1:14" x14ac:dyDescent="0.3">
      <c r="A114" s="237" t="str">
        <f>name!E$7</f>
        <v>Administrative and secretarial occupations</v>
      </c>
      <c r="B114" s="302">
        <v>0.18237410141858229</v>
      </c>
      <c r="C114" s="302">
        <v>2.7947604756162127E-2</v>
      </c>
      <c r="D114" s="302">
        <f t="shared" si="52"/>
        <v>0.21032170617474441</v>
      </c>
      <c r="E114" s="303"/>
      <c r="F114" s="302">
        <v>0.24681176047358883</v>
      </c>
      <c r="G114" s="302">
        <v>6.36076739115191E-2</v>
      </c>
      <c r="H114" s="302">
        <f t="shared" si="53"/>
        <v>0.31041943438510794</v>
      </c>
      <c r="I114" s="303"/>
      <c r="J114" s="302">
        <v>0.17488405257524853</v>
      </c>
      <c r="K114" s="302">
        <v>4.8177436060742283E-2</v>
      </c>
      <c r="L114" s="302">
        <f t="shared" si="54"/>
        <v>0.22306148863599082</v>
      </c>
      <c r="M114" s="236"/>
      <c r="N114" s="236"/>
    </row>
    <row r="115" spans="1:14" x14ac:dyDescent="0.3">
      <c r="A115" s="237" t="str">
        <f>name!E$8</f>
        <v>Skilled trades occupations</v>
      </c>
      <c r="B115" s="302">
        <v>0.12636570189944343</v>
      </c>
      <c r="C115" s="302">
        <v>0.19990679863175964</v>
      </c>
      <c r="D115" s="302">
        <f t="shared" si="52"/>
        <v>0.32627250053120305</v>
      </c>
      <c r="E115" s="303"/>
      <c r="F115" s="302">
        <v>0.11804188911553701</v>
      </c>
      <c r="G115" s="302">
        <v>0.34658319813696958</v>
      </c>
      <c r="H115" s="302">
        <f t="shared" si="53"/>
        <v>0.46462508725250662</v>
      </c>
      <c r="I115" s="303"/>
      <c r="J115" s="302">
        <v>9.3966038326301821E-2</v>
      </c>
      <c r="K115" s="302">
        <v>0.26972502287284567</v>
      </c>
      <c r="L115" s="302">
        <f t="shared" si="54"/>
        <v>0.36369106119914751</v>
      </c>
      <c r="M115" s="236"/>
      <c r="N115" s="236"/>
    </row>
    <row r="116" spans="1:14" x14ac:dyDescent="0.3">
      <c r="A116" s="237" t="str">
        <f>name!E$9</f>
        <v>Caring, leisure and other service occupations</v>
      </c>
      <c r="B116" s="302">
        <v>4.313678680782243E-2</v>
      </c>
      <c r="C116" s="302">
        <v>1.029108522784832E-2</v>
      </c>
      <c r="D116" s="302">
        <f t="shared" si="52"/>
        <v>5.3427872035670752E-2</v>
      </c>
      <c r="E116" s="303"/>
      <c r="F116" s="302">
        <v>6.4900427163513366E-2</v>
      </c>
      <c r="G116" s="302">
        <v>2.6987869673252347E-2</v>
      </c>
      <c r="H116" s="302">
        <f t="shared" si="53"/>
        <v>9.188829683676572E-2</v>
      </c>
      <c r="I116" s="303"/>
      <c r="J116" s="302">
        <v>5.1654483478616182E-2</v>
      </c>
      <c r="K116" s="302">
        <v>2.8527446904910679E-2</v>
      </c>
      <c r="L116" s="302">
        <f t="shared" si="54"/>
        <v>8.0181930383526862E-2</v>
      </c>
      <c r="M116" s="236"/>
      <c r="N116" s="236"/>
    </row>
    <row r="117" spans="1:14" x14ac:dyDescent="0.3">
      <c r="A117" s="237" t="str">
        <f>name!E$10</f>
        <v>Sales and customer service occupations</v>
      </c>
      <c r="B117" s="302">
        <v>7.6124585248089197E-2</v>
      </c>
      <c r="C117" s="302">
        <v>5.3071936300679932E-2</v>
      </c>
      <c r="D117" s="302">
        <f t="shared" si="52"/>
        <v>0.12919652154876912</v>
      </c>
      <c r="E117" s="303"/>
      <c r="F117" s="302">
        <v>7.4101858663191508E-2</v>
      </c>
      <c r="G117" s="302">
        <v>0.11623832246775664</v>
      </c>
      <c r="H117" s="302">
        <f t="shared" si="53"/>
        <v>0.19034018113094814</v>
      </c>
      <c r="I117" s="303"/>
      <c r="J117" s="302">
        <v>5.7425067649399295E-2</v>
      </c>
      <c r="K117" s="302">
        <v>8.9963056333542027E-2</v>
      </c>
      <c r="L117" s="302">
        <f t="shared" si="54"/>
        <v>0.14738812398294132</v>
      </c>
      <c r="M117" s="236"/>
      <c r="N117" s="236"/>
    </row>
    <row r="118" spans="1:14" x14ac:dyDescent="0.3">
      <c r="A118" s="237" t="str">
        <f>name!E$11</f>
        <v>Process, plant and machine operatives</v>
      </c>
      <c r="B118" s="302">
        <v>0.14197802359685494</v>
      </c>
      <c r="C118" s="302">
        <v>0.12170328564801999</v>
      </c>
      <c r="D118" s="302">
        <f t="shared" si="52"/>
        <v>0.26368130924487493</v>
      </c>
      <c r="E118" s="303"/>
      <c r="F118" s="302">
        <v>0.14834697138799924</v>
      </c>
      <c r="G118" s="302">
        <v>0.22850077014367429</v>
      </c>
      <c r="H118" s="302">
        <f t="shared" si="53"/>
        <v>0.37684774153167355</v>
      </c>
      <c r="I118" s="303"/>
      <c r="J118" s="302">
        <v>9.1348517350625283E-2</v>
      </c>
      <c r="K118" s="302">
        <v>0.2106159245756517</v>
      </c>
      <c r="L118" s="302">
        <f t="shared" si="54"/>
        <v>0.30196444192627697</v>
      </c>
      <c r="M118" s="236"/>
      <c r="N118" s="236"/>
    </row>
    <row r="119" spans="1:14" x14ac:dyDescent="0.3">
      <c r="A119" s="237" t="str">
        <f>name!E$12</f>
        <v>Elementary occupations</v>
      </c>
      <c r="B119" s="302">
        <v>7.4636086481255776E-2</v>
      </c>
      <c r="C119" s="302">
        <v>0.21446146896979532</v>
      </c>
      <c r="D119" s="302">
        <f t="shared" si="52"/>
        <v>0.28909755545105109</v>
      </c>
      <c r="E119" s="303"/>
      <c r="F119" s="302">
        <v>4.5986036840621414E-2</v>
      </c>
      <c r="G119" s="302">
        <v>0.36428056719531016</v>
      </c>
      <c r="H119" s="302">
        <f t="shared" si="53"/>
        <v>0.41026660403593157</v>
      </c>
      <c r="I119" s="303"/>
      <c r="J119" s="302">
        <v>3.0080613751372762E-2</v>
      </c>
      <c r="K119" s="302">
        <v>0.21833590955471679</v>
      </c>
      <c r="L119" s="302">
        <f t="shared" si="54"/>
        <v>0.24841652330608954</v>
      </c>
      <c r="M119" s="236"/>
      <c r="N119" s="236"/>
    </row>
    <row r="120" spans="1:14" x14ac:dyDescent="0.3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3">
      <c r="A121" s="244" t="s">
        <v>32</v>
      </c>
      <c r="B121" s="311">
        <f>SUM(B111:B119)</f>
        <v>1.0460000000077765</v>
      </c>
      <c r="C121" s="311">
        <f t="shared" ref="C121:D121" si="55">SUM(C111:C119)</f>
        <v>0.84400000000257613</v>
      </c>
      <c r="D121" s="311">
        <f t="shared" si="55"/>
        <v>1.8900000000103525</v>
      </c>
      <c r="E121" s="311"/>
      <c r="F121" s="311">
        <f t="shared" ref="F121:H121" si="56">SUM(F111:F119)</f>
        <v>1.3339999999945871</v>
      </c>
      <c r="G121" s="311">
        <f t="shared" si="56"/>
        <v>1.719000000009834</v>
      </c>
      <c r="H121" s="311">
        <f t="shared" si="56"/>
        <v>3.0530000000044208</v>
      </c>
      <c r="I121" s="311"/>
      <c r="J121" s="311">
        <f t="shared" ref="J121:L121" si="57">SUM(J111:J119)</f>
        <v>1.0240000000044822</v>
      </c>
      <c r="K121" s="311">
        <f t="shared" si="57"/>
        <v>1.3270000000159279</v>
      </c>
      <c r="L121" s="311">
        <f t="shared" si="57"/>
        <v>2.3510000000204103</v>
      </c>
      <c r="M121" s="236"/>
      <c r="N121" s="236"/>
    </row>
    <row r="122" spans="1:14" x14ac:dyDescent="0.3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3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35</v>
      </c>
      <c r="M123" s="236"/>
      <c r="N123" s="236"/>
    </row>
    <row r="124" spans="1:14" x14ac:dyDescent="0.3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3">
      <c r="A125" s="241" t="str">
        <f>name!A10</f>
        <v xml:space="preserve">Wood and cork </v>
      </c>
      <c r="B125" s="373">
        <f>B$6</f>
        <v>2015</v>
      </c>
      <c r="C125" s="373"/>
      <c r="D125" s="373"/>
      <c r="E125" s="253"/>
      <c r="F125" s="373">
        <f>F108</f>
        <v>2020</v>
      </c>
      <c r="G125" s="373"/>
      <c r="H125" s="373"/>
      <c r="I125" s="253"/>
      <c r="J125" s="373">
        <f>J108</f>
        <v>2035</v>
      </c>
      <c r="K125" s="373"/>
      <c r="L125" s="373"/>
      <c r="M125" s="236"/>
      <c r="N125" s="236"/>
    </row>
    <row r="126" spans="1:14" x14ac:dyDescent="0.3">
      <c r="A126" s="254"/>
      <c r="B126" s="255" t="s">
        <v>352</v>
      </c>
      <c r="C126" s="255" t="s">
        <v>353</v>
      </c>
      <c r="D126" s="255" t="s">
        <v>32</v>
      </c>
      <c r="E126" s="255"/>
      <c r="F126" s="255" t="s">
        <v>352</v>
      </c>
      <c r="G126" s="255" t="s">
        <v>353</v>
      </c>
      <c r="H126" s="255" t="s">
        <v>32</v>
      </c>
      <c r="I126" s="255"/>
      <c r="J126" s="255" t="s">
        <v>352</v>
      </c>
      <c r="K126" s="255" t="s">
        <v>353</v>
      </c>
      <c r="L126" s="255" t="s">
        <v>32</v>
      </c>
      <c r="M126" s="236"/>
      <c r="N126" s="236"/>
    </row>
    <row r="127" spans="1:14" x14ac:dyDescent="0.3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3">
      <c r="A128" s="237" t="str">
        <f>name!E$4</f>
        <v>Managers, directors and senior officials</v>
      </c>
      <c r="B128" s="302">
        <v>0.24042078913944798</v>
      </c>
      <c r="C128" s="302">
        <v>0.53230533519268097</v>
      </c>
      <c r="D128" s="302">
        <f>SUM(B128:C128)</f>
        <v>0.77272612433212895</v>
      </c>
      <c r="E128" s="303"/>
      <c r="F128" s="302">
        <v>0.39966917284602294</v>
      </c>
      <c r="G128" s="302">
        <v>1.237444047486866</v>
      </c>
      <c r="H128" s="302">
        <f>SUM(F128:G128)</f>
        <v>1.6371132203328889</v>
      </c>
      <c r="I128" s="303"/>
      <c r="J128" s="302">
        <v>0.38157605667939692</v>
      </c>
      <c r="K128" s="302">
        <v>1.0536118266750774</v>
      </c>
      <c r="L128" s="302">
        <f>SUM(J128:K128)</f>
        <v>1.4351878833544742</v>
      </c>
      <c r="M128" s="236"/>
      <c r="N128" s="236"/>
    </row>
    <row r="129" spans="1:14" x14ac:dyDescent="0.3">
      <c r="A129" s="237" t="str">
        <f>name!E$5</f>
        <v>Professional occupations</v>
      </c>
      <c r="B129" s="302">
        <v>0.21343136030579812</v>
      </c>
      <c r="C129" s="302">
        <v>0.31658380516462536</v>
      </c>
      <c r="D129" s="302">
        <f t="shared" ref="D129:D136" si="58">SUM(B129:C129)</f>
        <v>0.53001516547042349</v>
      </c>
      <c r="E129" s="303"/>
      <c r="F129" s="302">
        <v>0.41554760661621121</v>
      </c>
      <c r="G129" s="302">
        <v>0.74729576326920333</v>
      </c>
      <c r="H129" s="302">
        <f t="shared" ref="H129:H136" si="59">SUM(F129:G129)</f>
        <v>1.1628433698854146</v>
      </c>
      <c r="I129" s="303"/>
      <c r="J129" s="302">
        <v>0.43703396404264017</v>
      </c>
      <c r="K129" s="302">
        <v>0.75303813555101906</v>
      </c>
      <c r="L129" s="302">
        <f t="shared" ref="L129:L136" si="60">SUM(J129:K129)</f>
        <v>1.1900720995936593</v>
      </c>
      <c r="M129" s="236"/>
      <c r="N129" s="236"/>
    </row>
    <row r="130" spans="1:14" x14ac:dyDescent="0.3">
      <c r="A130" s="237" t="str">
        <f>name!E$6</f>
        <v>Associate professional occupations</v>
      </c>
      <c r="B130" s="302">
        <v>0.20613119699239121</v>
      </c>
      <c r="C130" s="302">
        <v>0.50924960040794653</v>
      </c>
      <c r="D130" s="302">
        <f t="shared" si="58"/>
        <v>0.71538079740033778</v>
      </c>
      <c r="E130" s="303"/>
      <c r="F130" s="302">
        <v>0.33794971245613942</v>
      </c>
      <c r="G130" s="302">
        <v>1.112210212745486</v>
      </c>
      <c r="H130" s="302">
        <f t="shared" si="59"/>
        <v>1.4501599252016255</v>
      </c>
      <c r="I130" s="303"/>
      <c r="J130" s="302">
        <v>0.30876556924884607</v>
      </c>
      <c r="K130" s="302">
        <v>0.90297796041958711</v>
      </c>
      <c r="L130" s="302">
        <f t="shared" si="60"/>
        <v>1.2117435296684331</v>
      </c>
      <c r="M130" s="236"/>
      <c r="N130" s="236"/>
    </row>
    <row r="131" spans="1:14" x14ac:dyDescent="0.3">
      <c r="A131" s="237" t="str">
        <f>name!E$7</f>
        <v>Administrative and secretarial occupations</v>
      </c>
      <c r="B131" s="302">
        <v>0.53893203463650385</v>
      </c>
      <c r="C131" s="302">
        <v>0.11169406161543827</v>
      </c>
      <c r="D131" s="302">
        <f t="shared" si="58"/>
        <v>0.65062609625194212</v>
      </c>
      <c r="E131" s="303"/>
      <c r="F131" s="302">
        <v>0.49090688253795389</v>
      </c>
      <c r="G131" s="302">
        <v>0.25088080239613553</v>
      </c>
      <c r="H131" s="302">
        <f t="shared" si="59"/>
        <v>0.74178768493408942</v>
      </c>
      <c r="I131" s="303"/>
      <c r="J131" s="302">
        <v>0.33949676555706876</v>
      </c>
      <c r="K131" s="302">
        <v>0.20690331419941174</v>
      </c>
      <c r="L131" s="302">
        <f t="shared" si="60"/>
        <v>0.54640007975648053</v>
      </c>
      <c r="M131" s="236"/>
      <c r="N131" s="236"/>
    </row>
    <row r="132" spans="1:14" x14ac:dyDescent="0.3">
      <c r="A132" s="237" t="str">
        <f>name!E$8</f>
        <v>Skilled trades occupations</v>
      </c>
      <c r="B132" s="302">
        <v>0.14353567448040758</v>
      </c>
      <c r="C132" s="302">
        <v>2.2252836479132672</v>
      </c>
      <c r="D132" s="302">
        <f t="shared" si="58"/>
        <v>2.3688193223936747</v>
      </c>
      <c r="E132" s="303"/>
      <c r="F132" s="302">
        <v>0.13788805141438928</v>
      </c>
      <c r="G132" s="302">
        <v>3.3824883656697184</v>
      </c>
      <c r="H132" s="302">
        <f t="shared" si="59"/>
        <v>3.5203764170841079</v>
      </c>
      <c r="I132" s="303"/>
      <c r="J132" s="302">
        <v>0.15291654419488554</v>
      </c>
      <c r="K132" s="302">
        <v>2.5911274731859959</v>
      </c>
      <c r="L132" s="302">
        <f t="shared" si="60"/>
        <v>2.7440440173808813</v>
      </c>
      <c r="M132" s="236"/>
      <c r="N132" s="236"/>
    </row>
    <row r="133" spans="1:14" x14ac:dyDescent="0.3">
      <c r="A133" s="237" t="str">
        <f>name!E$9</f>
        <v>Caring, leisure and other service occupations</v>
      </c>
      <c r="B133" s="302">
        <v>4.1497247978677702E-2</v>
      </c>
      <c r="C133" s="302">
        <v>3.8117477777946086E-2</v>
      </c>
      <c r="D133" s="302">
        <f t="shared" si="58"/>
        <v>7.9614725756623789E-2</v>
      </c>
      <c r="E133" s="303"/>
      <c r="F133" s="302">
        <v>4.2819588152364259E-2</v>
      </c>
      <c r="G133" s="302">
        <v>8.7508341078310792E-2</v>
      </c>
      <c r="H133" s="302">
        <f t="shared" si="59"/>
        <v>0.13032792923067504</v>
      </c>
      <c r="I133" s="303"/>
      <c r="J133" s="302">
        <v>3.334731491272333E-2</v>
      </c>
      <c r="K133" s="302">
        <v>0.11032489222943768</v>
      </c>
      <c r="L133" s="302">
        <f t="shared" si="60"/>
        <v>0.143672207142161</v>
      </c>
      <c r="M133" s="236"/>
      <c r="N133" s="236"/>
    </row>
    <row r="134" spans="1:14" x14ac:dyDescent="0.3">
      <c r="A134" s="237" t="str">
        <f>name!E$10</f>
        <v>Sales and customer service occupations</v>
      </c>
      <c r="B134" s="302">
        <v>0.11872550542037014</v>
      </c>
      <c r="C134" s="302">
        <v>0.10301726452896025</v>
      </c>
      <c r="D134" s="302">
        <f>SUM(B134:C134)</f>
        <v>0.2217427699493304</v>
      </c>
      <c r="E134" s="303"/>
      <c r="F134" s="302">
        <v>0.12896020913628223</v>
      </c>
      <c r="G134" s="302">
        <v>0.20799206798844153</v>
      </c>
      <c r="H134" s="302">
        <f t="shared" si="59"/>
        <v>0.33695227712472375</v>
      </c>
      <c r="I134" s="303"/>
      <c r="J134" s="302">
        <v>0.11161535595535639</v>
      </c>
      <c r="K134" s="302">
        <v>0.19508749186053531</v>
      </c>
      <c r="L134" s="302">
        <f t="shared" si="60"/>
        <v>0.30670284781589169</v>
      </c>
      <c r="M134" s="236"/>
      <c r="N134" s="236"/>
    </row>
    <row r="135" spans="1:14" x14ac:dyDescent="0.3">
      <c r="A135" s="237" t="str">
        <f>name!E$11</f>
        <v>Process, plant and machine operatives</v>
      </c>
      <c r="B135" s="302">
        <v>7.9362676753165315E-2</v>
      </c>
      <c r="C135" s="302">
        <v>1.4455796076596452</v>
      </c>
      <c r="D135" s="302">
        <f t="shared" si="58"/>
        <v>1.5249422844128104</v>
      </c>
      <c r="E135" s="303"/>
      <c r="F135" s="302">
        <v>7.367294330373822E-2</v>
      </c>
      <c r="G135" s="302">
        <v>2.2745523244466681</v>
      </c>
      <c r="H135" s="302">
        <f t="shared" si="59"/>
        <v>2.3482252677504065</v>
      </c>
      <c r="I135" s="303"/>
      <c r="J135" s="302">
        <v>6.2780036258870145E-2</v>
      </c>
      <c r="K135" s="302">
        <v>2.1712356311815597</v>
      </c>
      <c r="L135" s="302">
        <f t="shared" si="60"/>
        <v>2.2340156674404299</v>
      </c>
      <c r="M135" s="236"/>
      <c r="N135" s="236"/>
    </row>
    <row r="136" spans="1:14" x14ac:dyDescent="0.3">
      <c r="A136" s="237" t="str">
        <f>name!E$12</f>
        <v>Elementary occupations</v>
      </c>
      <c r="B136" s="302">
        <v>0.17996351430076979</v>
      </c>
      <c r="C136" s="302">
        <v>0.4321691997194429</v>
      </c>
      <c r="D136" s="302">
        <f t="shared" si="58"/>
        <v>0.61213271402021263</v>
      </c>
      <c r="E136" s="303"/>
      <c r="F136" s="302">
        <v>0.12058583353219689</v>
      </c>
      <c r="G136" s="302">
        <v>0.67662807494054567</v>
      </c>
      <c r="H136" s="302">
        <f t="shared" si="59"/>
        <v>0.79721390847274254</v>
      </c>
      <c r="I136" s="303"/>
      <c r="J136" s="302">
        <v>9.0468393156519875E-2</v>
      </c>
      <c r="K136" s="302">
        <v>0.41569327475113688</v>
      </c>
      <c r="L136" s="302">
        <f t="shared" si="60"/>
        <v>0.50616166790765671</v>
      </c>
      <c r="M136" s="236"/>
      <c r="N136" s="236"/>
    </row>
    <row r="137" spans="1:14" x14ac:dyDescent="0.3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3">
      <c r="A138" s="244" t="s">
        <v>32</v>
      </c>
      <c r="B138" s="311">
        <f>SUM(B128:B136)</f>
        <v>1.7620000000075315</v>
      </c>
      <c r="C138" s="311">
        <f t="shared" ref="C138" si="61">SUM(C128:C136)</f>
        <v>5.7139999999799524</v>
      </c>
      <c r="D138" s="311">
        <f>SUM(D128:D136)</f>
        <v>7.4759999999874847</v>
      </c>
      <c r="E138" s="311"/>
      <c r="F138" s="311">
        <f t="shared" ref="F138:H138" si="62">SUM(F128:F136)</f>
        <v>2.1479999999952981</v>
      </c>
      <c r="G138" s="311">
        <f t="shared" si="62"/>
        <v>9.9770000000213752</v>
      </c>
      <c r="H138" s="311">
        <f t="shared" si="62"/>
        <v>12.125000000016673</v>
      </c>
      <c r="I138" s="311"/>
      <c r="J138" s="311">
        <f t="shared" ref="J138:L138" si="63">SUM(J128:J136)</f>
        <v>1.9180000000063069</v>
      </c>
      <c r="K138" s="311">
        <f t="shared" si="63"/>
        <v>8.40000000005376</v>
      </c>
      <c r="L138" s="311">
        <f t="shared" si="63"/>
        <v>10.318000000060067</v>
      </c>
      <c r="M138" s="236"/>
      <c r="N138" s="236"/>
    </row>
    <row r="139" spans="1:14" x14ac:dyDescent="0.3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3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35</v>
      </c>
      <c r="M140" s="236"/>
      <c r="N140" s="236"/>
    </row>
    <row r="141" spans="1:14" x14ac:dyDescent="0.3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3">
      <c r="A142" s="241" t="str">
        <f>name!A11</f>
        <v>Paper, etc</v>
      </c>
      <c r="B142" s="373">
        <f>B$6</f>
        <v>2015</v>
      </c>
      <c r="C142" s="373"/>
      <c r="D142" s="373"/>
      <c r="E142" s="253"/>
      <c r="F142" s="373">
        <f>F125</f>
        <v>2020</v>
      </c>
      <c r="G142" s="373"/>
      <c r="H142" s="373"/>
      <c r="I142" s="253"/>
      <c r="J142" s="373">
        <f>J125</f>
        <v>2035</v>
      </c>
      <c r="K142" s="373"/>
      <c r="L142" s="373"/>
      <c r="M142" s="236"/>
      <c r="N142" s="236"/>
    </row>
    <row r="143" spans="1:14" x14ac:dyDescent="0.3">
      <c r="A143" s="254"/>
      <c r="B143" s="255" t="s">
        <v>352</v>
      </c>
      <c r="C143" s="255" t="s">
        <v>353</v>
      </c>
      <c r="D143" s="255" t="s">
        <v>32</v>
      </c>
      <c r="E143" s="255"/>
      <c r="F143" s="255" t="s">
        <v>352</v>
      </c>
      <c r="G143" s="255" t="s">
        <v>353</v>
      </c>
      <c r="H143" s="255" t="s">
        <v>32</v>
      </c>
      <c r="I143" s="255"/>
      <c r="J143" s="255" t="s">
        <v>352</v>
      </c>
      <c r="K143" s="255" t="s">
        <v>353</v>
      </c>
      <c r="L143" s="255" t="s">
        <v>32</v>
      </c>
      <c r="M143" s="236"/>
      <c r="N143" s="236"/>
    </row>
    <row r="144" spans="1:14" x14ac:dyDescent="0.3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3">
      <c r="A145" s="237" t="str">
        <f>name!E$4</f>
        <v>Managers, directors and senior officials</v>
      </c>
      <c r="B145" s="302">
        <v>0.10152923626233078</v>
      </c>
      <c r="C145" s="302">
        <v>0.77606314343794314</v>
      </c>
      <c r="D145" s="302">
        <f>SUM(B145:C145)</f>
        <v>0.87759237970027393</v>
      </c>
      <c r="E145" s="303"/>
      <c r="F145" s="302">
        <v>0.10118469129972896</v>
      </c>
      <c r="G145" s="302">
        <v>0.66127179743736209</v>
      </c>
      <c r="H145" s="302">
        <f>SUM(F145:G145)</f>
        <v>0.76245648873709104</v>
      </c>
      <c r="I145" s="303"/>
      <c r="J145" s="302">
        <v>0.10002805742657229</v>
      </c>
      <c r="K145" s="302">
        <v>0.66707703326378742</v>
      </c>
      <c r="L145" s="302">
        <f>SUM(J145:K145)</f>
        <v>0.7671050906903597</v>
      </c>
      <c r="M145" s="236"/>
      <c r="N145" s="236"/>
    </row>
    <row r="146" spans="1:14" x14ac:dyDescent="0.3">
      <c r="A146" s="237" t="str">
        <f>name!E$5</f>
        <v>Professional occupations</v>
      </c>
      <c r="B146" s="302">
        <v>0.14397451947019066</v>
      </c>
      <c r="C146" s="302">
        <v>0.59591571778273644</v>
      </c>
      <c r="D146" s="302">
        <f t="shared" ref="D146:D153" si="64">SUM(B146:C146)</f>
        <v>0.73989023725292713</v>
      </c>
      <c r="E146" s="303"/>
      <c r="F146" s="302">
        <v>0.16116681136524857</v>
      </c>
      <c r="G146" s="302">
        <v>0.65627446342215878</v>
      </c>
      <c r="H146" s="302">
        <f t="shared" ref="H146:H153" si="65">SUM(F146:G146)</f>
        <v>0.81744127478740736</v>
      </c>
      <c r="I146" s="303"/>
      <c r="J146" s="302">
        <v>0.18000092764707951</v>
      </c>
      <c r="K146" s="302">
        <v>0.73435694283867947</v>
      </c>
      <c r="L146" s="302">
        <f t="shared" ref="L146:L153" si="66">SUM(J146:K146)</f>
        <v>0.91435787048575901</v>
      </c>
      <c r="M146" s="236"/>
      <c r="N146" s="236"/>
    </row>
    <row r="147" spans="1:14" x14ac:dyDescent="0.3">
      <c r="A147" s="237" t="str">
        <f>name!E$6</f>
        <v>Associate professional occupations</v>
      </c>
      <c r="B147" s="302">
        <v>0.23384464515379488</v>
      </c>
      <c r="C147" s="302">
        <v>0.64172407014680788</v>
      </c>
      <c r="D147" s="302">
        <f t="shared" si="64"/>
        <v>0.87556871530060276</v>
      </c>
      <c r="E147" s="303"/>
      <c r="F147" s="302">
        <v>0.20865438323298979</v>
      </c>
      <c r="G147" s="302">
        <v>0.67718433860684746</v>
      </c>
      <c r="H147" s="302">
        <f t="shared" si="65"/>
        <v>0.88583872183983725</v>
      </c>
      <c r="I147" s="303"/>
      <c r="J147" s="302">
        <v>0.20574006597135219</v>
      </c>
      <c r="K147" s="302">
        <v>0.64897197715243959</v>
      </c>
      <c r="L147" s="302">
        <f t="shared" si="66"/>
        <v>0.85471204312379179</v>
      </c>
      <c r="M147" s="236"/>
      <c r="N147" s="236"/>
    </row>
    <row r="148" spans="1:14" x14ac:dyDescent="0.3">
      <c r="A148" s="237" t="str">
        <f>name!E$7</f>
        <v>Administrative and secretarial occupations</v>
      </c>
      <c r="B148" s="302">
        <v>0.1768953699207495</v>
      </c>
      <c r="C148" s="302">
        <v>0.13226635580202528</v>
      </c>
      <c r="D148" s="302">
        <f t="shared" si="64"/>
        <v>0.30916172572277478</v>
      </c>
      <c r="E148" s="303"/>
      <c r="F148" s="302">
        <v>0.13774561445314965</v>
      </c>
      <c r="G148" s="302">
        <v>0.13320418030041328</v>
      </c>
      <c r="H148" s="302">
        <f t="shared" si="65"/>
        <v>0.27094979475356296</v>
      </c>
      <c r="I148" s="303"/>
      <c r="J148" s="302">
        <v>8.2038818435232197E-2</v>
      </c>
      <c r="K148" s="302">
        <v>0.10641122148007015</v>
      </c>
      <c r="L148" s="302">
        <f t="shared" si="66"/>
        <v>0.18845003991530235</v>
      </c>
      <c r="M148" s="236"/>
      <c r="N148" s="236"/>
    </row>
    <row r="149" spans="1:14" x14ac:dyDescent="0.3">
      <c r="A149" s="237" t="str">
        <f>name!E$8</f>
        <v>Skilled trades occupations</v>
      </c>
      <c r="B149" s="302">
        <v>4.6111165399033087E-2</v>
      </c>
      <c r="C149" s="302">
        <v>0.6743794742712762</v>
      </c>
      <c r="D149" s="302">
        <f t="shared" si="64"/>
        <v>0.72049063967030924</v>
      </c>
      <c r="E149" s="303"/>
      <c r="F149" s="302">
        <v>3.5991057217874357E-2</v>
      </c>
      <c r="G149" s="302">
        <v>0.42093035800508138</v>
      </c>
      <c r="H149" s="302">
        <f t="shared" si="65"/>
        <v>0.45692141522295576</v>
      </c>
      <c r="I149" s="303"/>
      <c r="J149" s="302">
        <v>2.7794977352226843E-2</v>
      </c>
      <c r="K149" s="302">
        <v>0.27084093426087646</v>
      </c>
      <c r="L149" s="302">
        <f t="shared" si="66"/>
        <v>0.29863591161310332</v>
      </c>
      <c r="M149" s="236"/>
      <c r="N149" s="236"/>
    </row>
    <row r="150" spans="1:14" x14ac:dyDescent="0.3">
      <c r="A150" s="237" t="str">
        <f>name!E$9</f>
        <v>Caring, leisure and other service occupations</v>
      </c>
      <c r="B150" s="302">
        <v>1.9684857026502307E-2</v>
      </c>
      <c r="C150" s="302">
        <v>3.5843880149261841E-2</v>
      </c>
      <c r="D150" s="302">
        <f t="shared" si="64"/>
        <v>5.5528737175764148E-2</v>
      </c>
      <c r="E150" s="303"/>
      <c r="F150" s="302">
        <v>1.4816721706364432E-2</v>
      </c>
      <c r="G150" s="302">
        <v>3.6457996638979147E-2</v>
      </c>
      <c r="H150" s="302">
        <f t="shared" si="65"/>
        <v>5.1274718345343577E-2</v>
      </c>
      <c r="I150" s="303"/>
      <c r="J150" s="302">
        <v>1.1928855578500952E-2</v>
      </c>
      <c r="K150" s="302">
        <v>2.768307870099971E-2</v>
      </c>
      <c r="L150" s="302">
        <f t="shared" si="66"/>
        <v>3.961193427950066E-2</v>
      </c>
      <c r="M150" s="236"/>
      <c r="N150" s="236"/>
    </row>
    <row r="151" spans="1:14" x14ac:dyDescent="0.3">
      <c r="A151" s="237" t="str">
        <f>name!E$10</f>
        <v>Sales and customer service occupations</v>
      </c>
      <c r="B151" s="302">
        <v>7.2621481004603958E-2</v>
      </c>
      <c r="C151" s="302">
        <v>0.11233878362595134</v>
      </c>
      <c r="D151" s="302">
        <f t="shared" si="64"/>
        <v>0.18496026463055532</v>
      </c>
      <c r="E151" s="303"/>
      <c r="F151" s="302">
        <v>5.5344101809618053E-2</v>
      </c>
      <c r="G151" s="302">
        <v>9.6557093216390111E-2</v>
      </c>
      <c r="H151" s="302">
        <f t="shared" si="65"/>
        <v>0.15190119502600816</v>
      </c>
      <c r="I151" s="303"/>
      <c r="J151" s="302">
        <v>4.7172418634348776E-2</v>
      </c>
      <c r="K151" s="302">
        <v>0.1002849167604743</v>
      </c>
      <c r="L151" s="302">
        <f t="shared" si="66"/>
        <v>0.14745733539482309</v>
      </c>
      <c r="M151" s="236"/>
      <c r="N151" s="236"/>
    </row>
    <row r="152" spans="1:14" x14ac:dyDescent="0.3">
      <c r="A152" s="237" t="str">
        <f>name!E$11</f>
        <v>Process, plant and machine operatives</v>
      </c>
      <c r="B152" s="302">
        <v>6.1631713721840592E-2</v>
      </c>
      <c r="C152" s="302">
        <v>0.7115587088003108</v>
      </c>
      <c r="D152" s="302">
        <f t="shared" si="64"/>
        <v>0.77319042252215142</v>
      </c>
      <c r="E152" s="303"/>
      <c r="F152" s="302">
        <v>4.2918468046868351E-2</v>
      </c>
      <c r="G152" s="302">
        <v>0.50999050382931899</v>
      </c>
      <c r="H152" s="302">
        <f t="shared" si="65"/>
        <v>0.55290897187618737</v>
      </c>
      <c r="I152" s="303"/>
      <c r="J152" s="302">
        <v>3.6724531641464005E-2</v>
      </c>
      <c r="K152" s="302">
        <v>0.27500568015677912</v>
      </c>
      <c r="L152" s="302">
        <f t="shared" si="66"/>
        <v>0.31173021179824312</v>
      </c>
      <c r="M152" s="236"/>
      <c r="N152" s="236"/>
    </row>
    <row r="153" spans="1:14" x14ac:dyDescent="0.3">
      <c r="A153" s="237" t="str">
        <f>name!E$12</f>
        <v>Elementary occupations</v>
      </c>
      <c r="B153" s="302">
        <v>0.18570701203824427</v>
      </c>
      <c r="C153" s="302">
        <v>0.42290986598746938</v>
      </c>
      <c r="D153" s="302">
        <f t="shared" si="64"/>
        <v>0.60861687802571363</v>
      </c>
      <c r="E153" s="303"/>
      <c r="F153" s="302">
        <v>9.7178150863667725E-2</v>
      </c>
      <c r="G153" s="302">
        <v>0.38912926854447949</v>
      </c>
      <c r="H153" s="302">
        <f t="shared" si="65"/>
        <v>0.4863074194081472</v>
      </c>
      <c r="I153" s="303"/>
      <c r="J153" s="302">
        <v>7.3571347315445346E-2</v>
      </c>
      <c r="K153" s="302">
        <v>0.26436821539365613</v>
      </c>
      <c r="L153" s="302">
        <f t="shared" si="66"/>
        <v>0.33793956270910147</v>
      </c>
      <c r="M153" s="236"/>
      <c r="N153" s="236"/>
    </row>
    <row r="154" spans="1:14" x14ac:dyDescent="0.3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3">
      <c r="A155" s="244" t="s">
        <v>32</v>
      </c>
      <c r="B155" s="311">
        <f>SUM(B145:B153)</f>
        <v>1.0419999999972902</v>
      </c>
      <c r="C155" s="311">
        <f t="shared" ref="C155:D155" si="67">SUM(C145:C153)</f>
        <v>4.1030000000037816</v>
      </c>
      <c r="D155" s="311">
        <f t="shared" si="67"/>
        <v>5.1450000000010725</v>
      </c>
      <c r="E155" s="311"/>
      <c r="F155" s="311">
        <f t="shared" ref="F155:H155" si="68">SUM(F145:F153)</f>
        <v>0.85499999999550991</v>
      </c>
      <c r="G155" s="311">
        <f t="shared" si="68"/>
        <v>3.5810000000010307</v>
      </c>
      <c r="H155" s="311">
        <f t="shared" si="68"/>
        <v>4.4359999999965405</v>
      </c>
      <c r="I155" s="311"/>
      <c r="J155" s="311">
        <f t="shared" ref="J155:L155" si="69">SUM(J145:J153)</f>
        <v>0.76500000000222212</v>
      </c>
      <c r="K155" s="311">
        <f t="shared" si="69"/>
        <v>3.0950000000077624</v>
      </c>
      <c r="L155" s="311">
        <f t="shared" si="69"/>
        <v>3.8600000000099848</v>
      </c>
      <c r="M155" s="236"/>
      <c r="N155" s="236"/>
    </row>
    <row r="156" spans="1:14" x14ac:dyDescent="0.3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3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35</v>
      </c>
      <c r="M157" s="236"/>
      <c r="N157" s="236"/>
    </row>
    <row r="158" spans="1:14" x14ac:dyDescent="0.3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3">
      <c r="A159" s="241" t="str">
        <f>name!A12</f>
        <v>Printing and recording</v>
      </c>
      <c r="B159" s="373">
        <f>B$6</f>
        <v>2015</v>
      </c>
      <c r="C159" s="373"/>
      <c r="D159" s="373"/>
      <c r="E159" s="253"/>
      <c r="F159" s="373">
        <f>F142</f>
        <v>2020</v>
      </c>
      <c r="G159" s="373"/>
      <c r="H159" s="373"/>
      <c r="I159" s="253"/>
      <c r="J159" s="373">
        <f>J142</f>
        <v>2035</v>
      </c>
      <c r="K159" s="373"/>
      <c r="L159" s="373"/>
      <c r="M159" s="236"/>
      <c r="N159" s="236"/>
    </row>
    <row r="160" spans="1:14" x14ac:dyDescent="0.3">
      <c r="A160" s="254"/>
      <c r="B160" s="255" t="s">
        <v>352</v>
      </c>
      <c r="C160" s="255" t="s">
        <v>353</v>
      </c>
      <c r="D160" s="255" t="s">
        <v>32</v>
      </c>
      <c r="E160" s="255"/>
      <c r="F160" s="255" t="s">
        <v>352</v>
      </c>
      <c r="G160" s="255" t="s">
        <v>353</v>
      </c>
      <c r="H160" s="255" t="s">
        <v>32</v>
      </c>
      <c r="I160" s="255"/>
      <c r="J160" s="255" t="s">
        <v>352</v>
      </c>
      <c r="K160" s="255" t="s">
        <v>353</v>
      </c>
      <c r="L160" s="255" t="s">
        <v>32</v>
      </c>
      <c r="M160" s="236"/>
      <c r="N160" s="236"/>
    </row>
    <row r="161" spans="1:14" x14ac:dyDescent="0.3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3">
      <c r="A162" s="237" t="str">
        <f>name!E$4</f>
        <v>Managers, directors and senior officials</v>
      </c>
      <c r="B162" s="302">
        <v>0.35723693410188195</v>
      </c>
      <c r="C162" s="302">
        <v>1.8096156831035819</v>
      </c>
      <c r="D162" s="302">
        <f>SUM(B162:C162)</f>
        <v>2.1668526172054641</v>
      </c>
      <c r="E162" s="303"/>
      <c r="F162" s="302">
        <v>0.30145982422695278</v>
      </c>
      <c r="G162" s="302">
        <v>1.5716550002539893</v>
      </c>
      <c r="H162" s="302">
        <f>SUM(F162:G162)</f>
        <v>1.8731148244809421</v>
      </c>
      <c r="I162" s="303"/>
      <c r="J162" s="302">
        <v>0.31989184855148389</v>
      </c>
      <c r="K162" s="302">
        <v>1.4578658437360843</v>
      </c>
      <c r="L162" s="302">
        <f>SUM(J162:K162)</f>
        <v>1.7777576922875682</v>
      </c>
      <c r="M162" s="236"/>
      <c r="N162" s="236"/>
    </row>
    <row r="163" spans="1:14" x14ac:dyDescent="0.3">
      <c r="A163" s="237" t="str">
        <f>name!E$5</f>
        <v>Professional occupations</v>
      </c>
      <c r="B163" s="302">
        <v>0.48116907944743736</v>
      </c>
      <c r="C163" s="302">
        <v>1.4655058496071838</v>
      </c>
      <c r="D163" s="302">
        <f t="shared" ref="D163:D170" si="70">SUM(B163:C163)</f>
        <v>1.946674929054621</v>
      </c>
      <c r="E163" s="303"/>
      <c r="F163" s="302">
        <v>0.46830025437639478</v>
      </c>
      <c r="G163" s="302">
        <v>1.4901041817219476</v>
      </c>
      <c r="H163" s="302">
        <f t="shared" ref="H163:H170" si="71">SUM(F163:G163)</f>
        <v>1.9584044360983424</v>
      </c>
      <c r="I163" s="303"/>
      <c r="J163" s="302">
        <v>0.54266548907036027</v>
      </c>
      <c r="K163" s="302">
        <v>1.5050376369333678</v>
      </c>
      <c r="L163" s="302">
        <f t="shared" ref="L163:L170" si="72">SUM(J163:K163)</f>
        <v>2.0477031260037282</v>
      </c>
      <c r="M163" s="236"/>
      <c r="N163" s="236"/>
    </row>
    <row r="164" spans="1:14" x14ac:dyDescent="0.3">
      <c r="A164" s="237" t="str">
        <f>name!E$6</f>
        <v>Associate professional occupations</v>
      </c>
      <c r="B164" s="302">
        <v>1.0523760907432906</v>
      </c>
      <c r="C164" s="302">
        <v>1.6795073064910464</v>
      </c>
      <c r="D164" s="302">
        <f t="shared" si="70"/>
        <v>2.7318833972343368</v>
      </c>
      <c r="E164" s="303"/>
      <c r="F164" s="302">
        <v>0.83919883741156787</v>
      </c>
      <c r="G164" s="302">
        <v>1.6224805023461606</v>
      </c>
      <c r="H164" s="302">
        <f t="shared" si="71"/>
        <v>2.4616793397577283</v>
      </c>
      <c r="I164" s="303"/>
      <c r="J164" s="302">
        <v>0.90448418687100818</v>
      </c>
      <c r="K164" s="302">
        <v>1.445975866643505</v>
      </c>
      <c r="L164" s="302">
        <f t="shared" si="72"/>
        <v>2.3504600535145133</v>
      </c>
      <c r="M164" s="236"/>
      <c r="N164" s="236"/>
    </row>
    <row r="165" spans="1:14" x14ac:dyDescent="0.3">
      <c r="A165" s="237" t="str">
        <f>name!E$7</f>
        <v>Administrative and secretarial occupations</v>
      </c>
      <c r="B165" s="302">
        <v>0.51021658378560941</v>
      </c>
      <c r="C165" s="302">
        <v>0.23271660711211178</v>
      </c>
      <c r="D165" s="302">
        <f t="shared" si="70"/>
        <v>0.74293319089772125</v>
      </c>
      <c r="E165" s="303"/>
      <c r="F165" s="302">
        <v>0.48135096537472932</v>
      </c>
      <c r="G165" s="302">
        <v>0.23969498512893245</v>
      </c>
      <c r="H165" s="302">
        <f t="shared" si="71"/>
        <v>0.72104595050366171</v>
      </c>
      <c r="I165" s="303"/>
      <c r="J165" s="302">
        <v>0.30264368629345978</v>
      </c>
      <c r="K165" s="302">
        <v>0.19194287848098227</v>
      </c>
      <c r="L165" s="302">
        <f t="shared" si="72"/>
        <v>0.49458656477444207</v>
      </c>
      <c r="M165" s="236"/>
      <c r="N165" s="236"/>
    </row>
    <row r="166" spans="1:14" x14ac:dyDescent="0.3">
      <c r="A166" s="237" t="str">
        <f>name!E$8</f>
        <v>Skilled trades occupations</v>
      </c>
      <c r="B166" s="302">
        <v>0.1635398540654035</v>
      </c>
      <c r="C166" s="302">
        <v>1.2317438101287748</v>
      </c>
      <c r="D166" s="302">
        <f t="shared" si="70"/>
        <v>1.3952836641941784</v>
      </c>
      <c r="E166" s="303"/>
      <c r="F166" s="302">
        <v>0.11378073225727758</v>
      </c>
      <c r="G166" s="302">
        <v>0.74771887365234979</v>
      </c>
      <c r="H166" s="302">
        <f t="shared" si="71"/>
        <v>0.86149960590962738</v>
      </c>
      <c r="I166" s="303"/>
      <c r="J166" s="302">
        <v>7.8209011447975652E-2</v>
      </c>
      <c r="K166" s="302">
        <v>0.4261232059603785</v>
      </c>
      <c r="L166" s="302">
        <f t="shared" si="72"/>
        <v>0.50433221740835421</v>
      </c>
      <c r="M166" s="236"/>
      <c r="N166" s="236"/>
    </row>
    <row r="167" spans="1:14" x14ac:dyDescent="0.3">
      <c r="A167" s="237" t="str">
        <f>name!E$9</f>
        <v>Caring, leisure and other service occupations</v>
      </c>
      <c r="B167" s="302">
        <v>2.3275707919237495E-2</v>
      </c>
      <c r="C167" s="302">
        <v>3.0691776729391211E-2</v>
      </c>
      <c r="D167" s="302">
        <f t="shared" si="70"/>
        <v>5.3967484648628702E-2</v>
      </c>
      <c r="E167" s="303"/>
      <c r="F167" s="302">
        <v>1.8571869164583373E-2</v>
      </c>
      <c r="G167" s="302">
        <v>4.5740324743152629E-2</v>
      </c>
      <c r="H167" s="302">
        <f t="shared" si="71"/>
        <v>6.4312193907736001E-2</v>
      </c>
      <c r="I167" s="303"/>
      <c r="J167" s="302">
        <v>1.5080168252435159E-2</v>
      </c>
      <c r="K167" s="302">
        <v>4.5365051850057368E-2</v>
      </c>
      <c r="L167" s="302">
        <f t="shared" si="72"/>
        <v>6.0445220102492529E-2</v>
      </c>
      <c r="M167" s="236"/>
      <c r="N167" s="236"/>
    </row>
    <row r="168" spans="1:14" x14ac:dyDescent="0.3">
      <c r="A168" s="237" t="str">
        <f>name!E$10</f>
        <v>Sales and customer service occupations</v>
      </c>
      <c r="B168" s="302">
        <v>0.26316591666229205</v>
      </c>
      <c r="C168" s="302">
        <v>0.25486321952043267</v>
      </c>
      <c r="D168" s="302">
        <f t="shared" si="70"/>
        <v>0.51802913618272473</v>
      </c>
      <c r="E168" s="303"/>
      <c r="F168" s="302">
        <v>0.20496760731305336</v>
      </c>
      <c r="G168" s="302">
        <v>0.2436994482535759</v>
      </c>
      <c r="H168" s="302">
        <f t="shared" si="71"/>
        <v>0.44866705556662922</v>
      </c>
      <c r="I168" s="303"/>
      <c r="J168" s="302">
        <v>0.18730313397982318</v>
      </c>
      <c r="K168" s="302">
        <v>0.2312730265243442</v>
      </c>
      <c r="L168" s="302">
        <f t="shared" si="72"/>
        <v>0.41857616050416735</v>
      </c>
      <c r="M168" s="236"/>
      <c r="N168" s="236"/>
    </row>
    <row r="169" spans="1:14" x14ac:dyDescent="0.3">
      <c r="A169" s="237" t="str">
        <f>name!E$11</f>
        <v>Process, plant and machine operatives</v>
      </c>
      <c r="B169" s="302">
        <v>7.31894468265155E-2</v>
      </c>
      <c r="C169" s="302">
        <v>0.34459211296745768</v>
      </c>
      <c r="D169" s="302">
        <f t="shared" si="70"/>
        <v>0.41778155979397319</v>
      </c>
      <c r="E169" s="303"/>
      <c r="F169" s="302">
        <v>5.3632539156868893E-2</v>
      </c>
      <c r="G169" s="302">
        <v>0.34406230853504421</v>
      </c>
      <c r="H169" s="302">
        <f t="shared" si="71"/>
        <v>0.3976948476919131</v>
      </c>
      <c r="I169" s="303"/>
      <c r="J169" s="302">
        <v>7.5544882395974608E-2</v>
      </c>
      <c r="K169" s="302">
        <v>0.30599721727749007</v>
      </c>
      <c r="L169" s="302">
        <f t="shared" si="72"/>
        <v>0.3815420996734647</v>
      </c>
      <c r="M169" s="236"/>
      <c r="N169" s="236"/>
    </row>
    <row r="170" spans="1:14" x14ac:dyDescent="0.3">
      <c r="A170" s="237" t="str">
        <f>name!E$12</f>
        <v>Elementary occupations</v>
      </c>
      <c r="B170" s="302">
        <v>0.35983038643102594</v>
      </c>
      <c r="C170" s="302">
        <v>0.63676363434125505</v>
      </c>
      <c r="D170" s="302">
        <f t="shared" si="70"/>
        <v>0.99659402077228099</v>
      </c>
      <c r="E170" s="303"/>
      <c r="F170" s="302">
        <v>0.35673737071488132</v>
      </c>
      <c r="G170" s="302">
        <v>0.74284437535660586</v>
      </c>
      <c r="H170" s="302">
        <f t="shared" si="71"/>
        <v>1.0995817460714872</v>
      </c>
      <c r="I170" s="303"/>
      <c r="J170" s="302">
        <v>0.26317759314830347</v>
      </c>
      <c r="K170" s="302">
        <v>0.51741927260484433</v>
      </c>
      <c r="L170" s="302">
        <f t="shared" si="72"/>
        <v>0.78059686575314779</v>
      </c>
      <c r="M170" s="236"/>
      <c r="N170" s="236"/>
    </row>
    <row r="171" spans="1:14" x14ac:dyDescent="0.3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3">
      <c r="A172" s="244" t="s">
        <v>32</v>
      </c>
      <c r="B172" s="311">
        <f>SUM(B162:B170)</f>
        <v>3.2839999999826937</v>
      </c>
      <c r="C172" s="311">
        <f t="shared" ref="C172:D172" si="73">SUM(C162:C170)</f>
        <v>7.6860000000012345</v>
      </c>
      <c r="D172" s="311">
        <f t="shared" si="73"/>
        <v>10.96999999998393</v>
      </c>
      <c r="E172" s="311"/>
      <c r="F172" s="311">
        <f t="shared" ref="F172:H172" si="74">SUM(F162:F170)</f>
        <v>2.8379999999963097</v>
      </c>
      <c r="G172" s="311">
        <f t="shared" si="74"/>
        <v>7.0479999999917577</v>
      </c>
      <c r="H172" s="311">
        <f t="shared" si="74"/>
        <v>9.8859999999880674</v>
      </c>
      <c r="I172" s="311"/>
      <c r="J172" s="311">
        <f t="shared" ref="J172:L172" si="75">SUM(J162:J170)</f>
        <v>2.6890000000108247</v>
      </c>
      <c r="K172" s="311">
        <f t="shared" si="75"/>
        <v>6.1270000000110532</v>
      </c>
      <c r="L172" s="311">
        <f t="shared" si="75"/>
        <v>8.8160000000218783</v>
      </c>
      <c r="M172" s="236"/>
      <c r="N172" s="236"/>
    </row>
    <row r="173" spans="1:14" x14ac:dyDescent="0.3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3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35</v>
      </c>
      <c r="M174" s="236"/>
      <c r="N174" s="236"/>
    </row>
    <row r="175" spans="1:14" x14ac:dyDescent="0.3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3">
      <c r="A176" s="241" t="str">
        <f>name!A13</f>
        <v>Coke and petroleum; Chemicals, etc</v>
      </c>
      <c r="B176" s="373">
        <f>B$6</f>
        <v>2015</v>
      </c>
      <c r="C176" s="373"/>
      <c r="D176" s="373"/>
      <c r="E176" s="253"/>
      <c r="F176" s="373">
        <f>F159</f>
        <v>2020</v>
      </c>
      <c r="G176" s="373"/>
      <c r="H176" s="373"/>
      <c r="I176" s="253"/>
      <c r="J176" s="373">
        <f>J159</f>
        <v>2035</v>
      </c>
      <c r="K176" s="373"/>
      <c r="L176" s="373"/>
      <c r="M176" s="236"/>
      <c r="N176" s="236"/>
    </row>
    <row r="177" spans="1:14" x14ac:dyDescent="0.3">
      <c r="A177" s="254"/>
      <c r="B177" s="255" t="s">
        <v>352</v>
      </c>
      <c r="C177" s="255" t="s">
        <v>353</v>
      </c>
      <c r="D177" s="255" t="s">
        <v>32</v>
      </c>
      <c r="E177" s="255"/>
      <c r="F177" s="255" t="s">
        <v>352</v>
      </c>
      <c r="G177" s="255" t="s">
        <v>353</v>
      </c>
      <c r="H177" s="255" t="s">
        <v>32</v>
      </c>
      <c r="I177" s="255"/>
      <c r="J177" s="255" t="s">
        <v>352</v>
      </c>
      <c r="K177" s="255" t="s">
        <v>353</v>
      </c>
      <c r="L177" s="255" t="s">
        <v>32</v>
      </c>
      <c r="M177" s="236"/>
      <c r="N177" s="236"/>
    </row>
    <row r="178" spans="1:14" x14ac:dyDescent="0.3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3">
      <c r="A179" s="237" t="str">
        <f>name!E$4</f>
        <v>Managers, directors and senior officials</v>
      </c>
      <c r="B179" s="302">
        <v>0.25077172899674866</v>
      </c>
      <c r="C179" s="302">
        <v>0.97635189857163351</v>
      </c>
      <c r="D179" s="302">
        <f>SUM(B179:C179)</f>
        <v>1.2271236275683821</v>
      </c>
      <c r="E179" s="303"/>
      <c r="F179" s="302">
        <v>0.29318612102384634</v>
      </c>
      <c r="G179" s="302">
        <v>1.1310568757292916</v>
      </c>
      <c r="H179" s="302">
        <f>SUM(F179:G179)</f>
        <v>1.4242429967531378</v>
      </c>
      <c r="I179" s="303"/>
      <c r="J179" s="302">
        <v>0.26487041867738359</v>
      </c>
      <c r="K179" s="302">
        <v>0.91896734250497902</v>
      </c>
      <c r="L179" s="302">
        <f>SUM(J179:K179)</f>
        <v>1.1838377611823625</v>
      </c>
      <c r="M179" s="236"/>
      <c r="N179" s="236"/>
    </row>
    <row r="180" spans="1:14" x14ac:dyDescent="0.3">
      <c r="A180" s="237" t="str">
        <f>name!E$5</f>
        <v>Professional occupations</v>
      </c>
      <c r="B180" s="302">
        <v>0.38857096392102686</v>
      </c>
      <c r="C180" s="302">
        <v>1.9492924749424092</v>
      </c>
      <c r="D180" s="302">
        <f t="shared" ref="D180:D187" si="76">SUM(B180:C180)</f>
        <v>2.3378634388634358</v>
      </c>
      <c r="E180" s="303"/>
      <c r="F180" s="302">
        <v>0.50922149966008556</v>
      </c>
      <c r="G180" s="302">
        <v>2.5186622799207083</v>
      </c>
      <c r="H180" s="302">
        <f t="shared" ref="H180:H187" si="77">SUM(F180:G180)</f>
        <v>3.0278837795807938</v>
      </c>
      <c r="I180" s="303"/>
      <c r="J180" s="302">
        <v>0.52754456829626006</v>
      </c>
      <c r="K180" s="302">
        <v>2.2440559169780281</v>
      </c>
      <c r="L180" s="302">
        <f t="shared" ref="L180:L187" si="78">SUM(J180:K180)</f>
        <v>2.7716004852742882</v>
      </c>
      <c r="M180" s="236"/>
      <c r="N180" s="236"/>
    </row>
    <row r="181" spans="1:14" x14ac:dyDescent="0.3">
      <c r="A181" s="237" t="str">
        <f>name!E$6</f>
        <v>Associate professional occupations</v>
      </c>
      <c r="B181" s="302">
        <v>0.35996003449725733</v>
      </c>
      <c r="C181" s="302">
        <v>0.89524402318397245</v>
      </c>
      <c r="D181" s="302">
        <f t="shared" si="76"/>
        <v>1.2552040576812298</v>
      </c>
      <c r="E181" s="303"/>
      <c r="F181" s="302">
        <v>0.41636269299974943</v>
      </c>
      <c r="G181" s="302">
        <v>1.1299804149540891</v>
      </c>
      <c r="H181" s="302">
        <f t="shared" si="77"/>
        <v>1.5463431079538386</v>
      </c>
      <c r="I181" s="303"/>
      <c r="J181" s="302">
        <v>0.37931311681172464</v>
      </c>
      <c r="K181" s="302">
        <v>0.84884327691465533</v>
      </c>
      <c r="L181" s="302">
        <f t="shared" si="78"/>
        <v>1.22815639372638</v>
      </c>
      <c r="M181" s="236"/>
      <c r="N181" s="236"/>
    </row>
    <row r="182" spans="1:14" x14ac:dyDescent="0.3">
      <c r="A182" s="237" t="str">
        <f>name!E$7</f>
        <v>Administrative and secretarial occupations</v>
      </c>
      <c r="B182" s="302">
        <v>0.37565064496858191</v>
      </c>
      <c r="C182" s="302">
        <v>0.45751519579116168</v>
      </c>
      <c r="D182" s="302">
        <f t="shared" si="76"/>
        <v>0.83316584075974354</v>
      </c>
      <c r="E182" s="303"/>
      <c r="F182" s="302">
        <v>0.3468664375131581</v>
      </c>
      <c r="G182" s="302">
        <v>0.5263587847876956</v>
      </c>
      <c r="H182" s="302">
        <f t="shared" si="77"/>
        <v>0.87322522230085364</v>
      </c>
      <c r="I182" s="303"/>
      <c r="J182" s="302">
        <v>0.22132607091068671</v>
      </c>
      <c r="K182" s="302">
        <v>0.41591075535828353</v>
      </c>
      <c r="L182" s="302">
        <f t="shared" si="78"/>
        <v>0.63723682626897027</v>
      </c>
      <c r="M182" s="236"/>
      <c r="N182" s="236"/>
    </row>
    <row r="183" spans="1:14" x14ac:dyDescent="0.3">
      <c r="A183" s="237" t="str">
        <f>name!E$8</f>
        <v>Skilled trades occupations</v>
      </c>
      <c r="B183" s="302">
        <v>0.10494060183010785</v>
      </c>
      <c r="C183" s="302">
        <v>0.52343495259320794</v>
      </c>
      <c r="D183" s="302">
        <f t="shared" si="76"/>
        <v>0.62837555442331583</v>
      </c>
      <c r="E183" s="303"/>
      <c r="F183" s="302">
        <v>7.7670376540511857E-2</v>
      </c>
      <c r="G183" s="302">
        <v>0.46468610719190329</v>
      </c>
      <c r="H183" s="302">
        <f t="shared" si="77"/>
        <v>0.54235648373241518</v>
      </c>
      <c r="I183" s="303"/>
      <c r="J183" s="302">
        <v>9.4504268209531533E-2</v>
      </c>
      <c r="K183" s="302">
        <v>0.33062081962610612</v>
      </c>
      <c r="L183" s="302">
        <f t="shared" si="78"/>
        <v>0.42512508783563763</v>
      </c>
      <c r="M183" s="236"/>
      <c r="N183" s="236"/>
    </row>
    <row r="184" spans="1:14" x14ac:dyDescent="0.3">
      <c r="A184" s="237" t="str">
        <f>name!E$9</f>
        <v>Caring, leisure and other service occupations</v>
      </c>
      <c r="B184" s="302">
        <v>9.6687483439306374E-2</v>
      </c>
      <c r="C184" s="302">
        <v>3.2997721868430301E-2</v>
      </c>
      <c r="D184" s="302">
        <f t="shared" si="76"/>
        <v>0.12968520530773667</v>
      </c>
      <c r="E184" s="303"/>
      <c r="F184" s="302">
        <v>9.0806951914358405E-2</v>
      </c>
      <c r="G184" s="302">
        <v>4.2650380212866941E-2</v>
      </c>
      <c r="H184" s="302">
        <f t="shared" si="77"/>
        <v>0.13345733212722535</v>
      </c>
      <c r="I184" s="303"/>
      <c r="J184" s="302">
        <v>6.9524168687096335E-2</v>
      </c>
      <c r="K184" s="302">
        <v>4.8782276184072555E-2</v>
      </c>
      <c r="L184" s="302">
        <f t="shared" si="78"/>
        <v>0.1183064448711689</v>
      </c>
      <c r="M184" s="236"/>
      <c r="N184" s="236"/>
    </row>
    <row r="185" spans="1:14" x14ac:dyDescent="0.3">
      <c r="A185" s="237" t="str">
        <f>name!E$10</f>
        <v>Sales and customer service occupations</v>
      </c>
      <c r="B185" s="302">
        <v>0.22522303582240466</v>
      </c>
      <c r="C185" s="302">
        <v>9.1119757805576226E-2</v>
      </c>
      <c r="D185" s="302">
        <f t="shared" si="76"/>
        <v>0.3163427936279809</v>
      </c>
      <c r="E185" s="303"/>
      <c r="F185" s="302">
        <v>0.19974693519375655</v>
      </c>
      <c r="G185" s="302">
        <v>9.9767030569843262E-2</v>
      </c>
      <c r="H185" s="302">
        <f t="shared" si="77"/>
        <v>0.29951396576359979</v>
      </c>
      <c r="I185" s="303"/>
      <c r="J185" s="302">
        <v>0.17362354829273502</v>
      </c>
      <c r="K185" s="302">
        <v>9.6148098360463674E-2</v>
      </c>
      <c r="L185" s="302">
        <f t="shared" si="78"/>
        <v>0.26977164665319869</v>
      </c>
      <c r="M185" s="236"/>
      <c r="N185" s="236"/>
    </row>
    <row r="186" spans="1:14" x14ac:dyDescent="0.3">
      <c r="A186" s="237" t="str">
        <f>name!E$11</f>
        <v>Process, plant and machine operatives</v>
      </c>
      <c r="B186" s="302">
        <v>0.19729877585551134</v>
      </c>
      <c r="C186" s="302">
        <v>0.92880258648613945</v>
      </c>
      <c r="D186" s="302">
        <f t="shared" si="76"/>
        <v>1.1261013623416507</v>
      </c>
      <c r="E186" s="303"/>
      <c r="F186" s="302">
        <v>0.15250411132148509</v>
      </c>
      <c r="G186" s="302">
        <v>0.76019230440514363</v>
      </c>
      <c r="H186" s="302">
        <f t="shared" si="77"/>
        <v>0.91269641572662874</v>
      </c>
      <c r="I186" s="303"/>
      <c r="J186" s="302">
        <v>0.11874227683539969</v>
      </c>
      <c r="K186" s="302">
        <v>0.59221741484811441</v>
      </c>
      <c r="L186" s="302">
        <f t="shared" si="78"/>
        <v>0.71095969168351414</v>
      </c>
      <c r="M186" s="236"/>
      <c r="N186" s="236"/>
    </row>
    <row r="187" spans="1:14" x14ac:dyDescent="0.3">
      <c r="A187" s="237" t="str">
        <f>name!E$12</f>
        <v>Elementary occupations</v>
      </c>
      <c r="B187" s="302">
        <v>0.47089673066908677</v>
      </c>
      <c r="C187" s="302">
        <v>0.3872413887352259</v>
      </c>
      <c r="D187" s="302">
        <f t="shared" si="76"/>
        <v>0.85813811940431273</v>
      </c>
      <c r="E187" s="303"/>
      <c r="F187" s="302">
        <v>0.3106348738145297</v>
      </c>
      <c r="G187" s="302">
        <v>0.32964582220464983</v>
      </c>
      <c r="H187" s="302">
        <f t="shared" si="77"/>
        <v>0.64028069601917958</v>
      </c>
      <c r="I187" s="303"/>
      <c r="J187" s="302">
        <v>0.2655515632782684</v>
      </c>
      <c r="K187" s="302">
        <v>0.20045409920631629</v>
      </c>
      <c r="L187" s="302">
        <f t="shared" si="78"/>
        <v>0.46600566248458469</v>
      </c>
      <c r="M187" s="236"/>
      <c r="N187" s="236"/>
    </row>
    <row r="188" spans="1:14" x14ac:dyDescent="0.3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3">
      <c r="A189" s="244" t="s">
        <v>32</v>
      </c>
      <c r="B189" s="311">
        <f>SUM(B179:B187)</f>
        <v>2.4700000000000317</v>
      </c>
      <c r="C189" s="311">
        <f t="shared" ref="C189:D189" si="79">SUM(C179:C187)</f>
        <v>6.2419999999777565</v>
      </c>
      <c r="D189" s="311">
        <f t="shared" si="79"/>
        <v>8.7119999999777864</v>
      </c>
      <c r="E189" s="311"/>
      <c r="F189" s="311">
        <f t="shared" ref="F189:H189" si="80">SUM(F179:F187)</f>
        <v>2.3969999999814808</v>
      </c>
      <c r="G189" s="311">
        <f t="shared" si="80"/>
        <v>7.0029999999761907</v>
      </c>
      <c r="H189" s="311">
        <f t="shared" si="80"/>
        <v>9.3999999999576715</v>
      </c>
      <c r="I189" s="311"/>
      <c r="J189" s="311">
        <f t="shared" ref="J189:L189" si="81">SUM(J179:J187)</f>
        <v>2.1149999999990863</v>
      </c>
      <c r="K189" s="311">
        <f t="shared" si="81"/>
        <v>5.6959999999810194</v>
      </c>
      <c r="L189" s="311">
        <f t="shared" si="81"/>
        <v>7.8109999999801047</v>
      </c>
      <c r="M189" s="236"/>
      <c r="N189" s="236"/>
    </row>
    <row r="190" spans="1:14" x14ac:dyDescent="0.3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3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35</v>
      </c>
      <c r="M191" s="236"/>
      <c r="N191" s="236"/>
    </row>
    <row r="192" spans="1:14" x14ac:dyDescent="0.3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3">
      <c r="A193" s="241" t="str">
        <f>name!A14</f>
        <v>Pharmaceuticals</v>
      </c>
      <c r="B193" s="373">
        <f>B$6</f>
        <v>2015</v>
      </c>
      <c r="C193" s="373"/>
      <c r="D193" s="373"/>
      <c r="E193" s="253"/>
      <c r="F193" s="373">
        <f>F176</f>
        <v>2020</v>
      </c>
      <c r="G193" s="373"/>
      <c r="H193" s="373"/>
      <c r="I193" s="253"/>
      <c r="J193" s="373">
        <f>J176</f>
        <v>2035</v>
      </c>
      <c r="K193" s="373"/>
      <c r="L193" s="373"/>
      <c r="M193" s="236"/>
      <c r="N193" s="236"/>
    </row>
    <row r="194" spans="1:14" x14ac:dyDescent="0.3">
      <c r="A194" s="254"/>
      <c r="B194" s="255" t="s">
        <v>352</v>
      </c>
      <c r="C194" s="255" t="s">
        <v>353</v>
      </c>
      <c r="D194" s="255" t="s">
        <v>32</v>
      </c>
      <c r="E194" s="255"/>
      <c r="F194" s="255" t="s">
        <v>352</v>
      </c>
      <c r="G194" s="255" t="s">
        <v>353</v>
      </c>
      <c r="H194" s="255" t="s">
        <v>32</v>
      </c>
      <c r="I194" s="255"/>
      <c r="J194" s="255" t="s">
        <v>352</v>
      </c>
      <c r="K194" s="255" t="s">
        <v>353</v>
      </c>
      <c r="L194" s="255" t="s">
        <v>32</v>
      </c>
      <c r="M194" s="236"/>
      <c r="N194" s="236"/>
    </row>
    <row r="195" spans="1:14" x14ac:dyDescent="0.3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3">
      <c r="A196" s="237" t="str">
        <f>name!E$4</f>
        <v>Managers, directors and senior officials</v>
      </c>
      <c r="B196" s="302">
        <v>0.17486230180334875</v>
      </c>
      <c r="C196" s="302">
        <v>0.52804431352181924</v>
      </c>
      <c r="D196" s="302">
        <f>SUM(B196:C196)</f>
        <v>0.70290661532516796</v>
      </c>
      <c r="E196" s="303"/>
      <c r="F196" s="302">
        <v>0.15742916498010393</v>
      </c>
      <c r="G196" s="302">
        <v>0.57985498731078433</v>
      </c>
      <c r="H196" s="302">
        <f>SUM(F196:G196)</f>
        <v>0.73728415229088828</v>
      </c>
      <c r="I196" s="303"/>
      <c r="J196" s="302">
        <v>0.17930456857510343</v>
      </c>
      <c r="K196" s="302">
        <v>0.66404889913910181</v>
      </c>
      <c r="L196" s="302">
        <f>SUM(J196:K196)</f>
        <v>0.84335346771420527</v>
      </c>
      <c r="M196" s="236"/>
      <c r="N196" s="236"/>
    </row>
    <row r="197" spans="1:14" x14ac:dyDescent="0.3">
      <c r="A197" s="237" t="str">
        <f>name!E$5</f>
        <v>Professional occupations</v>
      </c>
      <c r="B197" s="302">
        <v>0.80370648422048807</v>
      </c>
      <c r="C197" s="302">
        <v>1.3858145738122938</v>
      </c>
      <c r="D197" s="302">
        <f t="shared" ref="D197:D204" si="82">SUM(B197:C197)</f>
        <v>2.1895210580327817</v>
      </c>
      <c r="E197" s="303"/>
      <c r="F197" s="302">
        <v>0.85538489276408558</v>
      </c>
      <c r="G197" s="302">
        <v>1.3694470734721802</v>
      </c>
      <c r="H197" s="302">
        <f t="shared" ref="H197:H204" si="83">SUM(F197:G197)</f>
        <v>2.2248319662362657</v>
      </c>
      <c r="I197" s="303"/>
      <c r="J197" s="302">
        <v>1.0682789564315185</v>
      </c>
      <c r="K197" s="302">
        <v>1.6781942197956783</v>
      </c>
      <c r="L197" s="302">
        <f t="shared" ref="L197:L204" si="84">SUM(J197:K197)</f>
        <v>2.7464731762271968</v>
      </c>
      <c r="M197" s="236"/>
      <c r="N197" s="236"/>
    </row>
    <row r="198" spans="1:14" x14ac:dyDescent="0.3">
      <c r="A198" s="237" t="str">
        <f>name!E$6</f>
        <v>Associate professional occupations</v>
      </c>
      <c r="B198" s="302">
        <v>0.43972315508912857</v>
      </c>
      <c r="C198" s="302">
        <v>0.4905265463087311</v>
      </c>
      <c r="D198" s="302">
        <f t="shared" si="82"/>
        <v>0.93024970139785967</v>
      </c>
      <c r="E198" s="303"/>
      <c r="F198" s="302">
        <v>0.41509436779401937</v>
      </c>
      <c r="G198" s="302">
        <v>0.50083354537960434</v>
      </c>
      <c r="H198" s="302">
        <f t="shared" si="83"/>
        <v>0.91592791317362376</v>
      </c>
      <c r="I198" s="303"/>
      <c r="J198" s="302">
        <v>0.46467662331951304</v>
      </c>
      <c r="K198" s="302">
        <v>0.50591381275581093</v>
      </c>
      <c r="L198" s="302">
        <f t="shared" si="84"/>
        <v>0.97059043607532391</v>
      </c>
      <c r="M198" s="236"/>
      <c r="N198" s="236"/>
    </row>
    <row r="199" spans="1:14" x14ac:dyDescent="0.3">
      <c r="A199" s="237" t="str">
        <f>name!E$7</f>
        <v>Administrative and secretarial occupations</v>
      </c>
      <c r="B199" s="302">
        <v>0.27908906390925586</v>
      </c>
      <c r="C199" s="302">
        <v>7.6495833237480687E-2</v>
      </c>
      <c r="D199" s="302">
        <f t="shared" si="82"/>
        <v>0.35558489714673658</v>
      </c>
      <c r="E199" s="303"/>
      <c r="F199" s="302">
        <v>0.20514018771520129</v>
      </c>
      <c r="G199" s="302">
        <v>7.6282456074015986E-2</v>
      </c>
      <c r="H199" s="302">
        <f t="shared" si="83"/>
        <v>0.28142264378921727</v>
      </c>
      <c r="I199" s="303"/>
      <c r="J199" s="302">
        <v>0.14559785101053047</v>
      </c>
      <c r="K199" s="302">
        <v>9.1553358004484511E-2</v>
      </c>
      <c r="L199" s="302">
        <f t="shared" si="84"/>
        <v>0.23715120901501496</v>
      </c>
      <c r="M199" s="236"/>
      <c r="N199" s="236"/>
    </row>
    <row r="200" spans="1:14" x14ac:dyDescent="0.3">
      <c r="A200" s="237" t="str">
        <f>name!E$8</f>
        <v>Skilled trades occupations</v>
      </c>
      <c r="B200" s="302">
        <v>2.3516359155398646E-2</v>
      </c>
      <c r="C200" s="302">
        <v>0.28955202322266033</v>
      </c>
      <c r="D200" s="302">
        <f t="shared" si="82"/>
        <v>0.31306838237805895</v>
      </c>
      <c r="E200" s="303"/>
      <c r="F200" s="302">
        <v>1.4740867354226016E-2</v>
      </c>
      <c r="G200" s="302">
        <v>0.38781252296380775</v>
      </c>
      <c r="H200" s="302">
        <f t="shared" si="83"/>
        <v>0.40255339031803378</v>
      </c>
      <c r="I200" s="303"/>
      <c r="J200" s="302">
        <v>2.8072192884502783E-2</v>
      </c>
      <c r="K200" s="302">
        <v>0.53900818616214963</v>
      </c>
      <c r="L200" s="302">
        <f t="shared" si="84"/>
        <v>0.56708037904665243</v>
      </c>
      <c r="M200" s="236"/>
      <c r="N200" s="236"/>
    </row>
    <row r="201" spans="1:14" x14ac:dyDescent="0.3">
      <c r="A201" s="237" t="str">
        <f>name!E$9</f>
        <v>Caring, leisure and other service occupations</v>
      </c>
      <c r="B201" s="302">
        <v>9.726836210579512E-2</v>
      </c>
      <c r="C201" s="302">
        <v>5.2686504347933608E-2</v>
      </c>
      <c r="D201" s="302">
        <f t="shared" si="82"/>
        <v>0.14995486645372874</v>
      </c>
      <c r="E201" s="303"/>
      <c r="F201" s="302">
        <v>3.6832712842193728E-2</v>
      </c>
      <c r="G201" s="302">
        <v>5.1960039809431875E-2</v>
      </c>
      <c r="H201" s="302">
        <f t="shared" si="83"/>
        <v>8.8792752651625603E-2</v>
      </c>
      <c r="I201" s="303"/>
      <c r="J201" s="302">
        <v>3.5574479836110326E-2</v>
      </c>
      <c r="K201" s="302">
        <v>7.1863787335237655E-2</v>
      </c>
      <c r="L201" s="302">
        <f t="shared" si="84"/>
        <v>0.10743826717134798</v>
      </c>
      <c r="M201" s="236"/>
      <c r="N201" s="236"/>
    </row>
    <row r="202" spans="1:14" x14ac:dyDescent="0.3">
      <c r="A202" s="237" t="str">
        <f>name!E$10</f>
        <v>Sales and customer service occupations</v>
      </c>
      <c r="B202" s="302">
        <v>8.4845341425972928E-2</v>
      </c>
      <c r="C202" s="302">
        <v>4.0630630685994061E-2</v>
      </c>
      <c r="D202" s="302">
        <f t="shared" si="82"/>
        <v>0.12547597211196698</v>
      </c>
      <c r="E202" s="303"/>
      <c r="F202" s="302">
        <v>6.0030752146100375E-2</v>
      </c>
      <c r="G202" s="302">
        <v>4.6203925318357764E-2</v>
      </c>
      <c r="H202" s="302">
        <f t="shared" si="83"/>
        <v>0.10623467746445814</v>
      </c>
      <c r="I202" s="303"/>
      <c r="J202" s="302">
        <v>6.7612266151601E-2</v>
      </c>
      <c r="K202" s="302">
        <v>5.6342635870616824E-2</v>
      </c>
      <c r="L202" s="302">
        <f t="shared" si="84"/>
        <v>0.12395490202221782</v>
      </c>
      <c r="M202" s="236"/>
      <c r="N202" s="236"/>
    </row>
    <row r="203" spans="1:14" x14ac:dyDescent="0.3">
      <c r="A203" s="237" t="str">
        <f>name!E$11</f>
        <v>Process, plant and machine operatives</v>
      </c>
      <c r="B203" s="302">
        <v>0.12230574534959485</v>
      </c>
      <c r="C203" s="302">
        <v>0.38586918394946718</v>
      </c>
      <c r="D203" s="302">
        <f t="shared" si="82"/>
        <v>0.50817492929906205</v>
      </c>
      <c r="E203" s="303"/>
      <c r="F203" s="302">
        <v>6.0155999091094876E-2</v>
      </c>
      <c r="G203" s="302">
        <v>0.30974543806446275</v>
      </c>
      <c r="H203" s="302">
        <f t="shared" si="83"/>
        <v>0.36990143715555762</v>
      </c>
      <c r="I203" s="303"/>
      <c r="J203" s="302">
        <v>5.6439922428767733E-2</v>
      </c>
      <c r="K203" s="302">
        <v>0.38469125592521319</v>
      </c>
      <c r="L203" s="302">
        <f t="shared" si="84"/>
        <v>0.44113117835398091</v>
      </c>
      <c r="M203" s="236"/>
      <c r="N203" s="236"/>
    </row>
    <row r="204" spans="1:14" x14ac:dyDescent="0.3">
      <c r="A204" s="237" t="str">
        <f>name!E$12</f>
        <v>Elementary occupations</v>
      </c>
      <c r="B204" s="302">
        <v>0.36568318693234098</v>
      </c>
      <c r="C204" s="302">
        <v>0.1183803909155747</v>
      </c>
      <c r="D204" s="302">
        <f t="shared" si="82"/>
        <v>0.48406357784791565</v>
      </c>
      <c r="E204" s="303"/>
      <c r="F204" s="302">
        <v>9.1191055324379891E-2</v>
      </c>
      <c r="G204" s="302">
        <v>9.9860011591835135E-2</v>
      </c>
      <c r="H204" s="302">
        <f t="shared" si="83"/>
        <v>0.19105106691621504</v>
      </c>
      <c r="I204" s="303"/>
      <c r="J204" s="302">
        <v>9.7443139380285579E-2</v>
      </c>
      <c r="K204" s="302">
        <v>0.11238384498446738</v>
      </c>
      <c r="L204" s="302">
        <f t="shared" si="84"/>
        <v>0.20982698436475294</v>
      </c>
      <c r="M204" s="236"/>
      <c r="N204" s="236"/>
    </row>
    <row r="205" spans="1:14" x14ac:dyDescent="0.3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3">
      <c r="A206" s="244" t="s">
        <v>32</v>
      </c>
      <c r="B206" s="311">
        <f>SUM(B196:B204)</f>
        <v>2.3909999999913234</v>
      </c>
      <c r="C206" s="311">
        <f t="shared" ref="C206:D206" si="85">SUM(C196:C204)</f>
        <v>3.3680000000019552</v>
      </c>
      <c r="D206" s="311">
        <f t="shared" si="85"/>
        <v>5.7589999999932786</v>
      </c>
      <c r="E206" s="311"/>
      <c r="F206" s="311">
        <f t="shared" ref="F206:H206" si="86">SUM(F196:F204)</f>
        <v>1.896000000011405</v>
      </c>
      <c r="G206" s="311">
        <f t="shared" si="86"/>
        <v>3.4219999999844801</v>
      </c>
      <c r="H206" s="311">
        <f t="shared" si="86"/>
        <v>5.3179999999958847</v>
      </c>
      <c r="I206" s="311"/>
      <c r="J206" s="311">
        <f t="shared" ref="J206:L206" si="87">SUM(J196:J204)</f>
        <v>2.143000000017933</v>
      </c>
      <c r="K206" s="311">
        <f t="shared" si="87"/>
        <v>4.1039999999727597</v>
      </c>
      <c r="L206" s="311">
        <f t="shared" si="87"/>
        <v>6.2469999999906936</v>
      </c>
      <c r="M206" s="236"/>
      <c r="N206" s="236"/>
    </row>
    <row r="207" spans="1:14" x14ac:dyDescent="0.3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3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35</v>
      </c>
      <c r="M208" s="236"/>
      <c r="N208" s="236"/>
    </row>
    <row r="209" spans="1:14" x14ac:dyDescent="0.3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3">
      <c r="A210" s="241" t="str">
        <f>name!A15</f>
        <v>Rubber and plastic</v>
      </c>
      <c r="B210" s="373">
        <f>B$6</f>
        <v>2015</v>
      </c>
      <c r="C210" s="373"/>
      <c r="D210" s="373"/>
      <c r="E210" s="253"/>
      <c r="F210" s="373">
        <f>F193</f>
        <v>2020</v>
      </c>
      <c r="G210" s="373"/>
      <c r="H210" s="373"/>
      <c r="I210" s="253"/>
      <c r="J210" s="373">
        <f>J193</f>
        <v>2035</v>
      </c>
      <c r="K210" s="373"/>
      <c r="L210" s="373"/>
      <c r="M210" s="236"/>
      <c r="N210" s="236"/>
    </row>
    <row r="211" spans="1:14" x14ac:dyDescent="0.3">
      <c r="A211" s="254"/>
      <c r="B211" s="255" t="s">
        <v>352</v>
      </c>
      <c r="C211" s="255" t="s">
        <v>353</v>
      </c>
      <c r="D211" s="255" t="s">
        <v>32</v>
      </c>
      <c r="E211" s="255"/>
      <c r="F211" s="255" t="s">
        <v>352</v>
      </c>
      <c r="G211" s="255" t="s">
        <v>353</v>
      </c>
      <c r="H211" s="255" t="s">
        <v>32</v>
      </c>
      <c r="I211" s="255"/>
      <c r="J211" s="255" t="s">
        <v>352</v>
      </c>
      <c r="K211" s="255" t="s">
        <v>353</v>
      </c>
      <c r="L211" s="255" t="s">
        <v>32</v>
      </c>
      <c r="M211" s="236"/>
      <c r="N211" s="236"/>
    </row>
    <row r="212" spans="1:14" x14ac:dyDescent="0.3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3">
      <c r="A213" s="237" t="str">
        <f>name!E$4</f>
        <v>Managers, directors and senior officials</v>
      </c>
      <c r="B213" s="302">
        <v>0.51252579649766639</v>
      </c>
      <c r="C213" s="302">
        <v>1.9974937571156501</v>
      </c>
      <c r="D213" s="302">
        <f>SUM(B213:C213)</f>
        <v>2.5100195536133167</v>
      </c>
      <c r="E213" s="303"/>
      <c r="F213" s="302">
        <v>0.52154654386432764</v>
      </c>
      <c r="G213" s="302">
        <v>2.0653288041883289</v>
      </c>
      <c r="H213" s="302">
        <f>SUM(F213:G213)</f>
        <v>2.5868753480526565</v>
      </c>
      <c r="I213" s="303"/>
      <c r="J213" s="302">
        <v>0.54026638356964496</v>
      </c>
      <c r="K213" s="302">
        <v>1.9400302584588418</v>
      </c>
      <c r="L213" s="302">
        <f>SUM(J213:K213)</f>
        <v>2.4802966420284869</v>
      </c>
      <c r="M213" s="236"/>
      <c r="N213" s="236"/>
    </row>
    <row r="214" spans="1:14" x14ac:dyDescent="0.3">
      <c r="A214" s="237" t="str">
        <f>name!E$5</f>
        <v>Professional occupations</v>
      </c>
      <c r="B214" s="302">
        <v>0.44759224030300504</v>
      </c>
      <c r="C214" s="302">
        <v>1.5854089101582636</v>
      </c>
      <c r="D214" s="302">
        <f t="shared" ref="D214:D221" si="88">SUM(B214:C214)</f>
        <v>2.0330011504612688</v>
      </c>
      <c r="E214" s="303"/>
      <c r="F214" s="302">
        <v>0.54235827682572835</v>
      </c>
      <c r="G214" s="302">
        <v>1.8197686025186715</v>
      </c>
      <c r="H214" s="302">
        <f t="shared" ref="H214:H221" si="89">SUM(F214:G214)</f>
        <v>2.3621268793443999</v>
      </c>
      <c r="I214" s="303"/>
      <c r="J214" s="302">
        <v>0.60506377141203282</v>
      </c>
      <c r="K214" s="302">
        <v>2.007287609988273</v>
      </c>
      <c r="L214" s="302">
        <f t="shared" ref="L214:L221" si="90">SUM(J214:K214)</f>
        <v>2.6123513814003059</v>
      </c>
      <c r="M214" s="236"/>
      <c r="N214" s="236"/>
    </row>
    <row r="215" spans="1:14" x14ac:dyDescent="0.3">
      <c r="A215" s="237" t="str">
        <f>name!E$6</f>
        <v>Associate professional occupations</v>
      </c>
      <c r="B215" s="302">
        <v>0.5343434975803073</v>
      </c>
      <c r="C215" s="302">
        <v>1.4474880262304863</v>
      </c>
      <c r="D215" s="302">
        <f t="shared" si="88"/>
        <v>1.9818315238107935</v>
      </c>
      <c r="E215" s="303"/>
      <c r="F215" s="302">
        <v>0.53178293354775064</v>
      </c>
      <c r="G215" s="302">
        <v>1.6011455198463773</v>
      </c>
      <c r="H215" s="302">
        <f t="shared" si="89"/>
        <v>2.1329284533941282</v>
      </c>
      <c r="I215" s="303"/>
      <c r="J215" s="302">
        <v>0.49916920394848385</v>
      </c>
      <c r="K215" s="302">
        <v>1.3854911822570379</v>
      </c>
      <c r="L215" s="302">
        <f t="shared" si="90"/>
        <v>1.8846603862055218</v>
      </c>
      <c r="M215" s="236"/>
      <c r="N215" s="236"/>
    </row>
    <row r="216" spans="1:14" x14ac:dyDescent="0.3">
      <c r="A216" s="237" t="str">
        <f>name!E$7</f>
        <v>Administrative and secretarial occupations</v>
      </c>
      <c r="B216" s="302">
        <v>1.6885780375078481</v>
      </c>
      <c r="C216" s="302">
        <v>0.32528455339556389</v>
      </c>
      <c r="D216" s="302">
        <f t="shared" si="88"/>
        <v>2.013862590903412</v>
      </c>
      <c r="E216" s="303"/>
      <c r="F216" s="302">
        <v>1.3850207406575645</v>
      </c>
      <c r="G216" s="302">
        <v>0.35099850465036492</v>
      </c>
      <c r="H216" s="302">
        <f t="shared" si="89"/>
        <v>1.7360192453079295</v>
      </c>
      <c r="I216" s="303"/>
      <c r="J216" s="302">
        <v>0.99603279677321266</v>
      </c>
      <c r="K216" s="302">
        <v>0.32576000525517523</v>
      </c>
      <c r="L216" s="302">
        <f t="shared" si="90"/>
        <v>1.321792802028388</v>
      </c>
      <c r="M216" s="236"/>
      <c r="N216" s="236"/>
    </row>
    <row r="217" spans="1:14" x14ac:dyDescent="0.3">
      <c r="A217" s="237" t="str">
        <f>name!E$8</f>
        <v>Skilled trades occupations</v>
      </c>
      <c r="B217" s="302">
        <v>0.19150910290591508</v>
      </c>
      <c r="C217" s="302">
        <v>3.2236275705861241</v>
      </c>
      <c r="D217" s="302">
        <f t="shared" si="88"/>
        <v>3.4151366734920394</v>
      </c>
      <c r="E217" s="303"/>
      <c r="F217" s="302">
        <v>0.16503637102337346</v>
      </c>
      <c r="G217" s="302">
        <v>2.23893146560187</v>
      </c>
      <c r="H217" s="302">
        <f t="shared" si="89"/>
        <v>2.4039678366252435</v>
      </c>
      <c r="I217" s="303"/>
      <c r="J217" s="302">
        <v>0.2619152150812184</v>
      </c>
      <c r="K217" s="302">
        <v>1.9569403918209374</v>
      </c>
      <c r="L217" s="302">
        <f t="shared" si="90"/>
        <v>2.2188556069021557</v>
      </c>
      <c r="M217" s="236"/>
      <c r="N217" s="236"/>
    </row>
    <row r="218" spans="1:14" x14ac:dyDescent="0.3">
      <c r="A218" s="237" t="str">
        <f>name!E$9</f>
        <v>Caring, leisure and other service occupations</v>
      </c>
      <c r="B218" s="302">
        <v>0.15014327123511467</v>
      </c>
      <c r="C218" s="302">
        <v>0.2600943189596584</v>
      </c>
      <c r="D218" s="302">
        <f t="shared" si="88"/>
        <v>0.41023759019477307</v>
      </c>
      <c r="E218" s="303"/>
      <c r="F218" s="302">
        <v>0.1230204085877729</v>
      </c>
      <c r="G218" s="302">
        <v>0.3172766604290756</v>
      </c>
      <c r="H218" s="302">
        <f t="shared" si="89"/>
        <v>0.44029706901684851</v>
      </c>
      <c r="I218" s="303"/>
      <c r="J218" s="302">
        <v>0.10472063460677924</v>
      </c>
      <c r="K218" s="302">
        <v>0.45969145567037129</v>
      </c>
      <c r="L218" s="302">
        <f t="shared" si="90"/>
        <v>0.56441209027715056</v>
      </c>
      <c r="M218" s="236"/>
      <c r="N218" s="236"/>
    </row>
    <row r="219" spans="1:14" x14ac:dyDescent="0.3">
      <c r="A219" s="237" t="str">
        <f>name!E$10</f>
        <v>Sales and customer service occupations</v>
      </c>
      <c r="B219" s="302">
        <v>0.39133909170638798</v>
      </c>
      <c r="C219" s="302">
        <v>0.30310677411584636</v>
      </c>
      <c r="D219" s="302">
        <f t="shared" si="88"/>
        <v>0.69444586582223433</v>
      </c>
      <c r="E219" s="303"/>
      <c r="F219" s="302">
        <v>0.3210885392907219</v>
      </c>
      <c r="G219" s="302">
        <v>0.28234127450609903</v>
      </c>
      <c r="H219" s="302">
        <f t="shared" si="89"/>
        <v>0.60342981379682092</v>
      </c>
      <c r="I219" s="303"/>
      <c r="J219" s="302">
        <v>0.30291651764507671</v>
      </c>
      <c r="K219" s="302">
        <v>0.27961270265720617</v>
      </c>
      <c r="L219" s="302">
        <f t="shared" si="90"/>
        <v>0.58252922030228294</v>
      </c>
      <c r="M219" s="236"/>
      <c r="N219" s="236"/>
    </row>
    <row r="220" spans="1:14" x14ac:dyDescent="0.3">
      <c r="A220" s="237" t="str">
        <f>name!E$11</f>
        <v>Process, plant and machine operatives</v>
      </c>
      <c r="B220" s="302">
        <v>0.53891150042435032</v>
      </c>
      <c r="C220" s="302">
        <v>3.601716390879345</v>
      </c>
      <c r="D220" s="302">
        <f t="shared" si="88"/>
        <v>4.1406278913036951</v>
      </c>
      <c r="E220" s="303"/>
      <c r="F220" s="302">
        <v>0.36325543066813709</v>
      </c>
      <c r="G220" s="302">
        <v>2.8423786305704657</v>
      </c>
      <c r="H220" s="302">
        <f t="shared" si="89"/>
        <v>3.2056340612386029</v>
      </c>
      <c r="I220" s="303"/>
      <c r="J220" s="302">
        <v>0.39753109398564296</v>
      </c>
      <c r="K220" s="302">
        <v>2.8207265687016805</v>
      </c>
      <c r="L220" s="302">
        <f t="shared" si="90"/>
        <v>3.2182576626873236</v>
      </c>
      <c r="M220" s="236"/>
      <c r="N220" s="236"/>
    </row>
    <row r="221" spans="1:14" x14ac:dyDescent="0.3">
      <c r="A221" s="237" t="str">
        <f>name!E$12</f>
        <v>Elementary occupations</v>
      </c>
      <c r="B221" s="302">
        <v>0.61005746185492149</v>
      </c>
      <c r="C221" s="302">
        <v>1.102779698521777</v>
      </c>
      <c r="D221" s="302">
        <f t="shared" si="88"/>
        <v>1.7128371603766985</v>
      </c>
      <c r="E221" s="303"/>
      <c r="F221" s="302">
        <v>0.40689075548773157</v>
      </c>
      <c r="G221" s="302">
        <v>0.87383053771597885</v>
      </c>
      <c r="H221" s="302">
        <f t="shared" si="89"/>
        <v>1.2807212932037104</v>
      </c>
      <c r="I221" s="303"/>
      <c r="J221" s="302">
        <v>0.29638438296436015</v>
      </c>
      <c r="K221" s="302">
        <v>0.55645982526666327</v>
      </c>
      <c r="L221" s="302">
        <f t="shared" si="90"/>
        <v>0.85284420823102347</v>
      </c>
      <c r="M221" s="236"/>
      <c r="N221" s="236"/>
    </row>
    <row r="222" spans="1:14" x14ac:dyDescent="0.3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3">
      <c r="A223" s="244" t="s">
        <v>32</v>
      </c>
      <c r="B223" s="311">
        <f>SUM(B213:B221)</f>
        <v>5.0650000000155169</v>
      </c>
      <c r="C223" s="311">
        <f t="shared" ref="C223:D223" si="91">SUM(C213:C221)</f>
        <v>13.846999999962716</v>
      </c>
      <c r="D223" s="311">
        <f t="shared" si="91"/>
        <v>18.911999999978228</v>
      </c>
      <c r="E223" s="311"/>
      <c r="F223" s="311">
        <f t="shared" ref="F223:H223" si="92">SUM(F213:F221)</f>
        <v>4.3599999999531081</v>
      </c>
      <c r="G223" s="311">
        <f t="shared" si="92"/>
        <v>12.392000000027231</v>
      </c>
      <c r="H223" s="311">
        <f t="shared" si="92"/>
        <v>16.751999999980342</v>
      </c>
      <c r="I223" s="311"/>
      <c r="J223" s="311">
        <f t="shared" ref="J223:L223" si="93">SUM(J213:J221)</f>
        <v>4.0039999999864513</v>
      </c>
      <c r="K223" s="311">
        <f t="shared" si="93"/>
        <v>11.732000000076187</v>
      </c>
      <c r="L223" s="311">
        <f t="shared" si="93"/>
        <v>15.736000000062637</v>
      </c>
      <c r="M223" s="236"/>
      <c r="N223" s="236"/>
    </row>
    <row r="224" spans="1:14" x14ac:dyDescent="0.3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3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35</v>
      </c>
      <c r="M225" s="236"/>
      <c r="N225" s="236"/>
    </row>
    <row r="226" spans="1:14" x14ac:dyDescent="0.3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3">
      <c r="A227" s="241" t="str">
        <f>name!A16</f>
        <v>Other non-metallic</v>
      </c>
      <c r="B227" s="373">
        <f>B$6</f>
        <v>2015</v>
      </c>
      <c r="C227" s="373"/>
      <c r="D227" s="373"/>
      <c r="E227" s="253"/>
      <c r="F227" s="373">
        <f>F210</f>
        <v>2020</v>
      </c>
      <c r="G227" s="373"/>
      <c r="H227" s="373"/>
      <c r="I227" s="253"/>
      <c r="J227" s="373">
        <f>J210</f>
        <v>2035</v>
      </c>
      <c r="K227" s="373"/>
      <c r="L227" s="373"/>
      <c r="M227" s="236"/>
      <c r="N227" s="236"/>
    </row>
    <row r="228" spans="1:14" x14ac:dyDescent="0.3">
      <c r="A228" s="254"/>
      <c r="B228" s="255" t="s">
        <v>352</v>
      </c>
      <c r="C228" s="255" t="s">
        <v>353</v>
      </c>
      <c r="D228" s="255" t="s">
        <v>32</v>
      </c>
      <c r="E228" s="255"/>
      <c r="F228" s="255" t="s">
        <v>352</v>
      </c>
      <c r="G228" s="255" t="s">
        <v>353</v>
      </c>
      <c r="H228" s="255" t="s">
        <v>32</v>
      </c>
      <c r="I228" s="255"/>
      <c r="J228" s="255" t="s">
        <v>352</v>
      </c>
      <c r="K228" s="255" t="s">
        <v>353</v>
      </c>
      <c r="L228" s="255" t="s">
        <v>32</v>
      </c>
      <c r="M228" s="236"/>
      <c r="N228" s="236"/>
    </row>
    <row r="229" spans="1:14" x14ac:dyDescent="0.3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3">
      <c r="A230" s="237" t="str">
        <f>name!E$4</f>
        <v>Managers, directors and senior officials</v>
      </c>
      <c r="B230" s="302">
        <v>0.13109466589487495</v>
      </c>
      <c r="C230" s="302">
        <v>0.63103524472505468</v>
      </c>
      <c r="D230" s="302">
        <f>SUM(B230:C230)</f>
        <v>0.76212991061992963</v>
      </c>
      <c r="E230" s="303"/>
      <c r="F230" s="302">
        <v>0.15437911129824908</v>
      </c>
      <c r="G230" s="302">
        <v>0.80660658340422708</v>
      </c>
      <c r="H230" s="302">
        <f>SUM(F230:G230)</f>
        <v>0.96098569470247619</v>
      </c>
      <c r="I230" s="303"/>
      <c r="J230" s="302">
        <v>0.148335664083904</v>
      </c>
      <c r="K230" s="302">
        <v>0.75427526848031634</v>
      </c>
      <c r="L230" s="302">
        <f>SUM(J230:K230)</f>
        <v>0.90261093256422031</v>
      </c>
      <c r="M230" s="236"/>
      <c r="N230" s="236"/>
    </row>
    <row r="231" spans="1:14" x14ac:dyDescent="0.3">
      <c r="A231" s="237" t="str">
        <f>name!E$5</f>
        <v>Professional occupations</v>
      </c>
      <c r="B231" s="302">
        <v>0.12876037261287709</v>
      </c>
      <c r="C231" s="302">
        <v>0.44771151059858688</v>
      </c>
      <c r="D231" s="302">
        <f t="shared" ref="D231:D238" si="94">SUM(B231:C231)</f>
        <v>0.57647188321146392</v>
      </c>
      <c r="E231" s="303"/>
      <c r="F231" s="302">
        <v>0.16808425495831772</v>
      </c>
      <c r="G231" s="302">
        <v>0.66118203835377354</v>
      </c>
      <c r="H231" s="302">
        <f t="shared" ref="H231:H238" si="95">SUM(F231:G231)</f>
        <v>0.82926629331209123</v>
      </c>
      <c r="I231" s="303"/>
      <c r="J231" s="302">
        <v>0.17795089905399822</v>
      </c>
      <c r="K231" s="302">
        <v>0.75028074279807444</v>
      </c>
      <c r="L231" s="302">
        <f t="shared" ref="L231:L238" si="96">SUM(J231:K231)</f>
        <v>0.92823164185207263</v>
      </c>
      <c r="M231" s="236"/>
      <c r="N231" s="236"/>
    </row>
    <row r="232" spans="1:14" x14ac:dyDescent="0.3">
      <c r="A232" s="237" t="str">
        <f>name!E$6</f>
        <v>Associate professional occupations</v>
      </c>
      <c r="B232" s="302">
        <v>0.15378703448587389</v>
      </c>
      <c r="C232" s="302">
        <v>0.42398296038260275</v>
      </c>
      <c r="D232" s="302">
        <f t="shared" si="94"/>
        <v>0.57776999486847669</v>
      </c>
      <c r="E232" s="303"/>
      <c r="F232" s="302">
        <v>0.15548109118839926</v>
      </c>
      <c r="G232" s="302">
        <v>0.56359742472619956</v>
      </c>
      <c r="H232" s="302">
        <f t="shared" si="95"/>
        <v>0.71907851591459881</v>
      </c>
      <c r="I232" s="303"/>
      <c r="J232" s="302">
        <v>0.14938732400245369</v>
      </c>
      <c r="K232" s="302">
        <v>0.52302034084983895</v>
      </c>
      <c r="L232" s="302">
        <f t="shared" si="96"/>
        <v>0.67240766485229264</v>
      </c>
      <c r="M232" s="236"/>
      <c r="N232" s="236"/>
    </row>
    <row r="233" spans="1:14" x14ac:dyDescent="0.3">
      <c r="A233" s="237" t="str">
        <f>name!E$7</f>
        <v>Administrative and secretarial occupations</v>
      </c>
      <c r="B233" s="302">
        <v>0.36539843101005287</v>
      </c>
      <c r="C233" s="302">
        <v>8.5224277200098564E-2</v>
      </c>
      <c r="D233" s="302">
        <f t="shared" si="94"/>
        <v>0.45062270821015143</v>
      </c>
      <c r="E233" s="303"/>
      <c r="F233" s="302">
        <v>0.20884675032652203</v>
      </c>
      <c r="G233" s="302">
        <v>0.10835006068171472</v>
      </c>
      <c r="H233" s="302">
        <f t="shared" si="95"/>
        <v>0.31719681100823677</v>
      </c>
      <c r="I233" s="303"/>
      <c r="J233" s="302">
        <v>0.11893719895106568</v>
      </c>
      <c r="K233" s="302">
        <v>9.8266905019319326E-2</v>
      </c>
      <c r="L233" s="302">
        <f t="shared" si="96"/>
        <v>0.217204103970385</v>
      </c>
      <c r="M233" s="236"/>
      <c r="N233" s="236"/>
    </row>
    <row r="234" spans="1:14" x14ac:dyDescent="0.3">
      <c r="A234" s="237" t="str">
        <f>name!E$8</f>
        <v>Skilled trades occupations</v>
      </c>
      <c r="B234" s="302">
        <v>9.8521082037590565E-2</v>
      </c>
      <c r="C234" s="302">
        <v>0.95603489144782638</v>
      </c>
      <c r="D234" s="302">
        <f t="shared" si="94"/>
        <v>1.0545559734854169</v>
      </c>
      <c r="E234" s="303"/>
      <c r="F234" s="302">
        <v>5.7045676391212531E-2</v>
      </c>
      <c r="G234" s="302">
        <v>0.78849597412254779</v>
      </c>
      <c r="H234" s="302">
        <f t="shared" si="95"/>
        <v>0.84554165051376029</v>
      </c>
      <c r="I234" s="303"/>
      <c r="J234" s="302">
        <v>7.3841350748662729E-2</v>
      </c>
      <c r="K234" s="302">
        <v>0.65737739797898254</v>
      </c>
      <c r="L234" s="302">
        <f t="shared" si="96"/>
        <v>0.73121874872764525</v>
      </c>
      <c r="M234" s="236"/>
      <c r="N234" s="236"/>
    </row>
    <row r="235" spans="1:14" x14ac:dyDescent="0.3">
      <c r="A235" s="237" t="str">
        <f>name!E$9</f>
        <v>Caring, leisure and other service occupations</v>
      </c>
      <c r="B235" s="302">
        <v>7.1845258964741088E-2</v>
      </c>
      <c r="C235" s="302">
        <v>4.2205216934051611E-2</v>
      </c>
      <c r="D235" s="302">
        <f t="shared" si="94"/>
        <v>0.11405047589879269</v>
      </c>
      <c r="E235" s="303"/>
      <c r="F235" s="302">
        <v>4.4380603351470024E-2</v>
      </c>
      <c r="G235" s="302">
        <v>5.7603171401512332E-2</v>
      </c>
      <c r="H235" s="302">
        <f t="shared" si="95"/>
        <v>0.10198377475298236</v>
      </c>
      <c r="I235" s="303"/>
      <c r="J235" s="302">
        <v>3.5684770546905276E-2</v>
      </c>
      <c r="K235" s="302">
        <v>8.5473826523064206E-2</v>
      </c>
      <c r="L235" s="302">
        <f t="shared" si="96"/>
        <v>0.12115859706996948</v>
      </c>
      <c r="M235" s="236"/>
      <c r="N235" s="236"/>
    </row>
    <row r="236" spans="1:14" x14ac:dyDescent="0.3">
      <c r="A236" s="237" t="str">
        <f>name!E$10</f>
        <v>Sales and customer service occupations</v>
      </c>
      <c r="B236" s="302">
        <v>0.23437722085217078</v>
      </c>
      <c r="C236" s="302">
        <v>0.10942668192191399</v>
      </c>
      <c r="D236" s="302">
        <f t="shared" si="94"/>
        <v>0.34380390277408479</v>
      </c>
      <c r="E236" s="303"/>
      <c r="F236" s="302">
        <v>0.1114289594098009</v>
      </c>
      <c r="G236" s="302">
        <v>0.11700681508184875</v>
      </c>
      <c r="H236" s="302">
        <f t="shared" si="95"/>
        <v>0.22843577449164965</v>
      </c>
      <c r="I236" s="303"/>
      <c r="J236" s="302">
        <v>0.10469457640573167</v>
      </c>
      <c r="K236" s="302">
        <v>0.12449618985405501</v>
      </c>
      <c r="L236" s="302">
        <f t="shared" si="96"/>
        <v>0.22919076625978668</v>
      </c>
      <c r="M236" s="236"/>
      <c r="N236" s="236"/>
    </row>
    <row r="237" spans="1:14" x14ac:dyDescent="0.3">
      <c r="A237" s="237" t="str">
        <f>name!E$11</f>
        <v>Process, plant and machine operatives</v>
      </c>
      <c r="B237" s="302">
        <v>8.638369192892234E-2</v>
      </c>
      <c r="C237" s="302">
        <v>1.2036833328413001</v>
      </c>
      <c r="D237" s="302">
        <f t="shared" si="94"/>
        <v>1.2900670247702224</v>
      </c>
      <c r="E237" s="303"/>
      <c r="F237" s="302">
        <v>4.3730545352439733E-2</v>
      </c>
      <c r="G237" s="302">
        <v>1.1800369153738852</v>
      </c>
      <c r="H237" s="302">
        <f t="shared" si="95"/>
        <v>1.2237674607263249</v>
      </c>
      <c r="I237" s="303"/>
      <c r="J237" s="302">
        <v>7.2959646806195488E-2</v>
      </c>
      <c r="K237" s="302">
        <v>1.1482469843266256</v>
      </c>
      <c r="L237" s="302">
        <f t="shared" si="96"/>
        <v>1.2212066311328211</v>
      </c>
      <c r="M237" s="236"/>
      <c r="N237" s="236"/>
    </row>
    <row r="238" spans="1:14" x14ac:dyDescent="0.3">
      <c r="A238" s="237" t="str">
        <f>name!E$12</f>
        <v>Elementary occupations</v>
      </c>
      <c r="B238" s="302">
        <v>0.42383224224459182</v>
      </c>
      <c r="C238" s="302">
        <v>0.20769588393888544</v>
      </c>
      <c r="D238" s="302">
        <f t="shared" si="94"/>
        <v>0.63152812618347731</v>
      </c>
      <c r="E238" s="303"/>
      <c r="F238" s="302">
        <v>0.13862300772012368</v>
      </c>
      <c r="G238" s="302">
        <v>0.19312101686273384</v>
      </c>
      <c r="H238" s="302">
        <f t="shared" si="95"/>
        <v>0.33174402458285751</v>
      </c>
      <c r="I238" s="303"/>
      <c r="J238" s="302">
        <v>0.11520856939971308</v>
      </c>
      <c r="K238" s="302">
        <v>0.12056234419648579</v>
      </c>
      <c r="L238" s="302">
        <f t="shared" si="96"/>
        <v>0.23577091359619887</v>
      </c>
      <c r="M238" s="236"/>
      <c r="N238" s="236"/>
    </row>
    <row r="239" spans="1:14" x14ac:dyDescent="0.3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3">
      <c r="A240" s="244" t="s">
        <v>32</v>
      </c>
      <c r="B240" s="311">
        <f>SUM(B230:B238)</f>
        <v>1.6940000000316955</v>
      </c>
      <c r="C240" s="311">
        <f t="shared" ref="C240:D240" si="97">SUM(C230:C238)</f>
        <v>4.1069999999903208</v>
      </c>
      <c r="D240" s="311">
        <f t="shared" si="97"/>
        <v>5.8010000000220154</v>
      </c>
      <c r="E240" s="311"/>
      <c r="F240" s="311">
        <f t="shared" ref="F240:H240" si="98">SUM(F230:F238)</f>
        <v>1.0819999999965348</v>
      </c>
      <c r="G240" s="311">
        <f t="shared" si="98"/>
        <v>4.476000000008443</v>
      </c>
      <c r="H240" s="311">
        <f t="shared" si="98"/>
        <v>5.5580000000049772</v>
      </c>
      <c r="I240" s="311"/>
      <c r="J240" s="311">
        <f t="shared" ref="J240:L240" si="99">SUM(J230:J238)</f>
        <v>0.99699999999862987</v>
      </c>
      <c r="K240" s="311">
        <f t="shared" si="99"/>
        <v>4.2620000000267622</v>
      </c>
      <c r="L240" s="311">
        <f t="shared" si="99"/>
        <v>5.2590000000253925</v>
      </c>
      <c r="M240" s="236"/>
      <c r="N240" s="236"/>
    </row>
    <row r="241" spans="1:14" x14ac:dyDescent="0.3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3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35</v>
      </c>
      <c r="M242" s="236"/>
      <c r="N242" s="236"/>
    </row>
    <row r="243" spans="1:14" x14ac:dyDescent="0.3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3">
      <c r="A244" s="241" t="str">
        <f>name!A17</f>
        <v>Basic metals</v>
      </c>
      <c r="B244" s="373">
        <f>B$6</f>
        <v>2015</v>
      </c>
      <c r="C244" s="373"/>
      <c r="D244" s="373"/>
      <c r="E244" s="253"/>
      <c r="F244" s="373">
        <f>F227</f>
        <v>2020</v>
      </c>
      <c r="G244" s="373"/>
      <c r="H244" s="373"/>
      <c r="I244" s="253"/>
      <c r="J244" s="373">
        <f>J227</f>
        <v>2035</v>
      </c>
      <c r="K244" s="373"/>
      <c r="L244" s="373"/>
      <c r="M244" s="236"/>
      <c r="N244" s="236"/>
    </row>
    <row r="245" spans="1:14" x14ac:dyDescent="0.3">
      <c r="A245" s="254"/>
      <c r="B245" s="255" t="s">
        <v>352</v>
      </c>
      <c r="C245" s="255" t="s">
        <v>353</v>
      </c>
      <c r="D245" s="255" t="s">
        <v>32</v>
      </c>
      <c r="E245" s="255"/>
      <c r="F245" s="255" t="s">
        <v>352</v>
      </c>
      <c r="G245" s="255" t="s">
        <v>353</v>
      </c>
      <c r="H245" s="255" t="s">
        <v>32</v>
      </c>
      <c r="I245" s="255"/>
      <c r="J245" s="255" t="s">
        <v>352</v>
      </c>
      <c r="K245" s="255" t="s">
        <v>353</v>
      </c>
      <c r="L245" s="255" t="s">
        <v>32</v>
      </c>
      <c r="M245" s="236"/>
      <c r="N245" s="236"/>
    </row>
    <row r="246" spans="1:14" x14ac:dyDescent="0.3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3">
      <c r="A247" s="237" t="str">
        <f>name!E$4</f>
        <v>Managers, directors and senior officials</v>
      </c>
      <c r="B247" s="302">
        <v>2.0355820599704304E-2</v>
      </c>
      <c r="C247" s="302">
        <v>0.21756342370370926</v>
      </c>
      <c r="D247" s="302">
        <f>SUM(B247:C247)</f>
        <v>0.23791924430341357</v>
      </c>
      <c r="E247" s="303"/>
      <c r="F247" s="302">
        <v>3.2119075966566969E-2</v>
      </c>
      <c r="G247" s="302">
        <v>0.26261013435918007</v>
      </c>
      <c r="H247" s="302">
        <f>SUM(F247:G247)</f>
        <v>0.29472921032574706</v>
      </c>
      <c r="I247" s="303"/>
      <c r="J247" s="302">
        <v>2.8217561682587381E-2</v>
      </c>
      <c r="K247" s="302">
        <v>0.2237232399998951</v>
      </c>
      <c r="L247" s="302">
        <f>SUM(J247:K247)</f>
        <v>0.25194080168248251</v>
      </c>
      <c r="M247" s="236"/>
      <c r="N247" s="236"/>
    </row>
    <row r="248" spans="1:14" x14ac:dyDescent="0.3">
      <c r="A248" s="237" t="str">
        <f>name!E$5</f>
        <v>Professional occupations</v>
      </c>
      <c r="B248" s="302">
        <v>1.4186757847099555E-2</v>
      </c>
      <c r="C248" s="302">
        <v>0.21449830752249949</v>
      </c>
      <c r="D248" s="302">
        <f t="shared" ref="D248:D255" si="100">SUM(B248:C248)</f>
        <v>0.22868506536959904</v>
      </c>
      <c r="E248" s="303"/>
      <c r="F248" s="302">
        <v>2.3490681935727929E-2</v>
      </c>
      <c r="G248" s="302">
        <v>0.27784555387359194</v>
      </c>
      <c r="H248" s="302">
        <f t="shared" ref="H248:H255" si="101">SUM(F248:G248)</f>
        <v>0.3013362358093199</v>
      </c>
      <c r="I248" s="303"/>
      <c r="J248" s="302">
        <v>2.3118191353900325E-2</v>
      </c>
      <c r="K248" s="302">
        <v>0.25776160947313392</v>
      </c>
      <c r="L248" s="302">
        <f t="shared" ref="L248:L255" si="102">SUM(J248:K248)</f>
        <v>0.28087980082703423</v>
      </c>
      <c r="M248" s="236"/>
      <c r="N248" s="236"/>
    </row>
    <row r="249" spans="1:14" x14ac:dyDescent="0.3">
      <c r="A249" s="237" t="str">
        <f>name!E$6</f>
        <v>Associate professional occupations</v>
      </c>
      <c r="B249" s="302">
        <v>2.0211835162808948E-2</v>
      </c>
      <c r="C249" s="302">
        <v>0.18504406528404138</v>
      </c>
      <c r="D249" s="302">
        <f t="shared" si="100"/>
        <v>0.20525590044685033</v>
      </c>
      <c r="E249" s="303"/>
      <c r="F249" s="302">
        <v>3.1417946539769058E-2</v>
      </c>
      <c r="G249" s="302">
        <v>0.21506793694297194</v>
      </c>
      <c r="H249" s="302">
        <f t="shared" si="101"/>
        <v>0.246485883482741</v>
      </c>
      <c r="I249" s="303"/>
      <c r="J249" s="302">
        <v>2.616988741509458E-2</v>
      </c>
      <c r="K249" s="302">
        <v>0.17114580221258124</v>
      </c>
      <c r="L249" s="302">
        <f t="shared" si="102"/>
        <v>0.19731568962767582</v>
      </c>
      <c r="M249" s="236"/>
      <c r="N249" s="236"/>
    </row>
    <row r="250" spans="1:14" x14ac:dyDescent="0.3">
      <c r="A250" s="237" t="str">
        <f>name!E$7</f>
        <v>Administrative and secretarial occupations</v>
      </c>
      <c r="B250" s="302">
        <v>0.11995752369651927</v>
      </c>
      <c r="C250" s="302">
        <v>4.5658579861781692E-2</v>
      </c>
      <c r="D250" s="302">
        <f t="shared" si="100"/>
        <v>0.16561610355830098</v>
      </c>
      <c r="E250" s="303"/>
      <c r="F250" s="302">
        <v>0.16886221305531268</v>
      </c>
      <c r="G250" s="302">
        <v>6.3133465049430154E-2</v>
      </c>
      <c r="H250" s="302">
        <f t="shared" si="101"/>
        <v>0.23199567810474284</v>
      </c>
      <c r="I250" s="303"/>
      <c r="J250" s="302">
        <v>0.13517626900881341</v>
      </c>
      <c r="K250" s="302">
        <v>5.0885641759070267E-2</v>
      </c>
      <c r="L250" s="302">
        <f t="shared" si="102"/>
        <v>0.18606191076788367</v>
      </c>
      <c r="M250" s="236"/>
      <c r="N250" s="236"/>
    </row>
    <row r="251" spans="1:14" x14ac:dyDescent="0.3">
      <c r="A251" s="237" t="str">
        <f>name!E$8</f>
        <v>Skilled trades occupations</v>
      </c>
      <c r="B251" s="302">
        <v>4.5245473928470269E-3</v>
      </c>
      <c r="C251" s="302">
        <v>0.82796866956239468</v>
      </c>
      <c r="D251" s="302">
        <f t="shared" si="100"/>
        <v>0.8324932169552417</v>
      </c>
      <c r="E251" s="303"/>
      <c r="F251" s="302">
        <v>1.3984887234253196E-2</v>
      </c>
      <c r="G251" s="302">
        <v>0.66246061192563821</v>
      </c>
      <c r="H251" s="302">
        <f t="shared" si="101"/>
        <v>0.67644549915989138</v>
      </c>
      <c r="I251" s="303"/>
      <c r="J251" s="302">
        <v>2.9623878980410863E-2</v>
      </c>
      <c r="K251" s="302">
        <v>0.50128009251157324</v>
      </c>
      <c r="L251" s="302">
        <f t="shared" si="102"/>
        <v>0.53090397149198409</v>
      </c>
      <c r="M251" s="236"/>
      <c r="N251" s="236"/>
    </row>
    <row r="252" spans="1:14" x14ac:dyDescent="0.3">
      <c r="A252" s="237" t="str">
        <f>name!E$9</f>
        <v>Caring, leisure and other service occupations</v>
      </c>
      <c r="B252" s="302">
        <v>2.6887580103965897E-3</v>
      </c>
      <c r="C252" s="302">
        <v>2.7635644144598417E-2</v>
      </c>
      <c r="D252" s="302">
        <f t="shared" si="100"/>
        <v>3.0324402154995007E-2</v>
      </c>
      <c r="E252" s="303"/>
      <c r="F252" s="302">
        <v>3.6626916386065063E-3</v>
      </c>
      <c r="G252" s="302">
        <v>3.3303667236158588E-2</v>
      </c>
      <c r="H252" s="302">
        <f t="shared" si="101"/>
        <v>3.6966358874765091E-2</v>
      </c>
      <c r="I252" s="303"/>
      <c r="J252" s="302">
        <v>2.7182411497069761E-3</v>
      </c>
      <c r="K252" s="302">
        <v>3.519821057709667E-2</v>
      </c>
      <c r="L252" s="302">
        <f t="shared" si="102"/>
        <v>3.7916451726803649E-2</v>
      </c>
      <c r="M252" s="236"/>
      <c r="N252" s="236"/>
    </row>
    <row r="253" spans="1:14" x14ac:dyDescent="0.3">
      <c r="A253" s="237" t="str">
        <f>name!E$10</f>
        <v>Sales and customer service occupations</v>
      </c>
      <c r="B253" s="302">
        <v>6.594716037419469E-3</v>
      </c>
      <c r="C253" s="302">
        <v>3.1452833894541621E-2</v>
      </c>
      <c r="D253" s="302">
        <f t="shared" si="100"/>
        <v>3.8047549931961092E-2</v>
      </c>
      <c r="E253" s="303"/>
      <c r="F253" s="302">
        <v>1.1801814035460349E-2</v>
      </c>
      <c r="G253" s="302">
        <v>3.481180487939322E-2</v>
      </c>
      <c r="H253" s="302">
        <f t="shared" si="101"/>
        <v>4.661361891485357E-2</v>
      </c>
      <c r="I253" s="303"/>
      <c r="J253" s="302">
        <v>1.1054000033983824E-2</v>
      </c>
      <c r="K253" s="302">
        <v>3.5410459104893079E-2</v>
      </c>
      <c r="L253" s="302">
        <f t="shared" si="102"/>
        <v>4.6464459138876903E-2</v>
      </c>
      <c r="M253" s="236"/>
      <c r="N253" s="236"/>
    </row>
    <row r="254" spans="1:14" x14ac:dyDescent="0.3">
      <c r="A254" s="237" t="str">
        <f>name!E$11</f>
        <v>Process, plant and machine operatives</v>
      </c>
      <c r="B254" s="302">
        <v>9.5689369505171842E-3</v>
      </c>
      <c r="C254" s="302">
        <v>0.37803911695388281</v>
      </c>
      <c r="D254" s="302">
        <f t="shared" si="100"/>
        <v>0.38760805390440001</v>
      </c>
      <c r="E254" s="303"/>
      <c r="F254" s="302">
        <v>1.3568991892671569E-2</v>
      </c>
      <c r="G254" s="302">
        <v>0.30137062405627313</v>
      </c>
      <c r="H254" s="302">
        <f t="shared" si="101"/>
        <v>0.31493961594894471</v>
      </c>
      <c r="I254" s="303"/>
      <c r="J254" s="302">
        <v>2.0058583342737041E-2</v>
      </c>
      <c r="K254" s="302">
        <v>0.29674643716209276</v>
      </c>
      <c r="L254" s="302">
        <f t="shared" si="102"/>
        <v>0.31680502050482978</v>
      </c>
      <c r="M254" s="236"/>
      <c r="N254" s="236"/>
    </row>
    <row r="255" spans="1:14" x14ac:dyDescent="0.3">
      <c r="A255" s="237" t="str">
        <f>name!E$12</f>
        <v>Elementary occupations</v>
      </c>
      <c r="B255" s="302">
        <v>6.9111043024915565E-3</v>
      </c>
      <c r="C255" s="302">
        <v>7.4139359069667649E-2</v>
      </c>
      <c r="D255" s="302">
        <f t="shared" si="100"/>
        <v>8.1050463372159209E-2</v>
      </c>
      <c r="E255" s="303"/>
      <c r="F255" s="302">
        <v>1.3091697697962005E-2</v>
      </c>
      <c r="G255" s="302">
        <v>7.0396201681164283E-2</v>
      </c>
      <c r="H255" s="302">
        <f t="shared" si="101"/>
        <v>8.348789937912629E-2</v>
      </c>
      <c r="I255" s="303"/>
      <c r="J255" s="302">
        <v>7.8633870305747228E-3</v>
      </c>
      <c r="K255" s="302">
        <v>4.28485072121884E-2</v>
      </c>
      <c r="L255" s="302">
        <f t="shared" si="102"/>
        <v>5.0711894242763123E-2</v>
      </c>
      <c r="M255" s="236"/>
      <c r="N255" s="236"/>
    </row>
    <row r="256" spans="1:14" x14ac:dyDescent="0.3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3">
      <c r="A257" s="244" t="s">
        <v>32</v>
      </c>
      <c r="B257" s="311">
        <f>SUM(B247:B255)</f>
        <v>0.20499999999980389</v>
      </c>
      <c r="C257" s="311">
        <f t="shared" ref="C257:D257" si="103">SUM(C247:C255)</f>
        <v>2.0019999999971172</v>
      </c>
      <c r="D257" s="311">
        <f t="shared" si="103"/>
        <v>2.206999999996921</v>
      </c>
      <c r="E257" s="311"/>
      <c r="F257" s="311">
        <f t="shared" ref="F257:H257" si="104">SUM(F247:F255)</f>
        <v>0.31199999999633021</v>
      </c>
      <c r="G257" s="311">
        <f t="shared" si="104"/>
        <v>1.9210000000038017</v>
      </c>
      <c r="H257" s="311">
        <f t="shared" si="104"/>
        <v>2.2330000000001315</v>
      </c>
      <c r="I257" s="311"/>
      <c r="J257" s="311">
        <f t="shared" ref="J257:L257" si="105">SUM(J247:J255)</f>
        <v>0.28399999999780906</v>
      </c>
      <c r="K257" s="311">
        <f t="shared" si="105"/>
        <v>1.6150000000125249</v>
      </c>
      <c r="L257" s="311">
        <f t="shared" si="105"/>
        <v>1.899000000010334</v>
      </c>
      <c r="M257" s="236"/>
      <c r="N257" s="236"/>
    </row>
    <row r="258" spans="1:14" x14ac:dyDescent="0.3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3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35</v>
      </c>
      <c r="M259" s="236"/>
      <c r="N259" s="236"/>
    </row>
    <row r="260" spans="1:14" x14ac:dyDescent="0.3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3">
      <c r="A261" s="241" t="str">
        <f>name!A18</f>
        <v>Metal products</v>
      </c>
      <c r="B261" s="373">
        <f>B$6</f>
        <v>2015</v>
      </c>
      <c r="C261" s="373"/>
      <c r="D261" s="373"/>
      <c r="E261" s="253"/>
      <c r="F261" s="373">
        <f>F244</f>
        <v>2020</v>
      </c>
      <c r="G261" s="373"/>
      <c r="H261" s="373"/>
      <c r="I261" s="253"/>
      <c r="J261" s="373">
        <f>J244</f>
        <v>2035</v>
      </c>
      <c r="K261" s="373"/>
      <c r="L261" s="373"/>
      <c r="M261" s="236"/>
      <c r="N261" s="236"/>
    </row>
    <row r="262" spans="1:14" x14ac:dyDescent="0.3">
      <c r="A262" s="254"/>
      <c r="B262" s="255" t="s">
        <v>352</v>
      </c>
      <c r="C262" s="255" t="s">
        <v>353</v>
      </c>
      <c r="D262" s="255" t="s">
        <v>32</v>
      </c>
      <c r="E262" s="255"/>
      <c r="F262" s="255" t="s">
        <v>352</v>
      </c>
      <c r="G262" s="255" t="s">
        <v>353</v>
      </c>
      <c r="H262" s="255" t="s">
        <v>32</v>
      </c>
      <c r="I262" s="255"/>
      <c r="J262" s="255" t="s">
        <v>352</v>
      </c>
      <c r="K262" s="255" t="s">
        <v>353</v>
      </c>
      <c r="L262" s="255" t="s">
        <v>32</v>
      </c>
      <c r="M262" s="236"/>
      <c r="N262" s="236"/>
    </row>
    <row r="263" spans="1:14" x14ac:dyDescent="0.3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3">
      <c r="A264" s="237" t="str">
        <f>name!E$4</f>
        <v>Managers, directors and senior officials</v>
      </c>
      <c r="B264" s="302">
        <v>0.56918553359565083</v>
      </c>
      <c r="C264" s="302">
        <v>2.6941252449775792</v>
      </c>
      <c r="D264" s="302">
        <f>SUM(B264:C264)</f>
        <v>3.26331077857323</v>
      </c>
      <c r="E264" s="303"/>
      <c r="F264" s="302">
        <v>0.47208596958816468</v>
      </c>
      <c r="G264" s="302">
        <v>2.6200742268252313</v>
      </c>
      <c r="H264" s="302">
        <f>SUM(F264:G264)</f>
        <v>3.092160196413396</v>
      </c>
      <c r="I264" s="303"/>
      <c r="J264" s="302">
        <v>0.48915072079406452</v>
      </c>
      <c r="K264" s="302">
        <v>2.2499563099723647</v>
      </c>
      <c r="L264" s="302">
        <f>SUM(J264:K264)</f>
        <v>2.7391070307664291</v>
      </c>
      <c r="M264" s="236"/>
      <c r="N264" s="236"/>
    </row>
    <row r="265" spans="1:14" x14ac:dyDescent="0.3">
      <c r="A265" s="237" t="str">
        <f>name!E$5</f>
        <v>Professional occupations</v>
      </c>
      <c r="B265" s="302">
        <v>0.50853880460286094</v>
      </c>
      <c r="C265" s="302">
        <v>2.9030897050982207</v>
      </c>
      <c r="D265" s="302">
        <f t="shared" ref="D265:D272" si="106">SUM(B265:C265)</f>
        <v>3.4116285097010817</v>
      </c>
      <c r="E265" s="303"/>
      <c r="F265" s="302">
        <v>0.47512467328796787</v>
      </c>
      <c r="G265" s="302">
        <v>3.09513227492543</v>
      </c>
      <c r="H265" s="302">
        <f t="shared" ref="H265:H272" si="107">SUM(F265:G265)</f>
        <v>3.5702569482133977</v>
      </c>
      <c r="I265" s="303"/>
      <c r="J265" s="302">
        <v>0.52535508913946816</v>
      </c>
      <c r="K265" s="302">
        <v>3.0637553863469358</v>
      </c>
      <c r="L265" s="302">
        <f t="shared" ref="L265:L272" si="108">SUM(J265:K265)</f>
        <v>3.5891104754864038</v>
      </c>
      <c r="M265" s="236"/>
      <c r="N265" s="236"/>
    </row>
    <row r="266" spans="1:14" x14ac:dyDescent="0.3">
      <c r="A266" s="237" t="str">
        <f>name!E$6</f>
        <v>Associate professional occupations</v>
      </c>
      <c r="B266" s="302">
        <v>0.56249631201107309</v>
      </c>
      <c r="C266" s="302">
        <v>2.6089461269694465</v>
      </c>
      <c r="D266" s="302">
        <f t="shared" si="106"/>
        <v>3.1714424389805194</v>
      </c>
      <c r="E266" s="303"/>
      <c r="F266" s="302">
        <v>0.4412429907233178</v>
      </c>
      <c r="G266" s="302">
        <v>2.6645386250641558</v>
      </c>
      <c r="H266" s="302">
        <f t="shared" si="107"/>
        <v>3.1057816157874738</v>
      </c>
      <c r="I266" s="303"/>
      <c r="J266" s="302">
        <v>0.41701947662956323</v>
      </c>
      <c r="K266" s="302">
        <v>2.1375092957651063</v>
      </c>
      <c r="L266" s="302">
        <f t="shared" si="108"/>
        <v>2.5545287723946695</v>
      </c>
      <c r="M266" s="236"/>
      <c r="N266" s="236"/>
    </row>
    <row r="267" spans="1:14" x14ac:dyDescent="0.3">
      <c r="A267" s="237" t="str">
        <f>name!E$7</f>
        <v>Administrative and secretarial occupations</v>
      </c>
      <c r="B267" s="302">
        <v>1.8669582838994088</v>
      </c>
      <c r="C267" s="302">
        <v>0.43916979379707272</v>
      </c>
      <c r="D267" s="302">
        <f t="shared" si="106"/>
        <v>2.3061280776964814</v>
      </c>
      <c r="E267" s="303"/>
      <c r="F267" s="302">
        <v>1.0484005208370164</v>
      </c>
      <c r="G267" s="302">
        <v>0.42543745135888383</v>
      </c>
      <c r="H267" s="302">
        <f t="shared" si="107"/>
        <v>1.4738379721959003</v>
      </c>
      <c r="I267" s="303"/>
      <c r="J267" s="302">
        <v>0.65292127937601663</v>
      </c>
      <c r="K267" s="302">
        <v>0.34710838044720288</v>
      </c>
      <c r="L267" s="302">
        <f t="shared" si="108"/>
        <v>1.0000296598232195</v>
      </c>
      <c r="M267" s="236"/>
      <c r="N267" s="236"/>
    </row>
    <row r="268" spans="1:14" x14ac:dyDescent="0.3">
      <c r="A268" s="237" t="str">
        <f>name!E$8</f>
        <v>Skilled trades occupations</v>
      </c>
      <c r="B268" s="302">
        <v>0.18655061675700293</v>
      </c>
      <c r="C268" s="302">
        <v>10.031606737993954</v>
      </c>
      <c r="D268" s="302">
        <f t="shared" si="106"/>
        <v>10.218157354750957</v>
      </c>
      <c r="E268" s="303"/>
      <c r="F268" s="302">
        <v>0.13762151066331485</v>
      </c>
      <c r="G268" s="302">
        <v>7.1154154212349132</v>
      </c>
      <c r="H268" s="302">
        <f t="shared" si="107"/>
        <v>7.2530369318982277</v>
      </c>
      <c r="I268" s="303"/>
      <c r="J268" s="302">
        <v>0.25618423357343828</v>
      </c>
      <c r="K268" s="302">
        <v>5.3161080433888213</v>
      </c>
      <c r="L268" s="302">
        <f t="shared" si="108"/>
        <v>5.5722922769622594</v>
      </c>
      <c r="M268" s="236"/>
      <c r="N268" s="236"/>
    </row>
    <row r="269" spans="1:14" x14ac:dyDescent="0.3">
      <c r="A269" s="237" t="str">
        <f>name!E$9</f>
        <v>Caring, leisure and other service occupations</v>
      </c>
      <c r="B269" s="302">
        <v>9.300030079532004E-2</v>
      </c>
      <c r="C269" s="302">
        <v>0.16319538701486869</v>
      </c>
      <c r="D269" s="302">
        <f t="shared" si="106"/>
        <v>0.25619568781018875</v>
      </c>
      <c r="E269" s="303"/>
      <c r="F269" s="302">
        <v>5.3047356741485592E-2</v>
      </c>
      <c r="G269" s="302">
        <v>0.15980849838416522</v>
      </c>
      <c r="H269" s="302">
        <f t="shared" si="107"/>
        <v>0.21285585512565081</v>
      </c>
      <c r="I269" s="303"/>
      <c r="J269" s="302">
        <v>4.2944796137064374E-2</v>
      </c>
      <c r="K269" s="302">
        <v>0.19978959761065782</v>
      </c>
      <c r="L269" s="302">
        <f t="shared" si="108"/>
        <v>0.24273439374772218</v>
      </c>
      <c r="M269" s="236"/>
      <c r="N269" s="236"/>
    </row>
    <row r="270" spans="1:14" x14ac:dyDescent="0.3">
      <c r="A270" s="237" t="str">
        <f>name!E$10</f>
        <v>Sales and customer service occupations</v>
      </c>
      <c r="B270" s="302">
        <v>0.23090762765336234</v>
      </c>
      <c r="C270" s="302">
        <v>0.19672436893271106</v>
      </c>
      <c r="D270" s="302">
        <f t="shared" si="106"/>
        <v>0.42763199658607343</v>
      </c>
      <c r="E270" s="303"/>
      <c r="F270" s="302">
        <v>0.14623617164664621</v>
      </c>
      <c r="G270" s="302">
        <v>0.16378251075086786</v>
      </c>
      <c r="H270" s="302">
        <f t="shared" si="107"/>
        <v>0.31001868239751407</v>
      </c>
      <c r="I270" s="303"/>
      <c r="J270" s="302">
        <v>0.14570135310327903</v>
      </c>
      <c r="K270" s="302">
        <v>0.16554418285300784</v>
      </c>
      <c r="L270" s="302">
        <f t="shared" si="108"/>
        <v>0.3112455359562869</v>
      </c>
      <c r="M270" s="236"/>
      <c r="N270" s="236"/>
    </row>
    <row r="271" spans="1:14" x14ac:dyDescent="0.3">
      <c r="A271" s="237" t="str">
        <f>name!E$11</f>
        <v>Process, plant and machine operatives</v>
      </c>
      <c r="B271" s="302">
        <v>0.40591355815457125</v>
      </c>
      <c r="C271" s="302">
        <v>2.6029219864375261</v>
      </c>
      <c r="D271" s="302">
        <f t="shared" si="106"/>
        <v>3.0088355445920976</v>
      </c>
      <c r="E271" s="303"/>
      <c r="F271" s="302">
        <v>0.21894809305668333</v>
      </c>
      <c r="G271" s="302">
        <v>1.7904260899263931</v>
      </c>
      <c r="H271" s="302">
        <f t="shared" si="107"/>
        <v>2.0093741829830765</v>
      </c>
      <c r="I271" s="303"/>
      <c r="J271" s="302">
        <v>0.27253291966491044</v>
      </c>
      <c r="K271" s="302">
        <v>1.6922846914096519</v>
      </c>
      <c r="L271" s="302">
        <f t="shared" si="108"/>
        <v>1.9648176110745623</v>
      </c>
      <c r="M271" s="236"/>
      <c r="N271" s="236"/>
    </row>
    <row r="272" spans="1:14" x14ac:dyDescent="0.3">
      <c r="A272" s="237" t="str">
        <f>name!E$12</f>
        <v>Elementary occupations</v>
      </c>
      <c r="B272" s="302">
        <v>0.46544896254417406</v>
      </c>
      <c r="C272" s="302">
        <v>0.58622064873162494</v>
      </c>
      <c r="D272" s="302">
        <f t="shared" si="106"/>
        <v>1.0516696112757991</v>
      </c>
      <c r="E272" s="303"/>
      <c r="F272" s="302">
        <v>0.19529271342650928</v>
      </c>
      <c r="G272" s="302">
        <v>0.39938490154042156</v>
      </c>
      <c r="H272" s="302">
        <f t="shared" si="107"/>
        <v>0.59467761496693083</v>
      </c>
      <c r="I272" s="303"/>
      <c r="J272" s="302">
        <v>0.13119013157840484</v>
      </c>
      <c r="K272" s="302">
        <v>0.20794411228473733</v>
      </c>
      <c r="L272" s="302">
        <f t="shared" si="108"/>
        <v>0.33913424386314217</v>
      </c>
      <c r="M272" s="236"/>
      <c r="N272" s="236"/>
    </row>
    <row r="273" spans="1:14" x14ac:dyDescent="0.3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3">
      <c r="A274" s="244" t="s">
        <v>32</v>
      </c>
      <c r="B274" s="311">
        <f>SUM(B264:B272)</f>
        <v>4.8890000000134242</v>
      </c>
      <c r="C274" s="311">
        <f t="shared" ref="C274:D274" si="109">SUM(C264:C272)</f>
        <v>22.225999999953004</v>
      </c>
      <c r="D274" s="311">
        <f t="shared" si="109"/>
        <v>27.114999999966425</v>
      </c>
      <c r="E274" s="311"/>
      <c r="F274" s="311">
        <f t="shared" ref="F274:H274" si="110">SUM(F264:F272)</f>
        <v>3.1879999999711059</v>
      </c>
      <c r="G274" s="311">
        <f t="shared" si="110"/>
        <v>18.43400000001046</v>
      </c>
      <c r="H274" s="311">
        <f t="shared" si="110"/>
        <v>21.621999999981568</v>
      </c>
      <c r="I274" s="311"/>
      <c r="J274" s="311">
        <f t="shared" ref="J274:L274" si="111">SUM(J264:J272)</f>
        <v>2.9329999999962091</v>
      </c>
      <c r="K274" s="311">
        <f t="shared" si="111"/>
        <v>15.380000000078486</v>
      </c>
      <c r="L274" s="311">
        <f t="shared" si="111"/>
        <v>18.313000000074695</v>
      </c>
      <c r="M274" s="236"/>
      <c r="N274" s="236"/>
    </row>
    <row r="275" spans="1:14" x14ac:dyDescent="0.3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3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35</v>
      </c>
      <c r="M276" s="236"/>
      <c r="N276" s="236"/>
    </row>
    <row r="277" spans="1:14" x14ac:dyDescent="0.3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3">
      <c r="A278" s="241" t="str">
        <f>name!A19</f>
        <v>Computer, etc</v>
      </c>
      <c r="B278" s="373">
        <f>B$6</f>
        <v>2015</v>
      </c>
      <c r="C278" s="373"/>
      <c r="D278" s="373"/>
      <c r="E278" s="253"/>
      <c r="F278" s="373">
        <f>F261</f>
        <v>2020</v>
      </c>
      <c r="G278" s="373"/>
      <c r="H278" s="373"/>
      <c r="I278" s="253"/>
      <c r="J278" s="373">
        <f>J261</f>
        <v>2035</v>
      </c>
      <c r="K278" s="373"/>
      <c r="L278" s="373"/>
      <c r="M278" s="236"/>
      <c r="N278" s="236"/>
    </row>
    <row r="279" spans="1:14" x14ac:dyDescent="0.3">
      <c r="A279" s="254"/>
      <c r="B279" s="255" t="s">
        <v>352</v>
      </c>
      <c r="C279" s="255" t="s">
        <v>353</v>
      </c>
      <c r="D279" s="255" t="s">
        <v>32</v>
      </c>
      <c r="E279" s="255"/>
      <c r="F279" s="255" t="s">
        <v>352</v>
      </c>
      <c r="G279" s="255" t="s">
        <v>353</v>
      </c>
      <c r="H279" s="255" t="s">
        <v>32</v>
      </c>
      <c r="I279" s="255"/>
      <c r="J279" s="255" t="s">
        <v>352</v>
      </c>
      <c r="K279" s="255" t="s">
        <v>353</v>
      </c>
      <c r="L279" s="255" t="s">
        <v>32</v>
      </c>
      <c r="M279" s="236"/>
      <c r="N279" s="236"/>
    </row>
    <row r="280" spans="1:14" x14ac:dyDescent="0.3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3">
      <c r="A281" s="237" t="str">
        <f>name!E$4</f>
        <v>Managers, directors and senior officials</v>
      </c>
      <c r="B281" s="302">
        <v>0.51069481072569223</v>
      </c>
      <c r="C281" s="302">
        <v>2.236913000708403</v>
      </c>
      <c r="D281" s="302">
        <f>SUM(B281:C281)</f>
        <v>2.7476078114340954</v>
      </c>
      <c r="E281" s="303"/>
      <c r="F281" s="302">
        <v>0.46848364313183988</v>
      </c>
      <c r="G281" s="302">
        <v>2.1327453025714007</v>
      </c>
      <c r="H281" s="302">
        <f>SUM(F281:G281)</f>
        <v>2.6012289457032405</v>
      </c>
      <c r="I281" s="303"/>
      <c r="J281" s="302">
        <v>0.34365443120100425</v>
      </c>
      <c r="K281" s="302">
        <v>1.7418666121289665</v>
      </c>
      <c r="L281" s="302">
        <f>SUM(J281:K281)</f>
        <v>2.0855210433299707</v>
      </c>
      <c r="M281" s="236"/>
      <c r="N281" s="236"/>
    </row>
    <row r="282" spans="1:14" x14ac:dyDescent="0.3">
      <c r="A282" s="237" t="str">
        <f>name!E$5</f>
        <v>Professional occupations</v>
      </c>
      <c r="B282" s="302">
        <v>0.79856586873166879</v>
      </c>
      <c r="C282" s="302">
        <v>4.0623491147296402</v>
      </c>
      <c r="D282" s="302">
        <f t="shared" ref="D282:D289" si="112">SUM(B282:C282)</f>
        <v>4.860914983461309</v>
      </c>
      <c r="E282" s="303"/>
      <c r="F282" s="302">
        <v>0.81245857367835617</v>
      </c>
      <c r="G282" s="302">
        <v>4.2227525340223053</v>
      </c>
      <c r="H282" s="302">
        <f t="shared" ref="H282:H289" si="113">SUM(F282:G282)</f>
        <v>5.0352111077006612</v>
      </c>
      <c r="I282" s="303"/>
      <c r="J282" s="302">
        <v>0.61556493208859664</v>
      </c>
      <c r="K282" s="302">
        <v>3.7966692960644313</v>
      </c>
      <c r="L282" s="302">
        <f t="shared" ref="L282:L289" si="114">SUM(J282:K282)</f>
        <v>4.4122342281530278</v>
      </c>
      <c r="M282" s="236"/>
      <c r="N282" s="236"/>
    </row>
    <row r="283" spans="1:14" x14ac:dyDescent="0.3">
      <c r="A283" s="237" t="str">
        <f>name!E$6</f>
        <v>Associate professional occupations</v>
      </c>
      <c r="B283" s="302">
        <v>0.76029806113871268</v>
      </c>
      <c r="C283" s="302">
        <v>2.0526538139470376</v>
      </c>
      <c r="D283" s="302">
        <f t="shared" si="112"/>
        <v>2.8129518750857505</v>
      </c>
      <c r="E283" s="303"/>
      <c r="F283" s="302">
        <v>0.6583926046963019</v>
      </c>
      <c r="G283" s="302">
        <v>2.0441647639270681</v>
      </c>
      <c r="H283" s="302">
        <f t="shared" si="113"/>
        <v>2.7025573686233701</v>
      </c>
      <c r="I283" s="303"/>
      <c r="J283" s="302">
        <v>0.44445265917351612</v>
      </c>
      <c r="K283" s="302">
        <v>1.5185343377214153</v>
      </c>
      <c r="L283" s="302">
        <f t="shared" si="114"/>
        <v>1.9629869968949314</v>
      </c>
      <c r="M283" s="236"/>
      <c r="N283" s="236"/>
    </row>
    <row r="284" spans="1:14" x14ac:dyDescent="0.3">
      <c r="A284" s="237" t="str">
        <f>name!E$7</f>
        <v>Administrative and secretarial occupations</v>
      </c>
      <c r="B284" s="302">
        <v>1.0529437523815484</v>
      </c>
      <c r="C284" s="302">
        <v>0.32595275515485067</v>
      </c>
      <c r="D284" s="302">
        <f t="shared" si="112"/>
        <v>1.378896507536399</v>
      </c>
      <c r="E284" s="303"/>
      <c r="F284" s="302">
        <v>0.71883450340360844</v>
      </c>
      <c r="G284" s="302">
        <v>0.31800669728027964</v>
      </c>
      <c r="H284" s="302">
        <f t="shared" si="113"/>
        <v>1.0368412006838881</v>
      </c>
      <c r="I284" s="303"/>
      <c r="J284" s="302">
        <v>0.3017945896483758</v>
      </c>
      <c r="K284" s="302">
        <v>0.26786527592169246</v>
      </c>
      <c r="L284" s="302">
        <f t="shared" si="114"/>
        <v>0.5696598655700682</v>
      </c>
      <c r="M284" s="236"/>
      <c r="N284" s="236"/>
    </row>
    <row r="285" spans="1:14" x14ac:dyDescent="0.3">
      <c r="A285" s="237" t="str">
        <f>name!E$8</f>
        <v>Skilled trades occupations</v>
      </c>
      <c r="B285" s="302">
        <v>0.21392762986037092</v>
      </c>
      <c r="C285" s="302">
        <v>2.8473056830324031</v>
      </c>
      <c r="D285" s="302">
        <f t="shared" si="112"/>
        <v>3.061233312892774</v>
      </c>
      <c r="E285" s="303"/>
      <c r="F285" s="302">
        <v>0.16928181818204743</v>
      </c>
      <c r="G285" s="302">
        <v>1.9572397910722297</v>
      </c>
      <c r="H285" s="302">
        <f t="shared" si="113"/>
        <v>2.1265216092542771</v>
      </c>
      <c r="I285" s="303"/>
      <c r="J285" s="302">
        <v>0.17956047021835217</v>
      </c>
      <c r="K285" s="302">
        <v>1.3620390276220669</v>
      </c>
      <c r="L285" s="302">
        <f t="shared" si="114"/>
        <v>1.5415994978404191</v>
      </c>
      <c r="M285" s="236"/>
      <c r="N285" s="236"/>
    </row>
    <row r="286" spans="1:14" x14ac:dyDescent="0.3">
      <c r="A286" s="237" t="str">
        <f>name!E$9</f>
        <v>Caring, leisure and other service occupations</v>
      </c>
      <c r="B286" s="302">
        <v>9.8110307310543238E-2</v>
      </c>
      <c r="C286" s="302">
        <v>5.2515254029878985E-2</v>
      </c>
      <c r="D286" s="302">
        <f t="shared" si="112"/>
        <v>0.15062556134042221</v>
      </c>
      <c r="E286" s="303"/>
      <c r="F286" s="302">
        <v>5.2932659590506775E-2</v>
      </c>
      <c r="G286" s="302">
        <v>4.584541873734705E-2</v>
      </c>
      <c r="H286" s="302">
        <f t="shared" si="113"/>
        <v>9.8778078327853819E-2</v>
      </c>
      <c r="I286" s="303"/>
      <c r="J286" s="302">
        <v>2.3301555926610144E-2</v>
      </c>
      <c r="K286" s="302">
        <v>4.5658734536056074E-2</v>
      </c>
      <c r="L286" s="302">
        <f t="shared" si="114"/>
        <v>6.8960290462666218E-2</v>
      </c>
      <c r="M286" s="236"/>
      <c r="N286" s="236"/>
    </row>
    <row r="287" spans="1:14" x14ac:dyDescent="0.3">
      <c r="A287" s="237" t="str">
        <f>name!E$10</f>
        <v>Sales and customer service occupations</v>
      </c>
      <c r="B287" s="302">
        <v>0.27848359967682834</v>
      </c>
      <c r="C287" s="302">
        <v>0.29644405140575453</v>
      </c>
      <c r="D287" s="302">
        <f t="shared" si="112"/>
        <v>0.57492765108258292</v>
      </c>
      <c r="E287" s="303"/>
      <c r="F287" s="302">
        <v>0.19880800601928647</v>
      </c>
      <c r="G287" s="302">
        <v>0.35704057436853759</v>
      </c>
      <c r="H287" s="302">
        <f t="shared" si="113"/>
        <v>0.55584858038782403</v>
      </c>
      <c r="I287" s="303"/>
      <c r="J287" s="302">
        <v>0.13564279264062179</v>
      </c>
      <c r="K287" s="302">
        <v>0.48672229119015981</v>
      </c>
      <c r="L287" s="302">
        <f t="shared" si="114"/>
        <v>0.6223650838307816</v>
      </c>
      <c r="M287" s="236"/>
      <c r="N287" s="236"/>
    </row>
    <row r="288" spans="1:14" x14ac:dyDescent="0.3">
      <c r="A288" s="237" t="str">
        <f>name!E$11</f>
        <v>Process, plant and machine operatives</v>
      </c>
      <c r="B288" s="302">
        <v>0.6859695922326059</v>
      </c>
      <c r="C288" s="302">
        <v>0.88714806100103605</v>
      </c>
      <c r="D288" s="302">
        <f t="shared" si="112"/>
        <v>1.5731176532336419</v>
      </c>
      <c r="E288" s="303"/>
      <c r="F288" s="302">
        <v>0.38485209918089391</v>
      </c>
      <c r="G288" s="302">
        <v>0.63679424078488711</v>
      </c>
      <c r="H288" s="302">
        <f t="shared" si="113"/>
        <v>1.0216463399657809</v>
      </c>
      <c r="I288" s="303"/>
      <c r="J288" s="302">
        <v>0.328148099340768</v>
      </c>
      <c r="K288" s="302">
        <v>0.53397170606360711</v>
      </c>
      <c r="L288" s="302">
        <f t="shared" si="114"/>
        <v>0.86211980540437505</v>
      </c>
      <c r="M288" s="236"/>
      <c r="N288" s="236"/>
    </row>
    <row r="289" spans="1:14" x14ac:dyDescent="0.3">
      <c r="A289" s="237" t="str">
        <f>name!E$12</f>
        <v>Elementary occupations</v>
      </c>
      <c r="B289" s="302">
        <v>0.23300637792341541</v>
      </c>
      <c r="C289" s="302">
        <v>0.30271826595309709</v>
      </c>
      <c r="D289" s="302">
        <f t="shared" si="112"/>
        <v>0.53572464387651253</v>
      </c>
      <c r="E289" s="303"/>
      <c r="F289" s="302">
        <v>0.1209560921029096</v>
      </c>
      <c r="G289" s="302">
        <v>0.1864106771970063</v>
      </c>
      <c r="H289" s="302">
        <f t="shared" si="113"/>
        <v>0.30736676929991591</v>
      </c>
      <c r="I289" s="303"/>
      <c r="J289" s="302">
        <v>6.6880469765332129E-2</v>
      </c>
      <c r="K289" s="302">
        <v>9.1672718758109589E-2</v>
      </c>
      <c r="L289" s="302">
        <f t="shared" si="114"/>
        <v>0.15855318852344172</v>
      </c>
      <c r="M289" s="236"/>
      <c r="N289" s="236"/>
    </row>
    <row r="290" spans="1:14" x14ac:dyDescent="0.3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3">
      <c r="A291" s="244" t="s">
        <v>32</v>
      </c>
      <c r="B291" s="311">
        <f>SUM(B281:B289)</f>
        <v>4.6319999999813861</v>
      </c>
      <c r="C291" s="311">
        <f t="shared" ref="C291:D291" si="115">SUM(C281:C289)</f>
        <v>13.0639999999621</v>
      </c>
      <c r="D291" s="311">
        <f t="shared" si="115"/>
        <v>17.695999999943488</v>
      </c>
      <c r="E291" s="311"/>
      <c r="F291" s="311">
        <f t="shared" ref="F291:H291" si="116">SUM(F281:F289)</f>
        <v>3.5849999999857509</v>
      </c>
      <c r="G291" s="311">
        <f t="shared" si="116"/>
        <v>11.900999999961062</v>
      </c>
      <c r="H291" s="311">
        <f t="shared" si="116"/>
        <v>15.485999999946813</v>
      </c>
      <c r="I291" s="311"/>
      <c r="J291" s="311">
        <f t="shared" ref="J291:L291" si="117">SUM(J281:J289)</f>
        <v>2.4390000000031771</v>
      </c>
      <c r="K291" s="311">
        <f t="shared" si="117"/>
        <v>9.8450000000065057</v>
      </c>
      <c r="L291" s="311">
        <f t="shared" si="117"/>
        <v>12.28400000000968</v>
      </c>
      <c r="M291" s="236"/>
      <c r="N291" s="236"/>
    </row>
    <row r="292" spans="1:14" x14ac:dyDescent="0.3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3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35</v>
      </c>
      <c r="M293" s="236"/>
      <c r="N293" s="236"/>
    </row>
    <row r="294" spans="1:14" x14ac:dyDescent="0.3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3">
      <c r="A295" s="241" t="str">
        <f>name!A20</f>
        <v>Electrical equipment</v>
      </c>
      <c r="B295" s="373">
        <f>B$6</f>
        <v>2015</v>
      </c>
      <c r="C295" s="373"/>
      <c r="D295" s="373"/>
      <c r="E295" s="253"/>
      <c r="F295" s="373">
        <f>F278</f>
        <v>2020</v>
      </c>
      <c r="G295" s="373"/>
      <c r="H295" s="373"/>
      <c r="I295" s="253"/>
      <c r="J295" s="373">
        <f>J278</f>
        <v>2035</v>
      </c>
      <c r="K295" s="373"/>
      <c r="L295" s="373"/>
      <c r="M295" s="236"/>
      <c r="N295" s="236"/>
    </row>
    <row r="296" spans="1:14" x14ac:dyDescent="0.3">
      <c r="A296" s="254"/>
      <c r="B296" s="255" t="s">
        <v>352</v>
      </c>
      <c r="C296" s="255" t="s">
        <v>353</v>
      </c>
      <c r="D296" s="255" t="s">
        <v>32</v>
      </c>
      <c r="E296" s="255"/>
      <c r="F296" s="255" t="s">
        <v>352</v>
      </c>
      <c r="G296" s="255" t="s">
        <v>353</v>
      </c>
      <c r="H296" s="255" t="s">
        <v>32</v>
      </c>
      <c r="I296" s="255"/>
      <c r="J296" s="255" t="s">
        <v>352</v>
      </c>
      <c r="K296" s="255" t="s">
        <v>353</v>
      </c>
      <c r="L296" s="255" t="s">
        <v>32</v>
      </c>
      <c r="M296" s="236"/>
      <c r="N296" s="236"/>
    </row>
    <row r="297" spans="1:14" x14ac:dyDescent="0.3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3">
      <c r="A298" s="237" t="str">
        <f>name!E$4</f>
        <v>Managers, directors and senior officials</v>
      </c>
      <c r="B298" s="302">
        <v>0.1806285240844924</v>
      </c>
      <c r="C298" s="302">
        <v>0.76560432309234472</v>
      </c>
      <c r="D298" s="302">
        <f>SUM(B298:C298)</f>
        <v>0.94623284717683709</v>
      </c>
      <c r="E298" s="303"/>
      <c r="F298" s="302">
        <v>0.21055571093789416</v>
      </c>
      <c r="G298" s="302">
        <v>0.73043988831730688</v>
      </c>
      <c r="H298" s="302">
        <f>SUM(F298:G298)</f>
        <v>0.94099559925520104</v>
      </c>
      <c r="I298" s="303"/>
      <c r="J298" s="302">
        <v>0.23944266871551639</v>
      </c>
      <c r="K298" s="302">
        <v>0.67505265919452784</v>
      </c>
      <c r="L298" s="302">
        <f>SUM(J298:K298)</f>
        <v>0.91449532791004429</v>
      </c>
      <c r="M298" s="236"/>
      <c r="N298" s="236"/>
    </row>
    <row r="299" spans="1:14" x14ac:dyDescent="0.3">
      <c r="A299" s="237" t="str">
        <f>name!E$5</f>
        <v>Professional occupations</v>
      </c>
      <c r="B299" s="302">
        <v>0.23120392845906748</v>
      </c>
      <c r="C299" s="302">
        <v>0.83260468122406561</v>
      </c>
      <c r="D299" s="302">
        <f t="shared" ref="D299:D306" si="118">SUM(B299:C299)</f>
        <v>1.0638086096831332</v>
      </c>
      <c r="E299" s="303"/>
      <c r="F299" s="302">
        <v>0.26296326496642886</v>
      </c>
      <c r="G299" s="302">
        <v>0.89250424555065411</v>
      </c>
      <c r="H299" s="302">
        <f t="shared" ref="H299:H306" si="119">SUM(F299:G299)</f>
        <v>1.1554675105170831</v>
      </c>
      <c r="I299" s="303"/>
      <c r="J299" s="302">
        <v>0.30250883037208537</v>
      </c>
      <c r="K299" s="302">
        <v>0.8909817667399772</v>
      </c>
      <c r="L299" s="302">
        <f t="shared" ref="L299:L306" si="120">SUM(J299:K299)</f>
        <v>1.1934905971120626</v>
      </c>
      <c r="M299" s="236"/>
      <c r="N299" s="236"/>
    </row>
    <row r="300" spans="1:14" x14ac:dyDescent="0.3">
      <c r="A300" s="237" t="str">
        <f>name!E$6</f>
        <v>Associate professional occupations</v>
      </c>
      <c r="B300" s="302">
        <v>0.24994591583806097</v>
      </c>
      <c r="C300" s="302">
        <v>0.58096131247406935</v>
      </c>
      <c r="D300" s="302">
        <f t="shared" si="118"/>
        <v>0.83090722831213037</v>
      </c>
      <c r="E300" s="303"/>
      <c r="F300" s="302">
        <v>0.24926682125806171</v>
      </c>
      <c r="G300" s="302">
        <v>0.58162938052708646</v>
      </c>
      <c r="H300" s="302">
        <f t="shared" si="119"/>
        <v>0.83089620178514823</v>
      </c>
      <c r="I300" s="303"/>
      <c r="J300" s="302">
        <v>0.26427776576400513</v>
      </c>
      <c r="K300" s="302">
        <v>0.46036526219067964</v>
      </c>
      <c r="L300" s="302">
        <f t="shared" si="120"/>
        <v>0.72464302795468472</v>
      </c>
      <c r="M300" s="236"/>
      <c r="N300" s="236"/>
    </row>
    <row r="301" spans="1:14" x14ac:dyDescent="0.3">
      <c r="A301" s="237" t="str">
        <f>name!E$7</f>
        <v>Administrative and secretarial occupations</v>
      </c>
      <c r="B301" s="302">
        <v>0.50582898146645316</v>
      </c>
      <c r="C301" s="302">
        <v>8.6612972509403086E-2</v>
      </c>
      <c r="D301" s="302">
        <f t="shared" si="118"/>
        <v>0.59244195397585631</v>
      </c>
      <c r="E301" s="303"/>
      <c r="F301" s="302">
        <v>0.47265224772229458</v>
      </c>
      <c r="G301" s="302">
        <v>0.10165970800155501</v>
      </c>
      <c r="H301" s="302">
        <f t="shared" si="119"/>
        <v>0.57431195572384963</v>
      </c>
      <c r="I301" s="303"/>
      <c r="J301" s="302">
        <v>0.33645082408404853</v>
      </c>
      <c r="K301" s="302">
        <v>9.0782032115546682E-2</v>
      </c>
      <c r="L301" s="302">
        <f t="shared" si="120"/>
        <v>0.42723285619959522</v>
      </c>
      <c r="M301" s="236"/>
      <c r="N301" s="236"/>
    </row>
    <row r="302" spans="1:14" x14ac:dyDescent="0.3">
      <c r="A302" s="237" t="str">
        <f>name!E$8</f>
        <v>Skilled trades occupations</v>
      </c>
      <c r="B302" s="302">
        <v>6.439002886400054E-2</v>
      </c>
      <c r="C302" s="302">
        <v>1.3475116823391475</v>
      </c>
      <c r="D302" s="302">
        <f t="shared" si="118"/>
        <v>1.411901711203148</v>
      </c>
      <c r="E302" s="303"/>
      <c r="F302" s="302">
        <v>5.6347078456507133E-2</v>
      </c>
      <c r="G302" s="302">
        <v>0.84969227590730512</v>
      </c>
      <c r="H302" s="302">
        <f t="shared" si="119"/>
        <v>0.90603935436381222</v>
      </c>
      <c r="I302" s="303"/>
      <c r="J302" s="302">
        <v>0.10358487890019159</v>
      </c>
      <c r="K302" s="302">
        <v>0.59195658326088241</v>
      </c>
      <c r="L302" s="302">
        <f t="shared" si="120"/>
        <v>0.69554146216107404</v>
      </c>
      <c r="M302" s="236"/>
      <c r="N302" s="236"/>
    </row>
    <row r="303" spans="1:14" x14ac:dyDescent="0.3">
      <c r="A303" s="237" t="str">
        <f>name!E$9</f>
        <v>Caring, leisure and other service occupations</v>
      </c>
      <c r="B303" s="302">
        <v>0.1067770917843069</v>
      </c>
      <c r="C303" s="302">
        <v>1.9632568570254791E-2</v>
      </c>
      <c r="D303" s="302">
        <f t="shared" si="118"/>
        <v>0.12640966035456169</v>
      </c>
      <c r="E303" s="303"/>
      <c r="F303" s="302">
        <v>8.4743437551320008E-2</v>
      </c>
      <c r="G303" s="302">
        <v>1.8030639792767297E-2</v>
      </c>
      <c r="H303" s="302">
        <f t="shared" si="119"/>
        <v>0.10277407734408731</v>
      </c>
      <c r="I303" s="303"/>
      <c r="J303" s="302">
        <v>7.1905865236366676E-2</v>
      </c>
      <c r="K303" s="302">
        <v>1.8853567219832577E-2</v>
      </c>
      <c r="L303" s="302">
        <f t="shared" si="120"/>
        <v>9.0759432456199246E-2</v>
      </c>
      <c r="M303" s="236"/>
      <c r="N303" s="236"/>
    </row>
    <row r="304" spans="1:14" x14ac:dyDescent="0.3">
      <c r="A304" s="237" t="str">
        <f>name!E$10</f>
        <v>Sales and customer service occupations</v>
      </c>
      <c r="B304" s="302">
        <v>0.10609073135875222</v>
      </c>
      <c r="C304" s="302">
        <v>8.8476668828119512E-2</v>
      </c>
      <c r="D304" s="302">
        <f t="shared" si="118"/>
        <v>0.19456740018687174</v>
      </c>
      <c r="E304" s="303"/>
      <c r="F304" s="302">
        <v>9.2886601926206611E-2</v>
      </c>
      <c r="G304" s="302">
        <v>0.15744269585569334</v>
      </c>
      <c r="H304" s="302">
        <f t="shared" si="119"/>
        <v>0.25032929778189994</v>
      </c>
      <c r="I304" s="303"/>
      <c r="J304" s="302">
        <v>0.10020649854626186</v>
      </c>
      <c r="K304" s="302">
        <v>0.17463393421564521</v>
      </c>
      <c r="L304" s="302">
        <f t="shared" si="120"/>
        <v>0.27484043276190706</v>
      </c>
      <c r="M304" s="236"/>
      <c r="N304" s="236"/>
    </row>
    <row r="305" spans="1:14" x14ac:dyDescent="0.3">
      <c r="A305" s="237" t="str">
        <f>name!E$11</f>
        <v>Process, plant and machine operatives</v>
      </c>
      <c r="B305" s="302">
        <v>0.24730525454165336</v>
      </c>
      <c r="C305" s="302">
        <v>0.65619666059393977</v>
      </c>
      <c r="D305" s="302">
        <f t="shared" si="118"/>
        <v>0.90350191513559319</v>
      </c>
      <c r="E305" s="303"/>
      <c r="F305" s="302">
        <v>0.14508168974732258</v>
      </c>
      <c r="G305" s="302">
        <v>0.41356272135581101</v>
      </c>
      <c r="H305" s="302">
        <f t="shared" si="119"/>
        <v>0.55864441110313356</v>
      </c>
      <c r="I305" s="303"/>
      <c r="J305" s="302">
        <v>0.15219057358551252</v>
      </c>
      <c r="K305" s="302">
        <v>0.38356134986236068</v>
      </c>
      <c r="L305" s="302">
        <f t="shared" si="120"/>
        <v>0.53575192344787315</v>
      </c>
      <c r="M305" s="236"/>
      <c r="N305" s="236"/>
    </row>
    <row r="306" spans="1:14" x14ac:dyDescent="0.3">
      <c r="A306" s="237" t="str">
        <f>name!E$12</f>
        <v>Elementary occupations</v>
      </c>
      <c r="B306" s="302">
        <v>0.14882954359643685</v>
      </c>
      <c r="C306" s="302">
        <v>0.16539913035375611</v>
      </c>
      <c r="D306" s="302">
        <f t="shared" si="118"/>
        <v>0.31422867395019294</v>
      </c>
      <c r="E306" s="303"/>
      <c r="F306" s="302">
        <v>0.10550314742092455</v>
      </c>
      <c r="G306" s="302">
        <v>0.1100384446826983</v>
      </c>
      <c r="H306" s="302">
        <f t="shared" si="119"/>
        <v>0.21554159210362284</v>
      </c>
      <c r="I306" s="303"/>
      <c r="J306" s="302">
        <v>8.3432094794250858E-2</v>
      </c>
      <c r="K306" s="302">
        <v>5.381284520313237E-2</v>
      </c>
      <c r="L306" s="302">
        <f t="shared" si="120"/>
        <v>0.13724493999738324</v>
      </c>
      <c r="M306" s="236"/>
      <c r="N306" s="236"/>
    </row>
    <row r="307" spans="1:14" x14ac:dyDescent="0.3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3">
      <c r="A308" s="244" t="s">
        <v>32</v>
      </c>
      <c r="B308" s="311">
        <f>SUM(B298:B306)</f>
        <v>1.8409999999932238</v>
      </c>
      <c r="C308" s="311">
        <f t="shared" ref="C308:D308" si="121">SUM(C298:C306)</f>
        <v>4.542999999985101</v>
      </c>
      <c r="D308" s="311">
        <f t="shared" si="121"/>
        <v>6.3839999999783252</v>
      </c>
      <c r="E308" s="311"/>
      <c r="F308" s="311">
        <f t="shared" ref="F308:H308" si="122">SUM(F298:F306)</f>
        <v>1.6799999999869604</v>
      </c>
      <c r="G308" s="311">
        <f t="shared" si="122"/>
        <v>3.8549999999908771</v>
      </c>
      <c r="H308" s="311">
        <f t="shared" si="122"/>
        <v>5.5349999999778392</v>
      </c>
      <c r="I308" s="311"/>
      <c r="J308" s="311">
        <f t="shared" ref="J308:L308" si="123">SUM(J298:J306)</f>
        <v>1.6539999999982389</v>
      </c>
      <c r="K308" s="311">
        <f t="shared" si="123"/>
        <v>3.3400000000025849</v>
      </c>
      <c r="L308" s="311">
        <f t="shared" si="123"/>
        <v>4.994000000000824</v>
      </c>
      <c r="M308" s="236"/>
      <c r="N308" s="236"/>
    </row>
    <row r="309" spans="1:14" x14ac:dyDescent="0.3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3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35</v>
      </c>
      <c r="M310" s="236"/>
      <c r="N310" s="236"/>
    </row>
    <row r="311" spans="1:14" x14ac:dyDescent="0.3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3">
      <c r="A312" s="241" t="str">
        <f>name!A21</f>
        <v>Machinery n.e.c.</v>
      </c>
      <c r="B312" s="373">
        <f>B$6</f>
        <v>2015</v>
      </c>
      <c r="C312" s="373"/>
      <c r="D312" s="373"/>
      <c r="E312" s="253"/>
      <c r="F312" s="373">
        <f>F295</f>
        <v>2020</v>
      </c>
      <c r="G312" s="373"/>
      <c r="H312" s="373"/>
      <c r="I312" s="253"/>
      <c r="J312" s="373">
        <f>J295</f>
        <v>2035</v>
      </c>
      <c r="K312" s="373"/>
      <c r="L312" s="373"/>
      <c r="M312" s="236"/>
      <c r="N312" s="236"/>
    </row>
    <row r="313" spans="1:14" x14ac:dyDescent="0.3">
      <c r="A313" s="254"/>
      <c r="B313" s="255" t="s">
        <v>352</v>
      </c>
      <c r="C313" s="255" t="s">
        <v>353</v>
      </c>
      <c r="D313" s="255" t="s">
        <v>32</v>
      </c>
      <c r="E313" s="255"/>
      <c r="F313" s="255" t="s">
        <v>352</v>
      </c>
      <c r="G313" s="255" t="s">
        <v>353</v>
      </c>
      <c r="H313" s="255" t="s">
        <v>32</v>
      </c>
      <c r="I313" s="255"/>
      <c r="J313" s="255" t="s">
        <v>352</v>
      </c>
      <c r="K313" s="255" t="s">
        <v>353</v>
      </c>
      <c r="L313" s="255" t="s">
        <v>32</v>
      </c>
      <c r="M313" s="236"/>
      <c r="N313" s="236"/>
    </row>
    <row r="314" spans="1:14" x14ac:dyDescent="0.3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3">
      <c r="A315" s="237" t="str">
        <f>name!E$4</f>
        <v>Managers, directors and senior officials</v>
      </c>
      <c r="B315" s="302">
        <v>0.38400963612881178</v>
      </c>
      <c r="C315" s="302">
        <v>2.8052053567012227</v>
      </c>
      <c r="D315" s="302">
        <f>SUM(B315:C315)</f>
        <v>3.1892149928300344</v>
      </c>
      <c r="E315" s="303"/>
      <c r="F315" s="302">
        <v>0.43801151601281085</v>
      </c>
      <c r="G315" s="302">
        <v>3.1820234435353183</v>
      </c>
      <c r="H315" s="302">
        <f>SUM(F315:G315)</f>
        <v>3.6200349595481294</v>
      </c>
      <c r="I315" s="303"/>
      <c r="J315" s="302">
        <v>0.42102486987866417</v>
      </c>
      <c r="K315" s="302">
        <v>2.8526065909494753</v>
      </c>
      <c r="L315" s="302">
        <f>SUM(J315:K315)</f>
        <v>3.2736314608281396</v>
      </c>
      <c r="M315" s="236"/>
      <c r="N315" s="236"/>
    </row>
    <row r="316" spans="1:14" x14ac:dyDescent="0.3">
      <c r="A316" s="237" t="str">
        <f>name!E$5</f>
        <v>Professional occupations</v>
      </c>
      <c r="B316" s="302">
        <v>0.4521734388486659</v>
      </c>
      <c r="C316" s="302">
        <v>3.4819064919628291</v>
      </c>
      <c r="D316" s="302">
        <f t="shared" ref="D316:D323" si="124">SUM(B316:C316)</f>
        <v>3.9340799308114951</v>
      </c>
      <c r="E316" s="303"/>
      <c r="F316" s="302">
        <v>0.57639246327252158</v>
      </c>
      <c r="G316" s="302">
        <v>4.3228841604163364</v>
      </c>
      <c r="H316" s="302">
        <f t="shared" ref="H316:H323" si="125">SUM(F316:G316)</f>
        <v>4.8992766236888583</v>
      </c>
      <c r="I316" s="303"/>
      <c r="J316" s="302">
        <v>0.56762723454091657</v>
      </c>
      <c r="K316" s="302">
        <v>4.25268692539992</v>
      </c>
      <c r="L316" s="302">
        <f t="shared" ref="L316:L323" si="126">SUM(J316:K316)</f>
        <v>4.8203141599408363</v>
      </c>
      <c r="M316" s="236"/>
      <c r="N316" s="236"/>
    </row>
    <row r="317" spans="1:14" x14ac:dyDescent="0.3">
      <c r="A317" s="237" t="str">
        <f>name!E$6</f>
        <v>Associate professional occupations</v>
      </c>
      <c r="B317" s="302">
        <v>0.46627089638521202</v>
      </c>
      <c r="C317" s="302">
        <v>2.0622359225874876</v>
      </c>
      <c r="D317" s="302">
        <f t="shared" si="124"/>
        <v>2.5285068189726996</v>
      </c>
      <c r="E317" s="303"/>
      <c r="F317" s="302">
        <v>0.52583685627419108</v>
      </c>
      <c r="G317" s="302">
        <v>2.4326528279052426</v>
      </c>
      <c r="H317" s="302">
        <f t="shared" si="125"/>
        <v>2.9584896841794337</v>
      </c>
      <c r="I317" s="303"/>
      <c r="J317" s="302">
        <v>0.47207978213739815</v>
      </c>
      <c r="K317" s="302">
        <v>1.9248205585180571</v>
      </c>
      <c r="L317" s="302">
        <f t="shared" si="126"/>
        <v>2.3969003406554554</v>
      </c>
      <c r="M317" s="236"/>
      <c r="N317" s="236"/>
    </row>
    <row r="318" spans="1:14" x14ac:dyDescent="0.3">
      <c r="A318" s="237" t="str">
        <f>name!E$7</f>
        <v>Administrative and secretarial occupations</v>
      </c>
      <c r="B318" s="302">
        <v>1.0076510147976872</v>
      </c>
      <c r="C318" s="302">
        <v>0.40581857753102452</v>
      </c>
      <c r="D318" s="302">
        <f t="shared" si="124"/>
        <v>1.4134695923287117</v>
      </c>
      <c r="E318" s="303"/>
      <c r="F318" s="302">
        <v>0.95749974195247323</v>
      </c>
      <c r="G318" s="302">
        <v>0.46275498296267964</v>
      </c>
      <c r="H318" s="302">
        <f t="shared" si="125"/>
        <v>1.4202547249151529</v>
      </c>
      <c r="I318" s="303"/>
      <c r="J318" s="302">
        <v>0.55418690758804123</v>
      </c>
      <c r="K318" s="302">
        <v>0.42356042019363876</v>
      </c>
      <c r="L318" s="302">
        <f t="shared" si="126"/>
        <v>0.97774732778167994</v>
      </c>
      <c r="M318" s="236"/>
      <c r="N318" s="236"/>
    </row>
    <row r="319" spans="1:14" x14ac:dyDescent="0.3">
      <c r="A319" s="237" t="str">
        <f>name!E$8</f>
        <v>Skilled trades occupations</v>
      </c>
      <c r="B319" s="302">
        <v>9.7497971881075812E-2</v>
      </c>
      <c r="C319" s="302">
        <v>5.7969541873609947</v>
      </c>
      <c r="D319" s="302">
        <f t="shared" si="124"/>
        <v>5.8944521592420704</v>
      </c>
      <c r="E319" s="303"/>
      <c r="F319" s="302">
        <v>0.10925406784740235</v>
      </c>
      <c r="G319" s="302">
        <v>4.6563582212149646</v>
      </c>
      <c r="H319" s="302">
        <f t="shared" si="125"/>
        <v>4.7656122890623669</v>
      </c>
      <c r="I319" s="303"/>
      <c r="J319" s="302">
        <v>0.17192537956999013</v>
      </c>
      <c r="K319" s="302">
        <v>3.5247669229263865</v>
      </c>
      <c r="L319" s="302">
        <f t="shared" si="126"/>
        <v>3.6966923024963765</v>
      </c>
      <c r="M319" s="236"/>
      <c r="N319" s="236"/>
    </row>
    <row r="320" spans="1:14" x14ac:dyDescent="0.3">
      <c r="A320" s="237" t="str">
        <f>name!E$9</f>
        <v>Caring, leisure and other service occupations</v>
      </c>
      <c r="B320" s="302">
        <v>0.17719298876298925</v>
      </c>
      <c r="C320" s="302">
        <v>3.339634016113055E-2</v>
      </c>
      <c r="D320" s="302">
        <f t="shared" si="124"/>
        <v>0.2105893289241198</v>
      </c>
      <c r="E320" s="303"/>
      <c r="F320" s="302">
        <v>0.14227112367460898</v>
      </c>
      <c r="G320" s="302">
        <v>3.7579022122765503E-2</v>
      </c>
      <c r="H320" s="302">
        <f t="shared" si="125"/>
        <v>0.17985014579737449</v>
      </c>
      <c r="I320" s="303"/>
      <c r="J320" s="302">
        <v>9.2831970026591715E-2</v>
      </c>
      <c r="K320" s="302">
        <v>4.1479467237440587E-2</v>
      </c>
      <c r="L320" s="302">
        <f t="shared" si="126"/>
        <v>0.1343114372640323</v>
      </c>
      <c r="M320" s="236"/>
      <c r="N320" s="236"/>
    </row>
    <row r="321" spans="1:14" x14ac:dyDescent="0.3">
      <c r="A321" s="237" t="str">
        <f>name!E$10</f>
        <v>Sales and customer service occupations</v>
      </c>
      <c r="B321" s="302">
        <v>0.24223590652154331</v>
      </c>
      <c r="C321" s="302">
        <v>0.3306552251471514</v>
      </c>
      <c r="D321" s="302">
        <f t="shared" si="124"/>
        <v>0.57289113166869465</v>
      </c>
      <c r="E321" s="303"/>
      <c r="F321" s="302">
        <v>0.22790826910590356</v>
      </c>
      <c r="G321" s="302">
        <v>0.34593570936583196</v>
      </c>
      <c r="H321" s="302">
        <f t="shared" si="125"/>
        <v>0.57384397847173552</v>
      </c>
      <c r="I321" s="303"/>
      <c r="J321" s="302">
        <v>0.18543450480932511</v>
      </c>
      <c r="K321" s="302">
        <v>0.34619462768003384</v>
      </c>
      <c r="L321" s="302">
        <f t="shared" si="126"/>
        <v>0.53162913248935895</v>
      </c>
      <c r="M321" s="236"/>
      <c r="N321" s="236"/>
    </row>
    <row r="322" spans="1:14" x14ac:dyDescent="0.3">
      <c r="A322" s="237" t="str">
        <f>name!E$11</f>
        <v>Process, plant and machine operatives</v>
      </c>
      <c r="B322" s="302">
        <v>0.33726899967542096</v>
      </c>
      <c r="C322" s="302">
        <v>2.0320990891319064</v>
      </c>
      <c r="D322" s="302">
        <f t="shared" si="124"/>
        <v>2.3693680888073274</v>
      </c>
      <c r="E322" s="303"/>
      <c r="F322" s="302">
        <v>0.25826385375281413</v>
      </c>
      <c r="G322" s="302">
        <v>1.5985964576509681</v>
      </c>
      <c r="H322" s="302">
        <f t="shared" si="125"/>
        <v>1.8568603114037823</v>
      </c>
      <c r="I322" s="303"/>
      <c r="J322" s="302">
        <v>0.25741924650250098</v>
      </c>
      <c r="K322" s="302">
        <v>1.6115301096697923</v>
      </c>
      <c r="L322" s="302">
        <f t="shared" si="126"/>
        <v>1.8689493561722932</v>
      </c>
      <c r="M322" s="236"/>
      <c r="N322" s="236"/>
    </row>
    <row r="323" spans="1:14" x14ac:dyDescent="0.3">
      <c r="A323" s="237" t="str">
        <f>name!E$12</f>
        <v>Elementary occupations</v>
      </c>
      <c r="B323" s="302">
        <v>0.28569914699056603</v>
      </c>
      <c r="C323" s="302">
        <v>0.55872880935892932</v>
      </c>
      <c r="D323" s="302">
        <f t="shared" si="124"/>
        <v>0.84442795634949541</v>
      </c>
      <c r="E323" s="303"/>
      <c r="F323" s="302">
        <v>0.21456210808454376</v>
      </c>
      <c r="G323" s="302">
        <v>0.44721517480274064</v>
      </c>
      <c r="H323" s="302">
        <f t="shared" si="125"/>
        <v>0.66177728288728443</v>
      </c>
      <c r="I323" s="303"/>
      <c r="J323" s="302">
        <v>0.16547010494682773</v>
      </c>
      <c r="K323" s="302">
        <v>0.25035437749208711</v>
      </c>
      <c r="L323" s="302">
        <f t="shared" si="126"/>
        <v>0.41582448243891484</v>
      </c>
      <c r="M323" s="236"/>
      <c r="N323" s="236"/>
    </row>
    <row r="324" spans="1:14" x14ac:dyDescent="0.3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3">
      <c r="A325" s="244" t="s">
        <v>32</v>
      </c>
      <c r="B325" s="311">
        <f>SUM(B315:B323)</f>
        <v>3.4499999999919719</v>
      </c>
      <c r="C325" s="311">
        <f t="shared" ref="C325:D325" si="127">SUM(C315:C323)</f>
        <v>17.506999999942675</v>
      </c>
      <c r="D325" s="311">
        <f t="shared" si="127"/>
        <v>20.956999999934645</v>
      </c>
      <c r="E325" s="311"/>
      <c r="F325" s="311">
        <f t="shared" ref="F325:H325" si="128">SUM(F315:F323)</f>
        <v>3.4499999999772695</v>
      </c>
      <c r="G325" s="311">
        <f t="shared" si="128"/>
        <v>17.485999999976848</v>
      </c>
      <c r="H325" s="311">
        <f t="shared" si="128"/>
        <v>20.93599999995412</v>
      </c>
      <c r="I325" s="311"/>
      <c r="J325" s="311">
        <f t="shared" ref="J325:L325" si="129">SUM(J315:J323)</f>
        <v>2.8880000000002557</v>
      </c>
      <c r="K325" s="311">
        <f t="shared" si="129"/>
        <v>15.22800000006683</v>
      </c>
      <c r="L325" s="311">
        <f t="shared" si="129"/>
        <v>18.116000000067086</v>
      </c>
      <c r="M325" s="236"/>
      <c r="N325" s="236"/>
    </row>
    <row r="326" spans="1:14" x14ac:dyDescent="0.3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3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35</v>
      </c>
      <c r="M327" s="236"/>
      <c r="N327" s="236"/>
    </row>
    <row r="328" spans="1:14" x14ac:dyDescent="0.3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3">
      <c r="A329" s="241" t="str">
        <f>name!A22</f>
        <v>Motor vehicles, etc</v>
      </c>
      <c r="B329" s="373">
        <f>B$6</f>
        <v>2015</v>
      </c>
      <c r="C329" s="373"/>
      <c r="D329" s="373"/>
      <c r="E329" s="253"/>
      <c r="F329" s="373">
        <f>F312</f>
        <v>2020</v>
      </c>
      <c r="G329" s="373"/>
      <c r="H329" s="373"/>
      <c r="I329" s="253"/>
      <c r="J329" s="373">
        <f>J312</f>
        <v>2035</v>
      </c>
      <c r="K329" s="373"/>
      <c r="L329" s="373"/>
      <c r="M329" s="236"/>
      <c r="N329" s="236"/>
    </row>
    <row r="330" spans="1:14" x14ac:dyDescent="0.3">
      <c r="A330" s="254"/>
      <c r="B330" s="255" t="s">
        <v>352</v>
      </c>
      <c r="C330" s="255" t="s">
        <v>353</v>
      </c>
      <c r="D330" s="255" t="s">
        <v>32</v>
      </c>
      <c r="E330" s="255"/>
      <c r="F330" s="255" t="s">
        <v>352</v>
      </c>
      <c r="G330" s="255" t="s">
        <v>353</v>
      </c>
      <c r="H330" s="255" t="s">
        <v>32</v>
      </c>
      <c r="I330" s="255"/>
      <c r="J330" s="255" t="s">
        <v>352</v>
      </c>
      <c r="K330" s="255" t="s">
        <v>353</v>
      </c>
      <c r="L330" s="255" t="s">
        <v>32</v>
      </c>
      <c r="M330" s="236"/>
      <c r="N330" s="236"/>
    </row>
    <row r="331" spans="1:14" x14ac:dyDescent="0.3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3">
      <c r="A332" s="237" t="str">
        <f>name!E$4</f>
        <v>Managers, directors and senior officials</v>
      </c>
      <c r="B332" s="302">
        <v>0.11040739551355129</v>
      </c>
      <c r="C332" s="302">
        <v>0.76542363081352083</v>
      </c>
      <c r="D332" s="302">
        <f>SUM(B332:C332)</f>
        <v>0.8758310263270721</v>
      </c>
      <c r="E332" s="303"/>
      <c r="F332" s="302">
        <v>6.0020352837140648E-2</v>
      </c>
      <c r="G332" s="302">
        <v>0.48158642371832888</v>
      </c>
      <c r="H332" s="302">
        <f>SUM(F332:G332)</f>
        <v>0.54160677655546952</v>
      </c>
      <c r="I332" s="303"/>
      <c r="J332" s="302">
        <v>5.5700300393367652E-2</v>
      </c>
      <c r="K332" s="302">
        <v>0.39083546603439195</v>
      </c>
      <c r="L332" s="302">
        <f>SUM(J332:K332)</f>
        <v>0.44653576642775961</v>
      </c>
      <c r="M332" s="236"/>
      <c r="N332" s="236"/>
    </row>
    <row r="333" spans="1:14" x14ac:dyDescent="0.3">
      <c r="A333" s="237" t="str">
        <f>name!E$5</f>
        <v>Professional occupations</v>
      </c>
      <c r="B333" s="302">
        <v>0.21100829278065306</v>
      </c>
      <c r="C333" s="302">
        <v>1.5176681235666996</v>
      </c>
      <c r="D333" s="302">
        <f t="shared" ref="D333:D340" si="130">SUM(B333:C333)</f>
        <v>1.7286764163473527</v>
      </c>
      <c r="E333" s="303"/>
      <c r="F333" s="302">
        <v>0.12773035179244463</v>
      </c>
      <c r="G333" s="302">
        <v>1.0845448593897768</v>
      </c>
      <c r="H333" s="302">
        <f t="shared" ref="H333:H340" si="131">SUM(F333:G333)</f>
        <v>1.2122752111822215</v>
      </c>
      <c r="I333" s="303"/>
      <c r="J333" s="302">
        <v>0.12650643112917037</v>
      </c>
      <c r="K333" s="302">
        <v>1.0430193324938295</v>
      </c>
      <c r="L333" s="302">
        <f t="shared" ref="L333:L340" si="132">SUM(J333:K333)</f>
        <v>1.1695257636229999</v>
      </c>
      <c r="M333" s="236"/>
      <c r="N333" s="236"/>
    </row>
    <row r="334" spans="1:14" x14ac:dyDescent="0.3">
      <c r="A334" s="237" t="str">
        <f>name!E$6</f>
        <v>Associate professional occupations</v>
      </c>
      <c r="B334" s="302">
        <v>0.23623982117242198</v>
      </c>
      <c r="C334" s="302">
        <v>0.60614165471975912</v>
      </c>
      <c r="D334" s="302">
        <f t="shared" si="130"/>
        <v>0.84238147589218104</v>
      </c>
      <c r="E334" s="303"/>
      <c r="F334" s="302">
        <v>0.13080503662431217</v>
      </c>
      <c r="G334" s="302">
        <v>0.42070635705597809</v>
      </c>
      <c r="H334" s="302">
        <f t="shared" si="131"/>
        <v>0.55151139368029023</v>
      </c>
      <c r="I334" s="303"/>
      <c r="J334" s="302">
        <v>0.12143212723768745</v>
      </c>
      <c r="K334" s="302">
        <v>0.31396416535697974</v>
      </c>
      <c r="L334" s="302">
        <f t="shared" si="132"/>
        <v>0.43539629259466717</v>
      </c>
      <c r="M334" s="236"/>
      <c r="N334" s="236"/>
    </row>
    <row r="335" spans="1:14" x14ac:dyDescent="0.3">
      <c r="A335" s="237" t="str">
        <f>name!E$7</f>
        <v>Administrative and secretarial occupations</v>
      </c>
      <c r="B335" s="302">
        <v>0.51857498815452086</v>
      </c>
      <c r="C335" s="302">
        <v>0.32452924051396248</v>
      </c>
      <c r="D335" s="302">
        <f t="shared" si="130"/>
        <v>0.84310422866848334</v>
      </c>
      <c r="E335" s="303"/>
      <c r="F335" s="302">
        <v>0.22410826065172032</v>
      </c>
      <c r="G335" s="302">
        <v>0.215807796578077</v>
      </c>
      <c r="H335" s="302">
        <f t="shared" si="131"/>
        <v>0.43991605722979732</v>
      </c>
      <c r="I335" s="303"/>
      <c r="J335" s="302">
        <v>0.17001186508787017</v>
      </c>
      <c r="K335" s="302">
        <v>0.17963739778640544</v>
      </c>
      <c r="L335" s="302">
        <f t="shared" si="132"/>
        <v>0.34964926287427561</v>
      </c>
      <c r="M335" s="236"/>
      <c r="N335" s="236"/>
    </row>
    <row r="336" spans="1:14" x14ac:dyDescent="0.3">
      <c r="A336" s="237" t="str">
        <f>name!E$8</f>
        <v>Skilled trades occupations</v>
      </c>
      <c r="B336" s="302">
        <v>8.2111698816529036E-2</v>
      </c>
      <c r="C336" s="302">
        <v>1.8686536698035783</v>
      </c>
      <c r="D336" s="302">
        <f t="shared" si="130"/>
        <v>1.9507653686201074</v>
      </c>
      <c r="E336" s="303"/>
      <c r="F336" s="302">
        <v>4.8814849567969561E-2</v>
      </c>
      <c r="G336" s="302">
        <v>0.91636408082607479</v>
      </c>
      <c r="H336" s="302">
        <f t="shared" si="131"/>
        <v>0.96517893039404434</v>
      </c>
      <c r="I336" s="303"/>
      <c r="J336" s="302">
        <v>8.7239685057485139E-2</v>
      </c>
      <c r="K336" s="302">
        <v>0.65171962616377566</v>
      </c>
      <c r="L336" s="302">
        <f t="shared" si="132"/>
        <v>0.7389593112212608</v>
      </c>
      <c r="M336" s="236"/>
      <c r="N336" s="236"/>
    </row>
    <row r="337" spans="1:14" x14ac:dyDescent="0.3">
      <c r="A337" s="237" t="str">
        <f>name!E$9</f>
        <v>Caring, leisure and other service occupations</v>
      </c>
      <c r="B337" s="302">
        <v>0.17316637511186331</v>
      </c>
      <c r="C337" s="302">
        <v>0.12559787022075339</v>
      </c>
      <c r="D337" s="302">
        <f t="shared" si="130"/>
        <v>0.2987642453326167</v>
      </c>
      <c r="E337" s="303"/>
      <c r="F337" s="302">
        <v>6.5982503219129601E-2</v>
      </c>
      <c r="G337" s="302">
        <v>9.8811071856404087E-2</v>
      </c>
      <c r="H337" s="302">
        <f t="shared" si="131"/>
        <v>0.16479357507553369</v>
      </c>
      <c r="I337" s="303"/>
      <c r="J337" s="302">
        <v>6.9864492789146831E-2</v>
      </c>
      <c r="K337" s="302">
        <v>0.1358201851597978</v>
      </c>
      <c r="L337" s="302">
        <f t="shared" si="132"/>
        <v>0.20568467794894463</v>
      </c>
      <c r="M337" s="236"/>
      <c r="N337" s="236"/>
    </row>
    <row r="338" spans="1:14" x14ac:dyDescent="0.3">
      <c r="A338" s="237" t="str">
        <f>name!E$10</f>
        <v>Sales and customer service occupations</v>
      </c>
      <c r="B338" s="302">
        <v>7.3783021324380679E-2</v>
      </c>
      <c r="C338" s="302">
        <v>0.15413651240892112</v>
      </c>
      <c r="D338" s="302">
        <f t="shared" si="130"/>
        <v>0.22791953373330182</v>
      </c>
      <c r="E338" s="303"/>
      <c r="F338" s="302">
        <v>3.0092058164566865E-2</v>
      </c>
      <c r="G338" s="302">
        <v>8.9171316270810722E-2</v>
      </c>
      <c r="H338" s="302">
        <f t="shared" si="131"/>
        <v>0.11926337443537759</v>
      </c>
      <c r="I338" s="303"/>
      <c r="J338" s="302">
        <v>3.0391769869893347E-2</v>
      </c>
      <c r="K338" s="302">
        <v>8.4437933231611306E-2</v>
      </c>
      <c r="L338" s="302">
        <f t="shared" si="132"/>
        <v>0.11482970310150466</v>
      </c>
      <c r="M338" s="236"/>
      <c r="N338" s="236"/>
    </row>
    <row r="339" spans="1:14" x14ac:dyDescent="0.3">
      <c r="A339" s="237" t="str">
        <f>name!E$11</f>
        <v>Process, plant and machine operatives</v>
      </c>
      <c r="B339" s="302">
        <v>0.13935297381104669</v>
      </c>
      <c r="C339" s="302">
        <v>1.240435036239609</v>
      </c>
      <c r="D339" s="302">
        <f t="shared" si="130"/>
        <v>1.3797880100506557</v>
      </c>
      <c r="E339" s="303"/>
      <c r="F339" s="302">
        <v>5.1173926429311407E-2</v>
      </c>
      <c r="G339" s="302">
        <v>0.60210012831947934</v>
      </c>
      <c r="H339" s="302">
        <f t="shared" si="131"/>
        <v>0.65327405474879074</v>
      </c>
      <c r="I339" s="303"/>
      <c r="J339" s="302">
        <v>2.6529125588120876E-2</v>
      </c>
      <c r="K339" s="302">
        <v>0.52676176982004952</v>
      </c>
      <c r="L339" s="302">
        <f t="shared" si="132"/>
        <v>0.55329089540817045</v>
      </c>
      <c r="M339" s="236"/>
      <c r="N339" s="236"/>
    </row>
    <row r="340" spans="1:14" x14ac:dyDescent="0.3">
      <c r="A340" s="237" t="str">
        <f>name!E$12</f>
        <v>Elementary occupations</v>
      </c>
      <c r="B340" s="302">
        <v>0.12735543331620755</v>
      </c>
      <c r="C340" s="302">
        <v>0.3534142617014196</v>
      </c>
      <c r="D340" s="302">
        <f t="shared" si="130"/>
        <v>0.48076969501762712</v>
      </c>
      <c r="E340" s="303"/>
      <c r="F340" s="302">
        <v>2.3272660707519873E-2</v>
      </c>
      <c r="G340" s="302">
        <v>0.16990796598587993</v>
      </c>
      <c r="H340" s="302">
        <f t="shared" si="131"/>
        <v>0.1931806266933998</v>
      </c>
      <c r="I340" s="303"/>
      <c r="J340" s="302">
        <v>8.3242028476010789E-3</v>
      </c>
      <c r="K340" s="302">
        <v>0.10280412396414002</v>
      </c>
      <c r="L340" s="302">
        <f t="shared" si="132"/>
        <v>0.11112832681174109</v>
      </c>
      <c r="M340" s="236"/>
      <c r="N340" s="236"/>
    </row>
    <row r="341" spans="1:14" x14ac:dyDescent="0.3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3">
      <c r="A342" s="244" t="s">
        <v>32</v>
      </c>
      <c r="B342" s="311">
        <f>SUM(B332:B340)</f>
        <v>1.6720000000011743</v>
      </c>
      <c r="C342" s="311">
        <f t="shared" ref="C342:D342" si="133">SUM(C332:C340)</f>
        <v>6.9559999999882232</v>
      </c>
      <c r="D342" s="311">
        <f t="shared" si="133"/>
        <v>8.6279999999893988</v>
      </c>
      <c r="E342" s="311"/>
      <c r="F342" s="311">
        <f t="shared" ref="F342:H342" si="134">SUM(F332:F340)</f>
        <v>0.76199999999411494</v>
      </c>
      <c r="G342" s="311">
        <f t="shared" si="134"/>
        <v>4.0790000000008098</v>
      </c>
      <c r="H342" s="311">
        <f t="shared" si="134"/>
        <v>4.8409999999949251</v>
      </c>
      <c r="I342" s="311"/>
      <c r="J342" s="311">
        <f t="shared" ref="J342:L342" si="135">SUM(J332:J340)</f>
        <v>0.6960000000003429</v>
      </c>
      <c r="K342" s="311">
        <f t="shared" si="135"/>
        <v>3.4290000000109817</v>
      </c>
      <c r="L342" s="311">
        <f t="shared" si="135"/>
        <v>4.1250000000113243</v>
      </c>
      <c r="M342" s="236"/>
      <c r="N342" s="236"/>
    </row>
    <row r="343" spans="1:14" x14ac:dyDescent="0.3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3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35</v>
      </c>
      <c r="M344" s="236"/>
      <c r="N344" s="236"/>
    </row>
    <row r="345" spans="1:14" x14ac:dyDescent="0.3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3">
      <c r="A346" s="241" t="str">
        <f>name!A23</f>
        <v>Other transport equipment</v>
      </c>
      <c r="B346" s="373">
        <f>B$6</f>
        <v>2015</v>
      </c>
      <c r="C346" s="373"/>
      <c r="D346" s="373"/>
      <c r="E346" s="253"/>
      <c r="F346" s="373">
        <f>F329</f>
        <v>2020</v>
      </c>
      <c r="G346" s="373"/>
      <c r="H346" s="373"/>
      <c r="I346" s="253"/>
      <c r="J346" s="373">
        <f>J329</f>
        <v>2035</v>
      </c>
      <c r="K346" s="373"/>
      <c r="L346" s="373"/>
      <c r="M346" s="236"/>
      <c r="N346" s="236"/>
    </row>
    <row r="347" spans="1:14" x14ac:dyDescent="0.3">
      <c r="A347" s="254"/>
      <c r="B347" s="255" t="s">
        <v>352</v>
      </c>
      <c r="C347" s="255" t="s">
        <v>353</v>
      </c>
      <c r="D347" s="255" t="s">
        <v>32</v>
      </c>
      <c r="E347" s="255"/>
      <c r="F347" s="255" t="s">
        <v>352</v>
      </c>
      <c r="G347" s="255" t="s">
        <v>353</v>
      </c>
      <c r="H347" s="255" t="s">
        <v>32</v>
      </c>
      <c r="I347" s="255"/>
      <c r="J347" s="255" t="s">
        <v>352</v>
      </c>
      <c r="K347" s="255" t="s">
        <v>353</v>
      </c>
      <c r="L347" s="255" t="s">
        <v>32</v>
      </c>
      <c r="M347" s="236"/>
      <c r="N347" s="236"/>
    </row>
    <row r="348" spans="1:14" x14ac:dyDescent="0.3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3">
      <c r="A349" s="237" t="str">
        <f>name!E$4</f>
        <v>Managers, directors and senior officials</v>
      </c>
      <c r="B349" s="302">
        <v>0.10327193903114856</v>
      </c>
      <c r="C349" s="302">
        <v>0.82718731724210293</v>
      </c>
      <c r="D349" s="302">
        <f>SUM(B349:C349)</f>
        <v>0.93045925627325143</v>
      </c>
      <c r="E349" s="303"/>
      <c r="F349" s="302">
        <v>0.10190598275516484</v>
      </c>
      <c r="G349" s="302">
        <v>0.7764148928422232</v>
      </c>
      <c r="H349" s="302">
        <f>SUM(F349:G349)</f>
        <v>0.87832087559738803</v>
      </c>
      <c r="I349" s="303"/>
      <c r="J349" s="302">
        <v>9.100138905318976E-2</v>
      </c>
      <c r="K349" s="302">
        <v>0.60103085873561435</v>
      </c>
      <c r="L349" s="302">
        <f>SUM(J349:K349)</f>
        <v>0.69203224778880412</v>
      </c>
      <c r="M349" s="236"/>
      <c r="N349" s="236"/>
    </row>
    <row r="350" spans="1:14" x14ac:dyDescent="0.3">
      <c r="A350" s="237" t="str">
        <f>name!E$5</f>
        <v>Professional occupations</v>
      </c>
      <c r="B350" s="302">
        <v>0.24868388952287182</v>
      </c>
      <c r="C350" s="302">
        <v>2.6236006909143588</v>
      </c>
      <c r="D350" s="302">
        <f t="shared" ref="D350:D357" si="136">SUM(B350:C350)</f>
        <v>2.8722845804372308</v>
      </c>
      <c r="E350" s="303"/>
      <c r="F350" s="302">
        <v>0.27288884774289879</v>
      </c>
      <c r="G350" s="302">
        <v>2.6054646822476641</v>
      </c>
      <c r="H350" s="302">
        <f t="shared" ref="H350:H357" si="137">SUM(F350:G350)</f>
        <v>2.8783535299905632</v>
      </c>
      <c r="I350" s="303"/>
      <c r="J350" s="302">
        <v>0.26345487090702918</v>
      </c>
      <c r="K350" s="302">
        <v>2.3428774633012108</v>
      </c>
      <c r="L350" s="302">
        <f t="shared" ref="L350:L357" si="138">SUM(J350:K350)</f>
        <v>2.6063323342082398</v>
      </c>
      <c r="M350" s="236"/>
      <c r="N350" s="236"/>
    </row>
    <row r="351" spans="1:14" x14ac:dyDescent="0.3">
      <c r="A351" s="237" t="str">
        <f>name!E$6</f>
        <v>Associate professional occupations</v>
      </c>
      <c r="B351" s="302">
        <v>0.2217100163124045</v>
      </c>
      <c r="C351" s="302">
        <v>0.99251129979889219</v>
      </c>
      <c r="D351" s="302">
        <f t="shared" si="136"/>
        <v>1.2142213161112967</v>
      </c>
      <c r="E351" s="303"/>
      <c r="F351" s="302">
        <v>0.21296788424853458</v>
      </c>
      <c r="G351" s="302">
        <v>0.97615086343015534</v>
      </c>
      <c r="H351" s="302">
        <f t="shared" si="137"/>
        <v>1.18911874767869</v>
      </c>
      <c r="I351" s="303"/>
      <c r="J351" s="302">
        <v>0.18772005840158904</v>
      </c>
      <c r="K351" s="302">
        <v>0.71979087700795286</v>
      </c>
      <c r="L351" s="302">
        <f t="shared" si="138"/>
        <v>0.90751093540954186</v>
      </c>
      <c r="M351" s="236"/>
      <c r="N351" s="236"/>
    </row>
    <row r="352" spans="1:14" x14ac:dyDescent="0.3">
      <c r="A352" s="237" t="str">
        <f>name!E$7</f>
        <v>Administrative and secretarial occupations</v>
      </c>
      <c r="B352" s="302">
        <v>0.39064743177136363</v>
      </c>
      <c r="C352" s="302">
        <v>0.16127386651168593</v>
      </c>
      <c r="D352" s="302">
        <f t="shared" si="136"/>
        <v>0.55192129828304959</v>
      </c>
      <c r="E352" s="303"/>
      <c r="F352" s="302">
        <v>0.35360490677480705</v>
      </c>
      <c r="G352" s="302">
        <v>0.15243682878746845</v>
      </c>
      <c r="H352" s="302">
        <f t="shared" si="137"/>
        <v>0.5060417355622755</v>
      </c>
      <c r="I352" s="303"/>
      <c r="J352" s="302">
        <v>0.30839984238255613</v>
      </c>
      <c r="K352" s="302">
        <v>0.11343540246460768</v>
      </c>
      <c r="L352" s="302">
        <f t="shared" si="138"/>
        <v>0.42183524484716384</v>
      </c>
      <c r="M352" s="236"/>
      <c r="N352" s="236"/>
    </row>
    <row r="353" spans="1:14" x14ac:dyDescent="0.3">
      <c r="A353" s="237" t="str">
        <f>name!E$8</f>
        <v>Skilled trades occupations</v>
      </c>
      <c r="B353" s="302">
        <v>6.7668150613387698E-2</v>
      </c>
      <c r="C353" s="302">
        <v>2.6970042325832648</v>
      </c>
      <c r="D353" s="302">
        <f t="shared" si="136"/>
        <v>2.7646723831966526</v>
      </c>
      <c r="E353" s="303"/>
      <c r="F353" s="302">
        <v>5.382572089958286E-2</v>
      </c>
      <c r="G353" s="302">
        <v>1.82960712325249</v>
      </c>
      <c r="H353" s="302">
        <f t="shared" si="137"/>
        <v>1.8834328441520729</v>
      </c>
      <c r="I353" s="303"/>
      <c r="J353" s="302">
        <v>5.9964772514920099E-2</v>
      </c>
      <c r="K353" s="302">
        <v>1.101727339776789</v>
      </c>
      <c r="L353" s="302">
        <f t="shared" si="138"/>
        <v>1.1616921122917092</v>
      </c>
      <c r="M353" s="236"/>
      <c r="N353" s="236"/>
    </row>
    <row r="354" spans="1:14" x14ac:dyDescent="0.3">
      <c r="A354" s="237" t="str">
        <f>name!E$9</f>
        <v>Caring, leisure and other service occupations</v>
      </c>
      <c r="B354" s="302">
        <v>2.4057439151625833E-2</v>
      </c>
      <c r="C354" s="302">
        <v>1.8523481436605142E-2</v>
      </c>
      <c r="D354" s="302">
        <f t="shared" si="136"/>
        <v>4.2580920588230972E-2</v>
      </c>
      <c r="E354" s="303"/>
      <c r="F354" s="302">
        <v>1.6239652845340777E-2</v>
      </c>
      <c r="G354" s="302">
        <v>3.0542592665760721E-2</v>
      </c>
      <c r="H354" s="302">
        <f t="shared" si="137"/>
        <v>4.6782245511101495E-2</v>
      </c>
      <c r="I354" s="303"/>
      <c r="J354" s="302">
        <v>1.5755813493391033E-2</v>
      </c>
      <c r="K354" s="302">
        <v>2.7878766729188285E-2</v>
      </c>
      <c r="L354" s="302">
        <f t="shared" si="138"/>
        <v>4.3634580222579322E-2</v>
      </c>
      <c r="M354" s="236"/>
      <c r="N354" s="236"/>
    </row>
    <row r="355" spans="1:14" x14ac:dyDescent="0.3">
      <c r="A355" s="237" t="str">
        <f>name!E$10</f>
        <v>Sales and customer service occupations</v>
      </c>
      <c r="B355" s="302">
        <v>6.5087462995369091E-2</v>
      </c>
      <c r="C355" s="302">
        <v>7.2379382361244915E-2</v>
      </c>
      <c r="D355" s="302">
        <f t="shared" si="136"/>
        <v>0.13746684535661402</v>
      </c>
      <c r="E355" s="303"/>
      <c r="F355" s="302">
        <v>6.1011134661548061E-2</v>
      </c>
      <c r="G355" s="302">
        <v>9.9398431644442967E-2</v>
      </c>
      <c r="H355" s="302">
        <f t="shared" si="137"/>
        <v>0.16040956630599101</v>
      </c>
      <c r="I355" s="303"/>
      <c r="J355" s="302">
        <v>5.7076001744266781E-2</v>
      </c>
      <c r="K355" s="302">
        <v>9.2593684030165657E-2</v>
      </c>
      <c r="L355" s="302">
        <f t="shared" si="138"/>
        <v>0.14966968577443243</v>
      </c>
      <c r="M355" s="236"/>
      <c r="N355" s="236"/>
    </row>
    <row r="356" spans="1:14" x14ac:dyDescent="0.3">
      <c r="A356" s="237" t="str">
        <f>name!E$11</f>
        <v>Process, plant and machine operatives</v>
      </c>
      <c r="B356" s="302">
        <v>3.1901186343501239E-2</v>
      </c>
      <c r="C356" s="302">
        <v>0.70039372063419658</v>
      </c>
      <c r="D356" s="302">
        <f t="shared" si="136"/>
        <v>0.73229490697769783</v>
      </c>
      <c r="E356" s="303"/>
      <c r="F356" s="302">
        <v>2.0528370149241783E-2</v>
      </c>
      <c r="G356" s="302">
        <v>0.47560277054864109</v>
      </c>
      <c r="H356" s="302">
        <f t="shared" si="137"/>
        <v>0.49613114069788289</v>
      </c>
      <c r="I356" s="303"/>
      <c r="J356" s="302">
        <v>1.5620954798868976E-2</v>
      </c>
      <c r="K356" s="302">
        <v>0.3866701855694023</v>
      </c>
      <c r="L356" s="302">
        <f t="shared" si="138"/>
        <v>0.40229114036827129</v>
      </c>
      <c r="M356" s="236"/>
      <c r="N356" s="236"/>
    </row>
    <row r="357" spans="1:14" x14ac:dyDescent="0.3">
      <c r="A357" s="237" t="str">
        <f>name!E$12</f>
        <v>Elementary occupations</v>
      </c>
      <c r="B357" s="302">
        <v>3.1972484250649136E-2</v>
      </c>
      <c r="C357" s="302">
        <v>0.11512600848029193</v>
      </c>
      <c r="D357" s="302">
        <f t="shared" si="136"/>
        <v>0.14709849273094106</v>
      </c>
      <c r="E357" s="303"/>
      <c r="F357" s="302">
        <v>2.30274999208211E-2</v>
      </c>
      <c r="G357" s="302">
        <v>9.6381814548082187E-2</v>
      </c>
      <c r="H357" s="302">
        <f t="shared" si="137"/>
        <v>0.11940931446890329</v>
      </c>
      <c r="I357" s="303"/>
      <c r="J357" s="302">
        <v>1.6006296705939446E-2</v>
      </c>
      <c r="K357" s="302">
        <v>6.4995422354208368E-2</v>
      </c>
      <c r="L357" s="302">
        <f t="shared" si="138"/>
        <v>8.1001719060147817E-2</v>
      </c>
      <c r="M357" s="236"/>
      <c r="N357" s="236"/>
    </row>
    <row r="358" spans="1:14" x14ac:dyDescent="0.3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3">
      <c r="A359" s="244" t="s">
        <v>32</v>
      </c>
      <c r="B359" s="311">
        <f>SUM(B349:B357)</f>
        <v>1.1849999999923213</v>
      </c>
      <c r="C359" s="311">
        <f t="shared" ref="C359:D359" si="139">SUM(C349:C357)</f>
        <v>8.2079999999626434</v>
      </c>
      <c r="D359" s="311">
        <f t="shared" si="139"/>
        <v>9.3929999999549647</v>
      </c>
      <c r="E359" s="311"/>
      <c r="F359" s="311">
        <f t="shared" ref="F359:H359" si="140">SUM(F349:F357)</f>
        <v>1.1159999999979398</v>
      </c>
      <c r="G359" s="311">
        <f t="shared" si="140"/>
        <v>7.0419999999669285</v>
      </c>
      <c r="H359" s="311">
        <f t="shared" si="140"/>
        <v>8.1579999999648685</v>
      </c>
      <c r="I359" s="311"/>
      <c r="J359" s="311">
        <f t="shared" ref="J359:L359" si="141">SUM(J349:J357)</f>
        <v>1.0150000000017503</v>
      </c>
      <c r="K359" s="311">
        <f t="shared" si="141"/>
        <v>5.450999999969139</v>
      </c>
      <c r="L359" s="311">
        <f t="shared" si="141"/>
        <v>6.4659999999708901</v>
      </c>
      <c r="M359" s="236"/>
      <c r="N359" s="236"/>
    </row>
    <row r="360" spans="1:14" x14ac:dyDescent="0.3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3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35</v>
      </c>
      <c r="M361" s="236"/>
      <c r="N361" s="236"/>
    </row>
    <row r="362" spans="1:14" x14ac:dyDescent="0.3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3">
      <c r="A363" s="241" t="str">
        <f>name!A24</f>
        <v>Furniture</v>
      </c>
      <c r="B363" s="373">
        <f>B$6</f>
        <v>2015</v>
      </c>
      <c r="C363" s="373"/>
      <c r="D363" s="373"/>
      <c r="E363" s="253"/>
      <c r="F363" s="373">
        <f>F346</f>
        <v>2020</v>
      </c>
      <c r="G363" s="373"/>
      <c r="H363" s="373"/>
      <c r="I363" s="253"/>
      <c r="J363" s="373">
        <f>J346</f>
        <v>2035</v>
      </c>
      <c r="K363" s="373"/>
      <c r="L363" s="373"/>
      <c r="M363" s="236"/>
      <c r="N363" s="236"/>
    </row>
    <row r="364" spans="1:14" x14ac:dyDescent="0.3">
      <c r="A364" s="254"/>
      <c r="B364" s="255" t="s">
        <v>352</v>
      </c>
      <c r="C364" s="255" t="s">
        <v>353</v>
      </c>
      <c r="D364" s="255" t="s">
        <v>32</v>
      </c>
      <c r="E364" s="255"/>
      <c r="F364" s="255" t="s">
        <v>352</v>
      </c>
      <c r="G364" s="255" t="s">
        <v>353</v>
      </c>
      <c r="H364" s="255" t="s">
        <v>32</v>
      </c>
      <c r="I364" s="255"/>
      <c r="J364" s="255" t="s">
        <v>352</v>
      </c>
      <c r="K364" s="255" t="s">
        <v>353</v>
      </c>
      <c r="L364" s="255" t="s">
        <v>32</v>
      </c>
      <c r="M364" s="236"/>
      <c r="N364" s="236"/>
    </row>
    <row r="365" spans="1:14" x14ac:dyDescent="0.3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3">
      <c r="A366" s="237" t="str">
        <f>name!E$4</f>
        <v>Managers, directors and senior officials</v>
      </c>
      <c r="B366" s="302">
        <v>0.10977504540752213</v>
      </c>
      <c r="C366" s="302">
        <v>0.7889163789513548</v>
      </c>
      <c r="D366" s="302">
        <f>SUM(B366:C366)</f>
        <v>0.89869142435887694</v>
      </c>
      <c r="E366" s="303"/>
      <c r="F366" s="302">
        <v>0.19475271963738761</v>
      </c>
      <c r="G366" s="302">
        <v>0.92975295871073016</v>
      </c>
      <c r="H366" s="302">
        <f>SUM(F366:G366)</f>
        <v>1.1245056783481178</v>
      </c>
      <c r="I366" s="303"/>
      <c r="J366" s="302">
        <v>0.14772418647390434</v>
      </c>
      <c r="K366" s="302">
        <v>0.64370654803816352</v>
      </c>
      <c r="L366" s="302">
        <f>SUM(J366:K366)</f>
        <v>0.79143073451206791</v>
      </c>
      <c r="M366" s="236"/>
      <c r="N366" s="236"/>
    </row>
    <row r="367" spans="1:14" x14ac:dyDescent="0.3">
      <c r="A367" s="237" t="str">
        <f>name!E$5</f>
        <v>Professional occupations</v>
      </c>
      <c r="B367" s="302">
        <v>0.10186946313171256</v>
      </c>
      <c r="C367" s="302">
        <v>0.69048131928419365</v>
      </c>
      <c r="D367" s="302">
        <f t="shared" ref="D367:D374" si="142">SUM(B367:C367)</f>
        <v>0.79235078241590617</v>
      </c>
      <c r="E367" s="303"/>
      <c r="F367" s="302">
        <v>0.17292809086914582</v>
      </c>
      <c r="G367" s="302">
        <v>1.0637645778827767</v>
      </c>
      <c r="H367" s="302">
        <f t="shared" ref="H367:H374" si="143">SUM(F367:G367)</f>
        <v>1.2366926687519224</v>
      </c>
      <c r="I367" s="303"/>
      <c r="J367" s="302">
        <v>0.13375460717324858</v>
      </c>
      <c r="K367" s="302">
        <v>0.93140811333432205</v>
      </c>
      <c r="L367" s="302">
        <f t="shared" ref="L367:L374" si="144">SUM(J367:K367)</f>
        <v>1.0651627205075707</v>
      </c>
      <c r="M367" s="236"/>
      <c r="N367" s="236"/>
    </row>
    <row r="368" spans="1:14" x14ac:dyDescent="0.3">
      <c r="A368" s="237" t="str">
        <f>name!E$6</f>
        <v>Associate professional occupations</v>
      </c>
      <c r="B368" s="302">
        <v>0.16646562771920118</v>
      </c>
      <c r="C368" s="302">
        <v>0.58644094818594517</v>
      </c>
      <c r="D368" s="302">
        <f t="shared" si="142"/>
        <v>0.75290657590514631</v>
      </c>
      <c r="E368" s="303"/>
      <c r="F368" s="302">
        <v>0.21009774308040818</v>
      </c>
      <c r="G368" s="302">
        <v>0.80755228317002115</v>
      </c>
      <c r="H368" s="302">
        <f t="shared" si="143"/>
        <v>1.0176500262504293</v>
      </c>
      <c r="I368" s="303"/>
      <c r="J368" s="302">
        <v>0.14640087526243492</v>
      </c>
      <c r="K368" s="302">
        <v>0.55026410101714662</v>
      </c>
      <c r="L368" s="302">
        <f t="shared" si="144"/>
        <v>0.69666497627958157</v>
      </c>
      <c r="M368" s="236"/>
      <c r="N368" s="236"/>
    </row>
    <row r="369" spans="1:14" x14ac:dyDescent="0.3">
      <c r="A369" s="237" t="str">
        <f>name!E$7</f>
        <v>Administrative and secretarial occupations</v>
      </c>
      <c r="B369" s="302">
        <v>0.27121431414955516</v>
      </c>
      <c r="C369" s="302">
        <v>0.31501506652026096</v>
      </c>
      <c r="D369" s="302">
        <f t="shared" si="142"/>
        <v>0.58622938066981611</v>
      </c>
      <c r="E369" s="303"/>
      <c r="F369" s="302">
        <v>0.4710782343634885</v>
      </c>
      <c r="G369" s="302">
        <v>0.45320681772812405</v>
      </c>
      <c r="H369" s="302">
        <f t="shared" si="143"/>
        <v>0.9242850520916126</v>
      </c>
      <c r="I369" s="303"/>
      <c r="J369" s="302">
        <v>0.20848959594324679</v>
      </c>
      <c r="K369" s="302">
        <v>0.30756925258639434</v>
      </c>
      <c r="L369" s="302">
        <f t="shared" si="144"/>
        <v>0.51605884852964112</v>
      </c>
      <c r="M369" s="236"/>
      <c r="N369" s="236"/>
    </row>
    <row r="370" spans="1:14" x14ac:dyDescent="0.3">
      <c r="A370" s="237" t="str">
        <f>name!E$8</f>
        <v>Skilled trades occupations</v>
      </c>
      <c r="B370" s="302">
        <v>0.26289198730253971</v>
      </c>
      <c r="C370" s="302">
        <v>2.7938073703633535</v>
      </c>
      <c r="D370" s="302">
        <f t="shared" si="142"/>
        <v>3.0566993576658934</v>
      </c>
      <c r="E370" s="303"/>
      <c r="F370" s="302">
        <v>0.21645586200799552</v>
      </c>
      <c r="G370" s="302">
        <v>2.0961376491028441</v>
      </c>
      <c r="H370" s="302">
        <f t="shared" si="143"/>
        <v>2.3125935111108396</v>
      </c>
      <c r="I370" s="303"/>
      <c r="J370" s="302">
        <v>0.19138076303629381</v>
      </c>
      <c r="K370" s="302">
        <v>1.2167094591054097</v>
      </c>
      <c r="L370" s="302">
        <f t="shared" si="144"/>
        <v>1.4080902221417035</v>
      </c>
      <c r="M370" s="236"/>
      <c r="N370" s="236"/>
    </row>
    <row r="371" spans="1:14" x14ac:dyDescent="0.3">
      <c r="A371" s="237" t="str">
        <f>name!E$9</f>
        <v>Caring, leisure and other service occupations</v>
      </c>
      <c r="B371" s="302">
        <v>1.7470211137614423E-2</v>
      </c>
      <c r="C371" s="302">
        <v>2.4875128088660801E-2</v>
      </c>
      <c r="D371" s="302">
        <f t="shared" si="142"/>
        <v>4.2345339226275223E-2</v>
      </c>
      <c r="E371" s="303"/>
      <c r="F371" s="302">
        <v>2.3153609155573955E-2</v>
      </c>
      <c r="G371" s="302">
        <v>0.11672830628068648</v>
      </c>
      <c r="H371" s="302">
        <f t="shared" si="143"/>
        <v>0.13988191543626044</v>
      </c>
      <c r="I371" s="303"/>
      <c r="J371" s="302">
        <v>1.2786551839168839E-2</v>
      </c>
      <c r="K371" s="302">
        <v>0.11341337592591211</v>
      </c>
      <c r="L371" s="302">
        <f t="shared" si="144"/>
        <v>0.12619992776508093</v>
      </c>
      <c r="M371" s="236"/>
      <c r="N371" s="236"/>
    </row>
    <row r="372" spans="1:14" x14ac:dyDescent="0.3">
      <c r="A372" s="237" t="str">
        <f>name!E$10</f>
        <v>Sales and customer service occupations</v>
      </c>
      <c r="B372" s="302">
        <v>7.5168048259703385E-2</v>
      </c>
      <c r="C372" s="302">
        <v>0.29180949567757952</v>
      </c>
      <c r="D372" s="302">
        <f t="shared" si="142"/>
        <v>0.36697754393728288</v>
      </c>
      <c r="E372" s="303"/>
      <c r="F372" s="302">
        <v>0.1247883918184122</v>
      </c>
      <c r="G372" s="302">
        <v>0.48036749150200508</v>
      </c>
      <c r="H372" s="302">
        <f t="shared" si="143"/>
        <v>0.60515588332041725</v>
      </c>
      <c r="I372" s="303"/>
      <c r="J372" s="302">
        <v>8.4438794073920437E-2</v>
      </c>
      <c r="K372" s="302">
        <v>0.38358341132905388</v>
      </c>
      <c r="L372" s="302">
        <f t="shared" si="144"/>
        <v>0.46802220540297435</v>
      </c>
      <c r="M372" s="236"/>
      <c r="N372" s="236"/>
    </row>
    <row r="373" spans="1:14" x14ac:dyDescent="0.3">
      <c r="A373" s="237" t="str">
        <f>name!E$11</f>
        <v>Process, plant and machine operatives</v>
      </c>
      <c r="B373" s="302">
        <v>0.1552738462609097</v>
      </c>
      <c r="C373" s="302">
        <v>0.9371811605990924</v>
      </c>
      <c r="D373" s="302">
        <f t="shared" si="142"/>
        <v>1.0924550068600021</v>
      </c>
      <c r="E373" s="303"/>
      <c r="F373" s="302">
        <v>0.1992735149703769</v>
      </c>
      <c r="G373" s="302">
        <v>0.88827626916604596</v>
      </c>
      <c r="H373" s="302">
        <f t="shared" si="143"/>
        <v>1.0875497841364228</v>
      </c>
      <c r="I373" s="303"/>
      <c r="J373" s="302">
        <v>0.22550348503240961</v>
      </c>
      <c r="K373" s="302">
        <v>0.70391923694410319</v>
      </c>
      <c r="L373" s="302">
        <f t="shared" si="144"/>
        <v>0.92942272197651277</v>
      </c>
      <c r="M373" s="236"/>
      <c r="N373" s="236"/>
    </row>
    <row r="374" spans="1:14" x14ac:dyDescent="0.3">
      <c r="A374" s="237" t="str">
        <f>name!E$12</f>
        <v>Elementary occupations</v>
      </c>
      <c r="B374" s="302">
        <v>7.3871456641878872E-2</v>
      </c>
      <c r="C374" s="302">
        <v>0.50947313231865143</v>
      </c>
      <c r="D374" s="302">
        <f t="shared" si="142"/>
        <v>0.58334458896053032</v>
      </c>
      <c r="E374" s="303"/>
      <c r="F374" s="302">
        <v>7.7471834086554447E-2</v>
      </c>
      <c r="G374" s="302">
        <v>0.72621364647858444</v>
      </c>
      <c r="H374" s="302">
        <f t="shared" si="143"/>
        <v>0.80368548056513889</v>
      </c>
      <c r="I374" s="303"/>
      <c r="J374" s="302">
        <v>3.9521141161093558E-2</v>
      </c>
      <c r="K374" s="302">
        <v>0.4414265017626709</v>
      </c>
      <c r="L374" s="302">
        <f t="shared" si="144"/>
        <v>0.48094764292376446</v>
      </c>
      <c r="M374" s="236"/>
      <c r="N374" s="236"/>
    </row>
    <row r="375" spans="1:14" x14ac:dyDescent="0.3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3">
      <c r="A376" s="244" t="s">
        <v>32</v>
      </c>
      <c r="B376" s="311">
        <f>SUM(B366:B374)</f>
        <v>1.234000000010637</v>
      </c>
      <c r="C376" s="311">
        <f t="shared" ref="C376:D376" si="145">SUM(C366:C374)</f>
        <v>6.937999999989092</v>
      </c>
      <c r="D376" s="311">
        <f t="shared" si="145"/>
        <v>8.1719999999997306</v>
      </c>
      <c r="E376" s="311"/>
      <c r="F376" s="311">
        <f t="shared" ref="F376:H376" si="146">SUM(F366:F374)</f>
        <v>1.6899999999893431</v>
      </c>
      <c r="G376" s="311">
        <f t="shared" si="146"/>
        <v>7.5620000000218184</v>
      </c>
      <c r="H376" s="311">
        <f t="shared" si="146"/>
        <v>9.2520000000111615</v>
      </c>
      <c r="I376" s="311"/>
      <c r="J376" s="311">
        <f t="shared" ref="J376:L376" si="147">SUM(J366:J374)</f>
        <v>1.1899999999957209</v>
      </c>
      <c r="K376" s="311">
        <f t="shared" si="147"/>
        <v>5.2920000000431777</v>
      </c>
      <c r="L376" s="311">
        <f t="shared" si="147"/>
        <v>6.482000000038898</v>
      </c>
      <c r="M376" s="236"/>
      <c r="N376" s="236"/>
    </row>
    <row r="377" spans="1:14" x14ac:dyDescent="0.3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3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35</v>
      </c>
      <c r="M378" s="236"/>
      <c r="N378" s="236"/>
    </row>
    <row r="379" spans="1:14" x14ac:dyDescent="0.3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3">
      <c r="A380" s="241" t="str">
        <f>name!A25</f>
        <v>Other manufacturing</v>
      </c>
      <c r="B380" s="373">
        <f>B$6</f>
        <v>2015</v>
      </c>
      <c r="C380" s="373"/>
      <c r="D380" s="373"/>
      <c r="E380" s="253"/>
      <c r="F380" s="373">
        <f>F363</f>
        <v>2020</v>
      </c>
      <c r="G380" s="373"/>
      <c r="H380" s="373"/>
      <c r="I380" s="253"/>
      <c r="J380" s="373">
        <f>J363</f>
        <v>2035</v>
      </c>
      <c r="K380" s="373"/>
      <c r="L380" s="373"/>
      <c r="M380" s="236"/>
      <c r="N380" s="236"/>
    </row>
    <row r="381" spans="1:14" x14ac:dyDescent="0.3">
      <c r="A381" s="254"/>
      <c r="B381" s="255" t="s">
        <v>352</v>
      </c>
      <c r="C381" s="255" t="s">
        <v>353</v>
      </c>
      <c r="D381" s="255" t="s">
        <v>32</v>
      </c>
      <c r="E381" s="255"/>
      <c r="F381" s="255" t="s">
        <v>352</v>
      </c>
      <c r="G381" s="255" t="s">
        <v>353</v>
      </c>
      <c r="H381" s="255" t="s">
        <v>32</v>
      </c>
      <c r="I381" s="255"/>
      <c r="J381" s="255" t="s">
        <v>352</v>
      </c>
      <c r="K381" s="255" t="s">
        <v>353</v>
      </c>
      <c r="L381" s="255" t="s">
        <v>32</v>
      </c>
      <c r="M381" s="236"/>
      <c r="N381" s="236"/>
    </row>
    <row r="382" spans="1:14" x14ac:dyDescent="0.3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3">
      <c r="A383" s="237" t="str">
        <f>name!E$4</f>
        <v>Managers, directors and senior officials</v>
      </c>
      <c r="B383" s="302">
        <v>0.43471560872452791</v>
      </c>
      <c r="C383" s="302">
        <v>0.93276895602717336</v>
      </c>
      <c r="D383" s="302">
        <f>SUM(B383:C383)</f>
        <v>1.3674845647517013</v>
      </c>
      <c r="E383" s="303"/>
      <c r="F383" s="302">
        <v>0.31815911132960301</v>
      </c>
      <c r="G383" s="302">
        <v>0.72472520330686208</v>
      </c>
      <c r="H383" s="302">
        <f>SUM(F383:G383)</f>
        <v>1.042884314636465</v>
      </c>
      <c r="I383" s="303"/>
      <c r="J383" s="302">
        <v>0.24269035835831279</v>
      </c>
      <c r="K383" s="302">
        <v>0.5118880423017953</v>
      </c>
      <c r="L383" s="302">
        <f>SUM(J383:K383)</f>
        <v>0.75457840066010806</v>
      </c>
      <c r="M383" s="236"/>
      <c r="N383" s="236"/>
    </row>
    <row r="384" spans="1:14" x14ac:dyDescent="0.3">
      <c r="A384" s="237" t="str">
        <f>name!E$5</f>
        <v>Professional occupations</v>
      </c>
      <c r="B384" s="302">
        <v>0.45317718388659012</v>
      </c>
      <c r="C384" s="302">
        <v>0.97154930002806739</v>
      </c>
      <c r="D384" s="302">
        <f t="shared" ref="D384:D391" si="148">SUM(B384:C384)</f>
        <v>1.4247264839146574</v>
      </c>
      <c r="E384" s="303"/>
      <c r="F384" s="302">
        <v>0.38007563915822468</v>
      </c>
      <c r="G384" s="302">
        <v>0.83571577272304809</v>
      </c>
      <c r="H384" s="302">
        <f t="shared" ref="H384:H391" si="149">SUM(F384:G384)</f>
        <v>1.2157914118812727</v>
      </c>
      <c r="I384" s="303"/>
      <c r="J384" s="302">
        <v>0.31906399815242176</v>
      </c>
      <c r="K384" s="302">
        <v>0.67779615046826092</v>
      </c>
      <c r="L384" s="302">
        <f t="shared" ref="L384:L391" si="150">SUM(J384:K384)</f>
        <v>0.99686014862068273</v>
      </c>
      <c r="M384" s="236"/>
      <c r="N384" s="236"/>
    </row>
    <row r="385" spans="1:14" x14ac:dyDescent="0.3">
      <c r="A385" s="237" t="str">
        <f>name!E$6</f>
        <v>Associate professional occupations</v>
      </c>
      <c r="B385" s="302">
        <v>0.58779165581951998</v>
      </c>
      <c r="C385" s="302">
        <v>0.730806423306537</v>
      </c>
      <c r="D385" s="302">
        <f t="shared" si="148"/>
        <v>1.318598079126057</v>
      </c>
      <c r="E385" s="303"/>
      <c r="F385" s="302">
        <v>0.3713673093852648</v>
      </c>
      <c r="G385" s="302">
        <v>0.59515593003314138</v>
      </c>
      <c r="H385" s="302">
        <f t="shared" si="149"/>
        <v>0.96652323941840623</v>
      </c>
      <c r="I385" s="303"/>
      <c r="J385" s="302">
        <v>0.26569831826941648</v>
      </c>
      <c r="K385" s="302">
        <v>0.40947465660463989</v>
      </c>
      <c r="L385" s="302">
        <f t="shared" si="150"/>
        <v>0.67517297487405636</v>
      </c>
      <c r="M385" s="236"/>
      <c r="N385" s="236"/>
    </row>
    <row r="386" spans="1:14" x14ac:dyDescent="0.3">
      <c r="A386" s="237" t="str">
        <f>name!E$7</f>
        <v>Administrative and secretarial occupations</v>
      </c>
      <c r="B386" s="302">
        <v>0.80861431698777353</v>
      </c>
      <c r="C386" s="302">
        <v>0.32290083808193487</v>
      </c>
      <c r="D386" s="302">
        <f t="shared" si="148"/>
        <v>1.1315151550697085</v>
      </c>
      <c r="E386" s="303"/>
      <c r="F386" s="302">
        <v>0.42797889298244773</v>
      </c>
      <c r="G386" s="302">
        <v>0.25970572995587471</v>
      </c>
      <c r="H386" s="302">
        <f t="shared" si="149"/>
        <v>0.68768462293832244</v>
      </c>
      <c r="I386" s="303"/>
      <c r="J386" s="302">
        <v>0.19826861209216423</v>
      </c>
      <c r="K386" s="302">
        <v>0.18704661311446616</v>
      </c>
      <c r="L386" s="302">
        <f t="shared" si="150"/>
        <v>0.38531522520663042</v>
      </c>
      <c r="M386" s="236"/>
      <c r="N386" s="236"/>
    </row>
    <row r="387" spans="1:14" x14ac:dyDescent="0.3">
      <c r="A387" s="237" t="str">
        <f>name!E$8</f>
        <v>Skilled trades occupations</v>
      </c>
      <c r="B387" s="302">
        <v>0.68413460247540947</v>
      </c>
      <c r="C387" s="302">
        <v>2.9274545247220622</v>
      </c>
      <c r="D387" s="302">
        <f t="shared" si="148"/>
        <v>3.6115891271974716</v>
      </c>
      <c r="E387" s="303"/>
      <c r="F387" s="302">
        <v>0.2425529676375858</v>
      </c>
      <c r="G387" s="302">
        <v>1.5486441253449077</v>
      </c>
      <c r="H387" s="302">
        <f t="shared" si="149"/>
        <v>1.7911970929824934</v>
      </c>
      <c r="I387" s="303"/>
      <c r="J387" s="302">
        <v>0.20924558618346686</v>
      </c>
      <c r="K387" s="302">
        <v>0.91070923768122758</v>
      </c>
      <c r="L387" s="302">
        <f t="shared" si="150"/>
        <v>1.1199548238646944</v>
      </c>
      <c r="M387" s="236"/>
      <c r="N387" s="236"/>
    </row>
    <row r="388" spans="1:14" x14ac:dyDescent="0.3">
      <c r="A388" s="237" t="str">
        <f>name!E$9</f>
        <v>Caring, leisure and other service occupations</v>
      </c>
      <c r="B388" s="302">
        <v>5.7081767481486467E-2</v>
      </c>
      <c r="C388" s="302">
        <v>2.9240976531946534E-2</v>
      </c>
      <c r="D388" s="302">
        <f t="shared" si="148"/>
        <v>8.6322744013432998E-2</v>
      </c>
      <c r="E388" s="303"/>
      <c r="F388" s="302">
        <v>2.4507761809754953E-2</v>
      </c>
      <c r="G388" s="302">
        <v>2.1100725526563623E-2</v>
      </c>
      <c r="H388" s="302">
        <f t="shared" si="149"/>
        <v>4.5608487336318573E-2</v>
      </c>
      <c r="I388" s="303"/>
      <c r="J388" s="302">
        <v>1.5157309386961242E-2</v>
      </c>
      <c r="K388" s="302">
        <v>1.9085779923375346E-2</v>
      </c>
      <c r="L388" s="302">
        <f t="shared" si="150"/>
        <v>3.4243089310336587E-2</v>
      </c>
      <c r="M388" s="236"/>
      <c r="N388" s="236"/>
    </row>
    <row r="389" spans="1:14" x14ac:dyDescent="0.3">
      <c r="A389" s="237" t="str">
        <f>name!E$10</f>
        <v>Sales and customer service occupations</v>
      </c>
      <c r="B389" s="302">
        <v>0.2297110856882838</v>
      </c>
      <c r="C389" s="302">
        <v>0.30266667917976958</v>
      </c>
      <c r="D389" s="302">
        <f t="shared" si="148"/>
        <v>0.53237776486805344</v>
      </c>
      <c r="E389" s="303"/>
      <c r="F389" s="302">
        <v>0.12067967130775026</v>
      </c>
      <c r="G389" s="302">
        <v>0.18933990588825314</v>
      </c>
      <c r="H389" s="302">
        <f t="shared" si="149"/>
        <v>0.31001957719600337</v>
      </c>
      <c r="I389" s="303"/>
      <c r="J389" s="302">
        <v>8.4286376587386261E-2</v>
      </c>
      <c r="K389" s="302">
        <v>0.13733878173932124</v>
      </c>
      <c r="L389" s="302">
        <f t="shared" si="150"/>
        <v>0.22162515832670748</v>
      </c>
      <c r="M389" s="236"/>
      <c r="N389" s="236"/>
    </row>
    <row r="390" spans="1:14" x14ac:dyDescent="0.3">
      <c r="A390" s="237" t="str">
        <f>name!E$11</f>
        <v>Process, plant and machine operatives</v>
      </c>
      <c r="B390" s="302">
        <v>0.55712783357793538</v>
      </c>
      <c r="C390" s="302">
        <v>0.98708690621642281</v>
      </c>
      <c r="D390" s="302">
        <f t="shared" si="148"/>
        <v>1.5442147397943582</v>
      </c>
      <c r="E390" s="303"/>
      <c r="F390" s="302">
        <v>0.24514957724696745</v>
      </c>
      <c r="G390" s="302">
        <v>0.61340426433074569</v>
      </c>
      <c r="H390" s="302">
        <f t="shared" si="149"/>
        <v>0.85855384157771319</v>
      </c>
      <c r="I390" s="303"/>
      <c r="J390" s="302">
        <v>0.18136107657269088</v>
      </c>
      <c r="K390" s="302">
        <v>0.49516006876421154</v>
      </c>
      <c r="L390" s="302">
        <f t="shared" si="150"/>
        <v>0.67652114533690244</v>
      </c>
      <c r="M390" s="236"/>
      <c r="N390" s="236"/>
    </row>
    <row r="391" spans="1:14" x14ac:dyDescent="0.3">
      <c r="A391" s="237" t="str">
        <f>name!E$12</f>
        <v>Elementary occupations</v>
      </c>
      <c r="B391" s="302">
        <v>0.21564594536132889</v>
      </c>
      <c r="C391" s="302">
        <v>0.52252539589470803</v>
      </c>
      <c r="D391" s="302">
        <f t="shared" si="148"/>
        <v>0.73817134125603689</v>
      </c>
      <c r="E391" s="303"/>
      <c r="F391" s="302">
        <v>6.6529069127902823E-2</v>
      </c>
      <c r="G391" s="302">
        <v>0.29020834289688952</v>
      </c>
      <c r="H391" s="302">
        <f t="shared" si="149"/>
        <v>0.35673741202479237</v>
      </c>
      <c r="I391" s="303"/>
      <c r="J391" s="302">
        <v>3.8228364402368098E-2</v>
      </c>
      <c r="K391" s="302">
        <v>0.1555006694237511</v>
      </c>
      <c r="L391" s="302">
        <f t="shared" si="150"/>
        <v>0.1937290338261192</v>
      </c>
      <c r="M391" s="236"/>
      <c r="N391" s="236"/>
    </row>
    <row r="392" spans="1:14" x14ac:dyDescent="0.3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3">
      <c r="A393" s="244" t="s">
        <v>32</v>
      </c>
      <c r="B393" s="311">
        <f>SUM(B383:B391)</f>
        <v>4.0280000000028551</v>
      </c>
      <c r="C393" s="311">
        <f t="shared" ref="C393:D393" si="151">SUM(C383:C391)</f>
        <v>7.726999999988621</v>
      </c>
      <c r="D393" s="311">
        <f t="shared" si="151"/>
        <v>11.754999999991478</v>
      </c>
      <c r="E393" s="311"/>
      <c r="F393" s="311">
        <f t="shared" ref="F393:H393" si="152">SUM(F383:F391)</f>
        <v>2.1969999999855014</v>
      </c>
      <c r="G393" s="311">
        <f t="shared" si="152"/>
        <v>5.0780000000062859</v>
      </c>
      <c r="H393" s="311">
        <f t="shared" si="152"/>
        <v>7.2749999999917865</v>
      </c>
      <c r="I393" s="311"/>
      <c r="J393" s="311">
        <f t="shared" ref="J393:L393" si="153">SUM(J383:J391)</f>
        <v>1.5540000000051886</v>
      </c>
      <c r="K393" s="311">
        <f t="shared" si="153"/>
        <v>3.5040000000210485</v>
      </c>
      <c r="L393" s="311">
        <f t="shared" si="153"/>
        <v>5.0580000000262375</v>
      </c>
      <c r="M393" s="236"/>
      <c r="N393" s="236"/>
    </row>
    <row r="394" spans="1:14" x14ac:dyDescent="0.3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  <row r="395" spans="1:14" x14ac:dyDescent="0.3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56" t="s">
        <v>35</v>
      </c>
      <c r="M395" s="236"/>
      <c r="N395" s="236"/>
    </row>
    <row r="396" spans="1:14" x14ac:dyDescent="0.3">
      <c r="A396" s="242"/>
      <c r="B396" s="250"/>
      <c r="C396" s="250"/>
      <c r="D396" s="250"/>
      <c r="E396" s="250"/>
      <c r="F396" s="250"/>
      <c r="G396" s="250"/>
      <c r="H396" s="250"/>
      <c r="I396" s="250"/>
      <c r="J396" s="250"/>
      <c r="K396" s="250"/>
      <c r="L396" s="236"/>
      <c r="M396" s="236"/>
      <c r="N396" s="236"/>
    </row>
    <row r="397" spans="1:14" x14ac:dyDescent="0.3">
      <c r="A397" s="241" t="str">
        <f>name!A26</f>
        <v>Repair and installation</v>
      </c>
      <c r="B397" s="373">
        <f>B$6</f>
        <v>2015</v>
      </c>
      <c r="C397" s="373"/>
      <c r="D397" s="373"/>
      <c r="E397" s="253"/>
      <c r="F397" s="373">
        <f>F380</f>
        <v>2020</v>
      </c>
      <c r="G397" s="373"/>
      <c r="H397" s="373"/>
      <c r="I397" s="253"/>
      <c r="J397" s="373">
        <f>J380</f>
        <v>2035</v>
      </c>
      <c r="K397" s="373"/>
      <c r="L397" s="373"/>
      <c r="M397" s="236"/>
      <c r="N397" s="236"/>
    </row>
    <row r="398" spans="1:14" x14ac:dyDescent="0.3">
      <c r="A398" s="254"/>
      <c r="B398" s="255" t="s">
        <v>352</v>
      </c>
      <c r="C398" s="255" t="s">
        <v>353</v>
      </c>
      <c r="D398" s="255" t="s">
        <v>32</v>
      </c>
      <c r="E398" s="255"/>
      <c r="F398" s="255" t="s">
        <v>352</v>
      </c>
      <c r="G398" s="255" t="s">
        <v>353</v>
      </c>
      <c r="H398" s="255" t="s">
        <v>32</v>
      </c>
      <c r="I398" s="255"/>
      <c r="J398" s="255" t="s">
        <v>352</v>
      </c>
      <c r="K398" s="255" t="s">
        <v>353</v>
      </c>
      <c r="L398" s="255" t="s">
        <v>32</v>
      </c>
      <c r="M398" s="236"/>
      <c r="N398" s="236"/>
    </row>
    <row r="399" spans="1:14" x14ac:dyDescent="0.3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  <c r="N399" s="236"/>
    </row>
    <row r="400" spans="1:14" x14ac:dyDescent="0.3">
      <c r="A400" s="237" t="str">
        <f>name!E$4</f>
        <v>Managers, directors and senior officials</v>
      </c>
      <c r="B400" s="302">
        <v>0.38733563764048173</v>
      </c>
      <c r="C400" s="302">
        <v>1.3149509459891064</v>
      </c>
      <c r="D400" s="302">
        <f>SUM(B400:C400)</f>
        <v>1.7022865836295882</v>
      </c>
      <c r="E400" s="303"/>
      <c r="F400" s="302">
        <v>0.59976463099422472</v>
      </c>
      <c r="G400" s="302">
        <v>2.3826718232019886</v>
      </c>
      <c r="H400" s="302">
        <f>SUM(F400:G400)</f>
        <v>2.9824364541962134</v>
      </c>
      <c r="I400" s="303"/>
      <c r="J400" s="302">
        <v>0.45457332872892992</v>
      </c>
      <c r="K400" s="302">
        <v>1.6139161094322994</v>
      </c>
      <c r="L400" s="302">
        <f>SUM(J400:K400)</f>
        <v>2.0684894381612291</v>
      </c>
      <c r="M400" s="236"/>
      <c r="N400" s="236"/>
    </row>
    <row r="401" spans="1:14" x14ac:dyDescent="0.3">
      <c r="A401" s="237" t="str">
        <f>name!E$5</f>
        <v>Professional occupations</v>
      </c>
      <c r="B401" s="302">
        <v>0.51570626053669477</v>
      </c>
      <c r="C401" s="302">
        <v>2.1783976140066943</v>
      </c>
      <c r="D401" s="302">
        <f t="shared" ref="D401:D408" si="154">SUM(B401:C401)</f>
        <v>2.694103874543389</v>
      </c>
      <c r="E401" s="303"/>
      <c r="F401" s="302">
        <v>0.9019196831840961</v>
      </c>
      <c r="G401" s="302">
        <v>4.2158606998448711</v>
      </c>
      <c r="H401" s="302">
        <f t="shared" ref="H401:H408" si="155">SUM(F401:G401)</f>
        <v>5.1177803830289674</v>
      </c>
      <c r="I401" s="303"/>
      <c r="J401" s="302">
        <v>0.69865454199283827</v>
      </c>
      <c r="K401" s="302">
        <v>3.2184114514087696</v>
      </c>
      <c r="L401" s="302">
        <f t="shared" ref="L401:L408" si="156">SUM(J401:K401)</f>
        <v>3.9170659934016081</v>
      </c>
      <c r="M401" s="236"/>
      <c r="N401" s="236"/>
    </row>
    <row r="402" spans="1:14" x14ac:dyDescent="0.3">
      <c r="A402" s="237" t="str">
        <f>name!E$6</f>
        <v>Associate professional occupations</v>
      </c>
      <c r="B402" s="302">
        <v>0.44723564442291991</v>
      </c>
      <c r="C402" s="302">
        <v>1.0236885645060974</v>
      </c>
      <c r="D402" s="302">
        <f t="shared" si="154"/>
        <v>1.4709242089290173</v>
      </c>
      <c r="E402" s="303"/>
      <c r="F402" s="302">
        <v>0.74387789153263728</v>
      </c>
      <c r="G402" s="302">
        <v>1.9032284591147945</v>
      </c>
      <c r="H402" s="302">
        <f t="shared" si="155"/>
        <v>2.6471063506474319</v>
      </c>
      <c r="I402" s="303"/>
      <c r="J402" s="302">
        <v>0.52916047065489247</v>
      </c>
      <c r="K402" s="302">
        <v>1.1693276549292135</v>
      </c>
      <c r="L402" s="302">
        <f t="shared" si="156"/>
        <v>1.698488125584106</v>
      </c>
      <c r="M402" s="236"/>
      <c r="N402" s="236"/>
    </row>
    <row r="403" spans="1:14" x14ac:dyDescent="0.3">
      <c r="A403" s="237" t="str">
        <f>name!E$7</f>
        <v>Administrative and secretarial occupations</v>
      </c>
      <c r="B403" s="302">
        <v>0.76634954237072683</v>
      </c>
      <c r="C403" s="302">
        <v>0.23796308387912554</v>
      </c>
      <c r="D403" s="302">
        <f t="shared" si="154"/>
        <v>1.0043126262498523</v>
      </c>
      <c r="E403" s="303"/>
      <c r="F403" s="302">
        <v>1.1967312477859082</v>
      </c>
      <c r="G403" s="302">
        <v>0.43836891535157962</v>
      </c>
      <c r="H403" s="302">
        <f t="shared" si="155"/>
        <v>1.635100163137488</v>
      </c>
      <c r="I403" s="303"/>
      <c r="J403" s="302">
        <v>0.66482253025509386</v>
      </c>
      <c r="K403" s="302">
        <v>0.34951985736785873</v>
      </c>
      <c r="L403" s="302">
        <f t="shared" si="156"/>
        <v>1.0143423876229525</v>
      </c>
      <c r="M403" s="236"/>
      <c r="N403" s="236"/>
    </row>
    <row r="404" spans="1:14" x14ac:dyDescent="0.3">
      <c r="A404" s="237" t="str">
        <f>name!E$8</f>
        <v>Skilled trades occupations</v>
      </c>
      <c r="B404" s="302">
        <v>0.10243695503083945</v>
      </c>
      <c r="C404" s="302">
        <v>2.6458622611449432</v>
      </c>
      <c r="D404" s="302">
        <f t="shared" si="154"/>
        <v>2.7482992161757824</v>
      </c>
      <c r="E404" s="303"/>
      <c r="F404" s="302">
        <v>0.17149945196569877</v>
      </c>
      <c r="G404" s="302">
        <v>3.6457228601390392</v>
      </c>
      <c r="H404" s="302">
        <f t="shared" si="155"/>
        <v>3.8172223121047382</v>
      </c>
      <c r="I404" s="303"/>
      <c r="J404" s="302">
        <v>0.19764094478851951</v>
      </c>
      <c r="K404" s="302">
        <v>2.4895223049142765</v>
      </c>
      <c r="L404" s="302">
        <f t="shared" si="156"/>
        <v>2.6871632497027962</v>
      </c>
      <c r="M404" s="236"/>
      <c r="N404" s="236"/>
    </row>
    <row r="405" spans="1:14" x14ac:dyDescent="0.3">
      <c r="A405" s="237" t="str">
        <f>name!E$9</f>
        <v>Caring, leisure and other service occupations</v>
      </c>
      <c r="B405" s="302">
        <v>0.1986746855994779</v>
      </c>
      <c r="C405" s="302">
        <v>5.5250204375064234E-2</v>
      </c>
      <c r="D405" s="302">
        <f t="shared" si="154"/>
        <v>0.25392488997454216</v>
      </c>
      <c r="E405" s="303"/>
      <c r="F405" s="302">
        <v>0.19990655636382576</v>
      </c>
      <c r="G405" s="302">
        <v>0.1103921090211952</v>
      </c>
      <c r="H405" s="302">
        <f t="shared" si="155"/>
        <v>0.31029866538502093</v>
      </c>
      <c r="I405" s="303"/>
      <c r="J405" s="302">
        <v>0.14139385145012814</v>
      </c>
      <c r="K405" s="302">
        <v>0.13084060717386142</v>
      </c>
      <c r="L405" s="302">
        <f t="shared" si="156"/>
        <v>0.27223445862398954</v>
      </c>
      <c r="M405" s="236"/>
      <c r="N405" s="236"/>
    </row>
    <row r="406" spans="1:14" x14ac:dyDescent="0.3">
      <c r="A406" s="237" t="str">
        <f>name!E$10</f>
        <v>Sales and customer service occupations</v>
      </c>
      <c r="B406" s="302">
        <v>0.16943522797095956</v>
      </c>
      <c r="C406" s="302">
        <v>0.14443372235323818</v>
      </c>
      <c r="D406" s="302">
        <f t="shared" si="154"/>
        <v>0.3138689503241977</v>
      </c>
      <c r="E406" s="303"/>
      <c r="F406" s="302">
        <v>0.26049745560994675</v>
      </c>
      <c r="G406" s="302">
        <v>0.24364247868502056</v>
      </c>
      <c r="H406" s="302">
        <f t="shared" si="155"/>
        <v>0.50413993429496728</v>
      </c>
      <c r="I406" s="303"/>
      <c r="J406" s="302">
        <v>0.21266441294695965</v>
      </c>
      <c r="K406" s="302">
        <v>0.20373543422752574</v>
      </c>
      <c r="L406" s="302">
        <f t="shared" si="156"/>
        <v>0.41639984717448542</v>
      </c>
      <c r="M406" s="236"/>
      <c r="N406" s="236"/>
    </row>
    <row r="407" spans="1:14" x14ac:dyDescent="0.3">
      <c r="A407" s="237" t="str">
        <f>name!E$11</f>
        <v>Process, plant and machine operatives</v>
      </c>
      <c r="B407" s="302">
        <v>0.25112008879422643</v>
      </c>
      <c r="C407" s="302">
        <v>0.9462604527353623</v>
      </c>
      <c r="D407" s="302">
        <f t="shared" si="154"/>
        <v>1.1973805415295886</v>
      </c>
      <c r="E407" s="303"/>
      <c r="F407" s="302">
        <v>0.29221644642711919</v>
      </c>
      <c r="G407" s="302">
        <v>1.2948167472318175</v>
      </c>
      <c r="H407" s="302">
        <f t="shared" si="155"/>
        <v>1.5870331936589368</v>
      </c>
      <c r="I407" s="303"/>
      <c r="J407" s="302">
        <v>0.23412325861322636</v>
      </c>
      <c r="K407" s="302">
        <v>1.1532306375243651</v>
      </c>
      <c r="L407" s="302">
        <f t="shared" si="156"/>
        <v>1.3873538961375913</v>
      </c>
      <c r="M407" s="236"/>
      <c r="N407" s="236"/>
    </row>
    <row r="408" spans="1:14" x14ac:dyDescent="0.3">
      <c r="A408" s="237" t="str">
        <f>name!E$12</f>
        <v>Elementary occupations</v>
      </c>
      <c r="B408" s="302">
        <v>0.24270595763305416</v>
      </c>
      <c r="C408" s="302">
        <v>0.25419315099324724</v>
      </c>
      <c r="D408" s="302">
        <f t="shared" si="154"/>
        <v>0.49689910862630138</v>
      </c>
      <c r="E408" s="303"/>
      <c r="F408" s="302">
        <v>0.22858663610812091</v>
      </c>
      <c r="G408" s="302">
        <v>0.35029590738584093</v>
      </c>
      <c r="H408" s="302">
        <f t="shared" si="155"/>
        <v>0.57888254349396184</v>
      </c>
      <c r="I408" s="303"/>
      <c r="J408" s="302">
        <v>0.11296666056882741</v>
      </c>
      <c r="K408" s="302">
        <v>0.22649594301010839</v>
      </c>
      <c r="L408" s="302">
        <f t="shared" si="156"/>
        <v>0.33946260357893582</v>
      </c>
      <c r="M408" s="236"/>
      <c r="N408" s="236"/>
    </row>
    <row r="409" spans="1:14" x14ac:dyDescent="0.3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  <c r="N409" s="236"/>
    </row>
    <row r="410" spans="1:14" x14ac:dyDescent="0.3">
      <c r="A410" s="244" t="s">
        <v>32</v>
      </c>
      <c r="B410" s="311">
        <f>SUM(B400:B408)</f>
        <v>3.0809999999993805</v>
      </c>
      <c r="C410" s="311">
        <f t="shared" ref="C410:D410" si="157">SUM(C400:C408)</f>
        <v>8.8009999999828796</v>
      </c>
      <c r="D410" s="311">
        <f t="shared" si="157"/>
        <v>11.881999999982259</v>
      </c>
      <c r="E410" s="311"/>
      <c r="F410" s="311">
        <f t="shared" ref="F410:H410" si="158">SUM(F400:F408)</f>
        <v>4.5949999999715772</v>
      </c>
      <c r="G410" s="311">
        <f t="shared" si="158"/>
        <v>14.584999999976144</v>
      </c>
      <c r="H410" s="311">
        <f t="shared" si="158"/>
        <v>19.179999999947725</v>
      </c>
      <c r="I410" s="311"/>
      <c r="J410" s="311">
        <f t="shared" ref="J410:L410" si="159">SUM(J400:J408)</f>
        <v>3.2459999999994156</v>
      </c>
      <c r="K410" s="311">
        <f t="shared" si="159"/>
        <v>10.554999999988278</v>
      </c>
      <c r="L410" s="311">
        <f t="shared" si="159"/>
        <v>13.800999999987694</v>
      </c>
      <c r="M410" s="236"/>
      <c r="N410" s="236"/>
    </row>
    <row r="411" spans="1:14" x14ac:dyDescent="0.3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  <c r="N411" s="236"/>
    </row>
    <row r="412" spans="1:14" x14ac:dyDescent="0.3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56" t="s">
        <v>35</v>
      </c>
      <c r="M412" s="236"/>
      <c r="N412" s="236"/>
    </row>
    <row r="413" spans="1:14" x14ac:dyDescent="0.3">
      <c r="A413" s="242"/>
      <c r="B413" s="250"/>
      <c r="C413" s="250"/>
      <c r="D413" s="250"/>
      <c r="E413" s="250"/>
      <c r="F413" s="250"/>
      <c r="G413" s="250"/>
      <c r="H413" s="250"/>
      <c r="I413" s="250"/>
      <c r="J413" s="250"/>
      <c r="K413" s="250"/>
      <c r="L413" s="236"/>
      <c r="M413" s="236"/>
      <c r="N413" s="236"/>
    </row>
    <row r="414" spans="1:14" x14ac:dyDescent="0.3">
      <c r="A414" s="241" t="str">
        <f>name!A27</f>
        <v>Electricity, gas, etc</v>
      </c>
      <c r="B414" s="373">
        <f>B$6</f>
        <v>2015</v>
      </c>
      <c r="C414" s="373"/>
      <c r="D414" s="373"/>
      <c r="E414" s="253"/>
      <c r="F414" s="373">
        <f>F397</f>
        <v>2020</v>
      </c>
      <c r="G414" s="373"/>
      <c r="H414" s="373"/>
      <c r="I414" s="253"/>
      <c r="J414" s="373">
        <f>J397</f>
        <v>2035</v>
      </c>
      <c r="K414" s="373"/>
      <c r="L414" s="373"/>
      <c r="M414" s="236"/>
      <c r="N414" s="236"/>
    </row>
    <row r="415" spans="1:14" x14ac:dyDescent="0.3">
      <c r="A415" s="254"/>
      <c r="B415" s="255" t="s">
        <v>352</v>
      </c>
      <c r="C415" s="255" t="s">
        <v>353</v>
      </c>
      <c r="D415" s="255" t="s">
        <v>32</v>
      </c>
      <c r="E415" s="255"/>
      <c r="F415" s="255" t="s">
        <v>352</v>
      </c>
      <c r="G415" s="255" t="s">
        <v>353</v>
      </c>
      <c r="H415" s="255" t="s">
        <v>32</v>
      </c>
      <c r="I415" s="255"/>
      <c r="J415" s="255" t="s">
        <v>352</v>
      </c>
      <c r="K415" s="255" t="s">
        <v>353</v>
      </c>
      <c r="L415" s="255" t="s">
        <v>32</v>
      </c>
      <c r="M415" s="236"/>
      <c r="N415" s="236"/>
    </row>
    <row r="416" spans="1:14" x14ac:dyDescent="0.3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  <c r="N416" s="236"/>
    </row>
    <row r="417" spans="1:14" x14ac:dyDescent="0.3">
      <c r="A417" s="237" t="str">
        <f>name!E$4</f>
        <v>Managers, directors and senior officials</v>
      </c>
      <c r="B417" s="302">
        <v>0.25651892120109548</v>
      </c>
      <c r="C417" s="302">
        <v>0.45488792299001479</v>
      </c>
      <c r="D417" s="302">
        <f>SUM(B417:C417)</f>
        <v>0.71140684419111033</v>
      </c>
      <c r="E417" s="303"/>
      <c r="F417" s="302">
        <v>0.12972597853334358</v>
      </c>
      <c r="G417" s="302">
        <v>0.60148683789020996</v>
      </c>
      <c r="H417" s="302">
        <f>SUM(F417:G417)</f>
        <v>0.73121281642355351</v>
      </c>
      <c r="I417" s="303"/>
      <c r="J417" s="302">
        <v>0.13300065546056175</v>
      </c>
      <c r="K417" s="302">
        <v>0.63672903968935912</v>
      </c>
      <c r="L417" s="302">
        <f>SUM(J417:K417)</f>
        <v>0.76972969514992085</v>
      </c>
      <c r="M417" s="236"/>
      <c r="N417" s="236"/>
    </row>
    <row r="418" spans="1:14" x14ac:dyDescent="0.3">
      <c r="A418" s="237" t="str">
        <f>name!E$5</f>
        <v>Professional occupations</v>
      </c>
      <c r="B418" s="302">
        <v>0.33810589128738194</v>
      </c>
      <c r="C418" s="302">
        <v>1.0349113889680059</v>
      </c>
      <c r="D418" s="302">
        <f t="shared" ref="D418:D425" si="160">SUM(B418:C418)</f>
        <v>1.3730172802553879</v>
      </c>
      <c r="E418" s="303"/>
      <c r="F418" s="302">
        <v>0.24860090541873137</v>
      </c>
      <c r="G418" s="302">
        <v>1.2176997203367625</v>
      </c>
      <c r="H418" s="302">
        <f t="shared" ref="H418:H425" si="161">SUM(F418:G418)</f>
        <v>1.466300625755494</v>
      </c>
      <c r="I418" s="303"/>
      <c r="J418" s="302">
        <v>0.2652784303196376</v>
      </c>
      <c r="K418" s="302">
        <v>1.1086469598008659</v>
      </c>
      <c r="L418" s="302">
        <f t="shared" ref="L418:L425" si="162">SUM(J418:K418)</f>
        <v>1.3739253901205035</v>
      </c>
      <c r="M418" s="236"/>
      <c r="N418" s="236"/>
    </row>
    <row r="419" spans="1:14" x14ac:dyDescent="0.3">
      <c r="A419" s="237" t="str">
        <f>name!E$6</f>
        <v>Associate professional occupations</v>
      </c>
      <c r="B419" s="302">
        <v>0.3143274839849779</v>
      </c>
      <c r="C419" s="302">
        <v>0.69739594267817051</v>
      </c>
      <c r="D419" s="302">
        <f t="shared" si="160"/>
        <v>1.0117234266631483</v>
      </c>
      <c r="E419" s="303"/>
      <c r="F419" s="302">
        <v>0.16460352208675683</v>
      </c>
      <c r="G419" s="302">
        <v>0.73827303713527959</v>
      </c>
      <c r="H419" s="302">
        <f t="shared" si="161"/>
        <v>0.90287655922203647</v>
      </c>
      <c r="I419" s="303"/>
      <c r="J419" s="302">
        <v>0.14542682996492853</v>
      </c>
      <c r="K419" s="302">
        <v>0.58960958122295837</v>
      </c>
      <c r="L419" s="302">
        <f t="shared" si="162"/>
        <v>0.73503641118788687</v>
      </c>
      <c r="M419" s="236"/>
      <c r="N419" s="236"/>
    </row>
    <row r="420" spans="1:14" x14ac:dyDescent="0.3">
      <c r="A420" s="237" t="str">
        <f>name!E$7</f>
        <v>Administrative and secretarial occupations</v>
      </c>
      <c r="B420" s="302">
        <v>0.42352684678468028</v>
      </c>
      <c r="C420" s="302">
        <v>0.29268270366042187</v>
      </c>
      <c r="D420" s="302">
        <f t="shared" si="160"/>
        <v>0.71620955044510215</v>
      </c>
      <c r="E420" s="303"/>
      <c r="F420" s="302">
        <v>0.27740661557252427</v>
      </c>
      <c r="G420" s="302">
        <v>0.30408858075229628</v>
      </c>
      <c r="H420" s="302">
        <f t="shared" si="161"/>
        <v>0.5814951963248205</v>
      </c>
      <c r="I420" s="303"/>
      <c r="J420" s="302">
        <v>0.17200524989896604</v>
      </c>
      <c r="K420" s="302">
        <v>0.26124429650823394</v>
      </c>
      <c r="L420" s="302">
        <f t="shared" si="162"/>
        <v>0.43324954640719998</v>
      </c>
      <c r="M420" s="236"/>
      <c r="N420" s="236"/>
    </row>
    <row r="421" spans="1:14" x14ac:dyDescent="0.3">
      <c r="A421" s="237" t="str">
        <f>name!E$8</f>
        <v>Skilled trades occupations</v>
      </c>
      <c r="B421" s="302">
        <v>0.1788378301826965</v>
      </c>
      <c r="C421" s="302">
        <v>1.3385529125868276</v>
      </c>
      <c r="D421" s="302">
        <f t="shared" si="160"/>
        <v>1.5173907427695241</v>
      </c>
      <c r="E421" s="303"/>
      <c r="F421" s="302">
        <v>2.3383217907020335E-2</v>
      </c>
      <c r="G421" s="302">
        <v>1.0127000649989051</v>
      </c>
      <c r="H421" s="302">
        <f t="shared" si="161"/>
        <v>1.0360832829059254</v>
      </c>
      <c r="I421" s="303"/>
      <c r="J421" s="302">
        <v>3.1573882273317408E-2</v>
      </c>
      <c r="K421" s="302">
        <v>0.77603168457021132</v>
      </c>
      <c r="L421" s="302">
        <f t="shared" si="162"/>
        <v>0.80760556684352869</v>
      </c>
      <c r="M421" s="236"/>
      <c r="N421" s="236"/>
    </row>
    <row r="422" spans="1:14" x14ac:dyDescent="0.3">
      <c r="A422" s="237" t="str">
        <f>name!E$9</f>
        <v>Caring, leisure and other service occupations</v>
      </c>
      <c r="B422" s="302">
        <v>0.21707727762173165</v>
      </c>
      <c r="C422" s="302">
        <v>9.5909678375961357E-2</v>
      </c>
      <c r="D422" s="302">
        <f t="shared" si="160"/>
        <v>0.31298695599769299</v>
      </c>
      <c r="E422" s="303"/>
      <c r="F422" s="302">
        <v>6.0257678724635749E-2</v>
      </c>
      <c r="G422" s="302">
        <v>8.458670733253032E-2</v>
      </c>
      <c r="H422" s="302">
        <f t="shared" si="161"/>
        <v>0.14484438605716607</v>
      </c>
      <c r="I422" s="303"/>
      <c r="J422" s="302">
        <v>5.723989115328669E-2</v>
      </c>
      <c r="K422" s="302">
        <v>9.9553132320795198E-2</v>
      </c>
      <c r="L422" s="302">
        <f t="shared" si="162"/>
        <v>0.15679302347408189</v>
      </c>
      <c r="M422" s="236"/>
      <c r="N422" s="236"/>
    </row>
    <row r="423" spans="1:14" x14ac:dyDescent="0.3">
      <c r="A423" s="237" t="str">
        <f>name!E$10</f>
        <v>Sales and customer service occupations</v>
      </c>
      <c r="B423" s="302">
        <v>0.41080507776408887</v>
      </c>
      <c r="C423" s="302">
        <v>0.39780305610927746</v>
      </c>
      <c r="D423" s="302">
        <f t="shared" si="160"/>
        <v>0.80860813387336639</v>
      </c>
      <c r="E423" s="303"/>
      <c r="F423" s="302">
        <v>0.27819103105270071</v>
      </c>
      <c r="G423" s="302">
        <v>0.38521343551539866</v>
      </c>
      <c r="H423" s="302">
        <f t="shared" si="161"/>
        <v>0.66340446656809937</v>
      </c>
      <c r="I423" s="303"/>
      <c r="J423" s="302">
        <v>0.28161515524493991</v>
      </c>
      <c r="K423" s="302">
        <v>0.40106483877562005</v>
      </c>
      <c r="L423" s="302">
        <f t="shared" si="162"/>
        <v>0.6826799940205599</v>
      </c>
      <c r="M423" s="236"/>
      <c r="N423" s="236"/>
    </row>
    <row r="424" spans="1:14" x14ac:dyDescent="0.3">
      <c r="A424" s="237" t="str">
        <f>name!E$11</f>
        <v>Process, plant and machine operatives</v>
      </c>
      <c r="B424" s="302">
        <v>3.2982400225267439E-2</v>
      </c>
      <c r="C424" s="302">
        <v>0.20145037002516347</v>
      </c>
      <c r="D424" s="302">
        <f t="shared" si="160"/>
        <v>0.23443277025043091</v>
      </c>
      <c r="E424" s="303"/>
      <c r="F424" s="302">
        <v>7.0314208288713362E-3</v>
      </c>
      <c r="G424" s="302">
        <v>0.25429414343915435</v>
      </c>
      <c r="H424" s="302">
        <f t="shared" si="161"/>
        <v>0.26132556426802567</v>
      </c>
      <c r="I424" s="303"/>
      <c r="J424" s="302">
        <v>9.7360057576029741E-3</v>
      </c>
      <c r="K424" s="302">
        <v>0.23462887456318288</v>
      </c>
      <c r="L424" s="302">
        <f t="shared" si="162"/>
        <v>0.24436488032078585</v>
      </c>
      <c r="M424" s="236"/>
      <c r="N424" s="236"/>
    </row>
    <row r="425" spans="1:14" x14ac:dyDescent="0.3">
      <c r="A425" s="237" t="str">
        <f>name!E$12</f>
        <v>Elementary occupations</v>
      </c>
      <c r="B425" s="302">
        <v>0.16181827095428522</v>
      </c>
      <c r="C425" s="302">
        <v>0.12940602457967593</v>
      </c>
      <c r="D425" s="302">
        <f t="shared" si="160"/>
        <v>0.29122429553396112</v>
      </c>
      <c r="E425" s="303"/>
      <c r="F425" s="302">
        <v>2.1799629860073447E-2</v>
      </c>
      <c r="G425" s="302">
        <v>0.12065747256322092</v>
      </c>
      <c r="H425" s="302">
        <f t="shared" si="161"/>
        <v>0.14245710242329437</v>
      </c>
      <c r="I425" s="303"/>
      <c r="J425" s="302">
        <v>1.1123899914272133E-2</v>
      </c>
      <c r="K425" s="302">
        <v>7.2491592511854122E-2</v>
      </c>
      <c r="L425" s="302">
        <f t="shared" si="162"/>
        <v>8.3615492426126259E-2</v>
      </c>
      <c r="M425" s="236"/>
      <c r="N425" s="236"/>
    </row>
    <row r="426" spans="1:14" x14ac:dyDescent="0.3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  <c r="N426" s="236"/>
    </row>
    <row r="427" spans="1:14" x14ac:dyDescent="0.3">
      <c r="A427" s="244" t="s">
        <v>32</v>
      </c>
      <c r="B427" s="311">
        <f>SUM(B417:B425)</f>
        <v>2.3340000000062053</v>
      </c>
      <c r="C427" s="311">
        <f t="shared" ref="C427:D427" si="163">SUM(C417:C425)</f>
        <v>4.6429999999735196</v>
      </c>
      <c r="D427" s="311">
        <f t="shared" si="163"/>
        <v>6.9769999999797241</v>
      </c>
      <c r="E427" s="311"/>
      <c r="F427" s="311">
        <f t="shared" ref="F427:H427" si="164">SUM(F417:F425)</f>
        <v>1.2109999999846579</v>
      </c>
      <c r="G427" s="311">
        <f t="shared" si="164"/>
        <v>4.7189999999637582</v>
      </c>
      <c r="H427" s="311">
        <f t="shared" si="164"/>
        <v>5.9299999999484152</v>
      </c>
      <c r="I427" s="311"/>
      <c r="J427" s="311">
        <f t="shared" ref="J427:L427" si="165">SUM(J417:J425)</f>
        <v>1.1069999999875131</v>
      </c>
      <c r="K427" s="311">
        <f t="shared" si="165"/>
        <v>4.1799999999630808</v>
      </c>
      <c r="L427" s="311">
        <f t="shared" si="165"/>
        <v>5.286999999950595</v>
      </c>
      <c r="M427" s="236"/>
      <c r="N427" s="236"/>
    </row>
    <row r="428" spans="1:14" x14ac:dyDescent="0.3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  <c r="N428" s="236"/>
    </row>
    <row r="429" spans="1:14" x14ac:dyDescent="0.3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56" t="s">
        <v>35</v>
      </c>
      <c r="M429" s="236"/>
      <c r="N429" s="236"/>
    </row>
    <row r="430" spans="1:14" x14ac:dyDescent="0.3">
      <c r="A430" s="242"/>
      <c r="B430" s="250"/>
      <c r="C430" s="250"/>
      <c r="D430" s="250"/>
      <c r="E430" s="250"/>
      <c r="F430" s="250"/>
      <c r="G430" s="250"/>
      <c r="H430" s="250"/>
      <c r="I430" s="250"/>
      <c r="J430" s="250"/>
      <c r="K430" s="250"/>
      <c r="L430" s="236"/>
      <c r="M430" s="236"/>
      <c r="N430" s="236"/>
    </row>
    <row r="431" spans="1:14" x14ac:dyDescent="0.3">
      <c r="A431" s="241" t="str">
        <f>name!A28</f>
        <v>Water</v>
      </c>
      <c r="B431" s="373">
        <f>B$6</f>
        <v>2015</v>
      </c>
      <c r="C431" s="373"/>
      <c r="D431" s="373"/>
      <c r="E431" s="253"/>
      <c r="F431" s="373">
        <f>F414</f>
        <v>2020</v>
      </c>
      <c r="G431" s="373"/>
      <c r="H431" s="373"/>
      <c r="I431" s="253"/>
      <c r="J431" s="373">
        <f>J414</f>
        <v>2035</v>
      </c>
      <c r="K431" s="373"/>
      <c r="L431" s="373"/>
      <c r="M431" s="236"/>
      <c r="N431" s="236"/>
    </row>
    <row r="432" spans="1:14" x14ac:dyDescent="0.3">
      <c r="A432" s="254"/>
      <c r="B432" s="255" t="s">
        <v>352</v>
      </c>
      <c r="C432" s="255" t="s">
        <v>353</v>
      </c>
      <c r="D432" s="255" t="s">
        <v>32</v>
      </c>
      <c r="E432" s="255"/>
      <c r="F432" s="255" t="s">
        <v>352</v>
      </c>
      <c r="G432" s="255" t="s">
        <v>353</v>
      </c>
      <c r="H432" s="255" t="s">
        <v>32</v>
      </c>
      <c r="I432" s="255"/>
      <c r="J432" s="255" t="s">
        <v>352</v>
      </c>
      <c r="K432" s="255" t="s">
        <v>353</v>
      </c>
      <c r="L432" s="255" t="s">
        <v>32</v>
      </c>
      <c r="M432" s="236"/>
      <c r="N432" s="236"/>
    </row>
    <row r="433" spans="1:14" x14ac:dyDescent="0.3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  <c r="N433" s="236"/>
    </row>
    <row r="434" spans="1:14" x14ac:dyDescent="0.3">
      <c r="A434" s="237" t="str">
        <f>name!E$4</f>
        <v>Managers, directors and senior officials</v>
      </c>
      <c r="B434" s="302">
        <v>0.1357308541568284</v>
      </c>
      <c r="C434" s="302">
        <v>0.49035206772200512</v>
      </c>
      <c r="D434" s="302">
        <f>SUM(B434:C434)</f>
        <v>0.62608292187883352</v>
      </c>
      <c r="E434" s="303"/>
      <c r="F434" s="302">
        <v>0.12999496234540669</v>
      </c>
      <c r="G434" s="302">
        <v>0.71720540384558717</v>
      </c>
      <c r="H434" s="302">
        <f>SUM(F434:G434)</f>
        <v>0.84720036619099393</v>
      </c>
      <c r="I434" s="303"/>
      <c r="J434" s="302">
        <v>0.17105457388825807</v>
      </c>
      <c r="K434" s="302">
        <v>0.81501062622919584</v>
      </c>
      <c r="L434" s="302">
        <f>SUM(J434:K434)</f>
        <v>0.98606520011745391</v>
      </c>
      <c r="M434" s="236"/>
      <c r="N434" s="236"/>
    </row>
    <row r="435" spans="1:14" x14ac:dyDescent="0.3">
      <c r="A435" s="237" t="str">
        <f>name!E$5</f>
        <v>Professional occupations</v>
      </c>
      <c r="B435" s="302">
        <v>0.26801690809157891</v>
      </c>
      <c r="C435" s="302">
        <v>0.6369582731731771</v>
      </c>
      <c r="D435" s="302">
        <f t="shared" ref="D435:D442" si="166">SUM(B435:C435)</f>
        <v>0.90497518126475596</v>
      </c>
      <c r="E435" s="303"/>
      <c r="F435" s="302">
        <v>0.3090525269419368</v>
      </c>
      <c r="G435" s="302">
        <v>1.0319269276085998</v>
      </c>
      <c r="H435" s="302">
        <f t="shared" ref="H435:H442" si="167">SUM(F435:G435)</f>
        <v>1.3409794545505367</v>
      </c>
      <c r="I435" s="303"/>
      <c r="J435" s="302">
        <v>0.49546272758928572</v>
      </c>
      <c r="K435" s="302">
        <v>1.3400247905351326</v>
      </c>
      <c r="L435" s="302">
        <f t="shared" ref="L435:L442" si="168">SUM(J435:K435)</f>
        <v>1.8354875181244183</v>
      </c>
      <c r="M435" s="236"/>
      <c r="N435" s="236"/>
    </row>
    <row r="436" spans="1:14" x14ac:dyDescent="0.3">
      <c r="A436" s="237" t="str">
        <f>name!E$6</f>
        <v>Associate professional occupations</v>
      </c>
      <c r="B436" s="302">
        <v>0.26892576973176985</v>
      </c>
      <c r="C436" s="302">
        <v>0.48076615914689746</v>
      </c>
      <c r="D436" s="302">
        <f t="shared" si="166"/>
        <v>0.74969192887866731</v>
      </c>
      <c r="E436" s="303"/>
      <c r="F436" s="302">
        <v>0.27055438164800599</v>
      </c>
      <c r="G436" s="302">
        <v>0.72094406090190433</v>
      </c>
      <c r="H436" s="302">
        <f t="shared" si="167"/>
        <v>0.99149844254991026</v>
      </c>
      <c r="I436" s="303"/>
      <c r="J436" s="302">
        <v>0.33055684017451836</v>
      </c>
      <c r="K436" s="302">
        <v>0.76660156741796004</v>
      </c>
      <c r="L436" s="302">
        <f t="shared" si="168"/>
        <v>1.0971584075924783</v>
      </c>
      <c r="M436" s="236"/>
      <c r="N436" s="236"/>
    </row>
    <row r="437" spans="1:14" x14ac:dyDescent="0.3">
      <c r="A437" s="237" t="str">
        <f>name!E$7</f>
        <v>Administrative and secretarial occupations</v>
      </c>
      <c r="B437" s="302">
        <v>0.32167126560838649</v>
      </c>
      <c r="C437" s="302">
        <v>9.6230347113990547E-2</v>
      </c>
      <c r="D437" s="302">
        <f t="shared" si="166"/>
        <v>0.41790161272237702</v>
      </c>
      <c r="E437" s="303"/>
      <c r="F437" s="302">
        <v>0.28949983367266102</v>
      </c>
      <c r="G437" s="302">
        <v>0.14062743431602348</v>
      </c>
      <c r="H437" s="302">
        <f t="shared" si="167"/>
        <v>0.4301272679886845</v>
      </c>
      <c r="I437" s="303"/>
      <c r="J437" s="302">
        <v>0.24844813708413127</v>
      </c>
      <c r="K437" s="302">
        <v>0.17596901792214031</v>
      </c>
      <c r="L437" s="302">
        <f t="shared" si="168"/>
        <v>0.42441715500627158</v>
      </c>
      <c r="M437" s="236"/>
      <c r="N437" s="236"/>
    </row>
    <row r="438" spans="1:14" x14ac:dyDescent="0.3">
      <c r="A438" s="237" t="str">
        <f>name!E$8</f>
        <v>Skilled trades occupations</v>
      </c>
      <c r="B438" s="302">
        <v>5.7711014647578898E-2</v>
      </c>
      <c r="C438" s="302">
        <v>0.71807901075012015</v>
      </c>
      <c r="D438" s="302">
        <f t="shared" si="166"/>
        <v>0.77579002539769903</v>
      </c>
      <c r="E438" s="303"/>
      <c r="F438" s="302">
        <v>2.7692298272411792E-2</v>
      </c>
      <c r="G438" s="302">
        <v>0.76886338204983551</v>
      </c>
      <c r="H438" s="302">
        <f t="shared" si="167"/>
        <v>0.79655568032224733</v>
      </c>
      <c r="I438" s="303"/>
      <c r="J438" s="302">
        <v>5.8009881317457497E-2</v>
      </c>
      <c r="K438" s="302">
        <v>0.76338834852010762</v>
      </c>
      <c r="L438" s="302">
        <f t="shared" si="168"/>
        <v>0.82139822983756516</v>
      </c>
      <c r="M438" s="236"/>
      <c r="N438" s="236"/>
    </row>
    <row r="439" spans="1:14" x14ac:dyDescent="0.3">
      <c r="A439" s="237" t="str">
        <f>name!E$9</f>
        <v>Caring, leisure and other service occupations</v>
      </c>
      <c r="B439" s="302">
        <v>8.7717746081666617E-2</v>
      </c>
      <c r="C439" s="302">
        <v>1.1100222230252654E-2</v>
      </c>
      <c r="D439" s="302">
        <f t="shared" si="166"/>
        <v>9.8817968311919274E-2</v>
      </c>
      <c r="E439" s="303"/>
      <c r="F439" s="302">
        <v>5.9145210600781283E-2</v>
      </c>
      <c r="G439" s="302">
        <v>1.5748188193260057E-2</v>
      </c>
      <c r="H439" s="302">
        <f t="shared" si="167"/>
        <v>7.4893398794041333E-2</v>
      </c>
      <c r="I439" s="303"/>
      <c r="J439" s="302">
        <v>7.2864942583344139E-2</v>
      </c>
      <c r="K439" s="302">
        <v>2.2681657525688962E-2</v>
      </c>
      <c r="L439" s="302">
        <f t="shared" si="168"/>
        <v>9.5546600109033097E-2</v>
      </c>
      <c r="M439" s="236"/>
      <c r="N439" s="236"/>
    </row>
    <row r="440" spans="1:14" x14ac:dyDescent="0.3">
      <c r="A440" s="237" t="str">
        <f>name!E$10</f>
        <v>Sales and customer service occupations</v>
      </c>
      <c r="B440" s="302">
        <v>0.20292523060258924</v>
      </c>
      <c r="C440" s="302">
        <v>9.280461319048014E-2</v>
      </c>
      <c r="D440" s="302">
        <f t="shared" si="166"/>
        <v>0.29572984379306938</v>
      </c>
      <c r="E440" s="303"/>
      <c r="F440" s="302">
        <v>0.21626394316262629</v>
      </c>
      <c r="G440" s="302">
        <v>0.13137902378564573</v>
      </c>
      <c r="H440" s="302">
        <f t="shared" si="167"/>
        <v>0.34764296694827201</v>
      </c>
      <c r="I440" s="303"/>
      <c r="J440" s="302">
        <v>0.27427112062472703</v>
      </c>
      <c r="K440" s="302">
        <v>0.16507343413060052</v>
      </c>
      <c r="L440" s="302">
        <f t="shared" si="168"/>
        <v>0.43934455475532752</v>
      </c>
      <c r="M440" s="236"/>
      <c r="N440" s="236"/>
    </row>
    <row r="441" spans="1:14" x14ac:dyDescent="0.3">
      <c r="A441" s="237" t="str">
        <f>name!E$11</f>
        <v>Process, plant and machine operatives</v>
      </c>
      <c r="B441" s="302">
        <v>2.1442019838384268E-2</v>
      </c>
      <c r="C441" s="302">
        <v>0.36015828731914157</v>
      </c>
      <c r="D441" s="302">
        <f t="shared" si="166"/>
        <v>0.38160030715752585</v>
      </c>
      <c r="E441" s="303"/>
      <c r="F441" s="302">
        <v>1.2708079061378819E-2</v>
      </c>
      <c r="G441" s="302">
        <v>0.38799460759189947</v>
      </c>
      <c r="H441" s="302">
        <f t="shared" si="167"/>
        <v>0.40070268665327829</v>
      </c>
      <c r="I441" s="303"/>
      <c r="J441" s="302">
        <v>1.2478497850348732E-2</v>
      </c>
      <c r="K441" s="302">
        <v>0.41482879612755208</v>
      </c>
      <c r="L441" s="302">
        <f t="shared" si="168"/>
        <v>0.42730729397790079</v>
      </c>
      <c r="M441" s="236"/>
      <c r="N441" s="236"/>
    </row>
    <row r="442" spans="1:14" x14ac:dyDescent="0.3">
      <c r="A442" s="237" t="str">
        <f>name!E$12</f>
        <v>Elementary occupations</v>
      </c>
      <c r="B442" s="302">
        <v>6.4859191236343719E-2</v>
      </c>
      <c r="C442" s="302">
        <v>0.12555101933693982</v>
      </c>
      <c r="D442" s="302">
        <f t="shared" si="166"/>
        <v>0.19041021057328356</v>
      </c>
      <c r="E442" s="303"/>
      <c r="F442" s="302">
        <v>3.7088764289664816E-2</v>
      </c>
      <c r="G442" s="302">
        <v>0.1443109716806914</v>
      </c>
      <c r="H442" s="302">
        <f t="shared" si="167"/>
        <v>0.18139973597035622</v>
      </c>
      <c r="I442" s="303"/>
      <c r="J442" s="302">
        <v>3.3853278888774381E-2</v>
      </c>
      <c r="K442" s="302">
        <v>0.12342176154311144</v>
      </c>
      <c r="L442" s="302">
        <f t="shared" si="168"/>
        <v>0.15727504043188581</v>
      </c>
      <c r="M442" s="236"/>
      <c r="N442" s="236"/>
    </row>
    <row r="443" spans="1:14" x14ac:dyDescent="0.3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  <c r="N443" s="236"/>
    </row>
    <row r="444" spans="1:14" x14ac:dyDescent="0.3">
      <c r="A444" s="244" t="s">
        <v>32</v>
      </c>
      <c r="B444" s="311">
        <f>SUM(B434:B442)</f>
        <v>1.4289999999951264</v>
      </c>
      <c r="C444" s="311">
        <f t="shared" ref="C444:D444" si="169">SUM(C434:C442)</f>
        <v>3.0119999999830047</v>
      </c>
      <c r="D444" s="311">
        <f t="shared" si="169"/>
        <v>4.4409999999781302</v>
      </c>
      <c r="E444" s="311"/>
      <c r="F444" s="311">
        <f t="shared" ref="F444:H444" si="170">SUM(F434:F442)</f>
        <v>1.3519999999948735</v>
      </c>
      <c r="G444" s="311">
        <f t="shared" si="170"/>
        <v>4.0589999999734463</v>
      </c>
      <c r="H444" s="311">
        <f t="shared" si="170"/>
        <v>5.4109999999683209</v>
      </c>
      <c r="I444" s="311"/>
      <c r="J444" s="311">
        <f t="shared" ref="J444:L444" si="171">SUM(J434:J442)</f>
        <v>1.6970000000008452</v>
      </c>
      <c r="K444" s="311">
        <f t="shared" si="171"/>
        <v>4.586999999951491</v>
      </c>
      <c r="L444" s="311">
        <f t="shared" si="171"/>
        <v>6.2839999999523339</v>
      </c>
      <c r="M444" s="236"/>
      <c r="N444" s="236"/>
    </row>
    <row r="445" spans="1:14" x14ac:dyDescent="0.3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  <c r="N445" s="236"/>
    </row>
    <row r="446" spans="1:14" x14ac:dyDescent="0.3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56" t="s">
        <v>35</v>
      </c>
      <c r="M446" s="236"/>
      <c r="N446" s="236"/>
    </row>
    <row r="447" spans="1:14" x14ac:dyDescent="0.3">
      <c r="A447" s="242"/>
      <c r="B447" s="250"/>
      <c r="C447" s="250"/>
      <c r="D447" s="250"/>
      <c r="E447" s="250"/>
      <c r="F447" s="250"/>
      <c r="G447" s="250"/>
      <c r="H447" s="250"/>
      <c r="I447" s="250"/>
      <c r="J447" s="250"/>
      <c r="K447" s="250"/>
      <c r="L447" s="236"/>
      <c r="M447" s="236"/>
      <c r="N447" s="236"/>
    </row>
    <row r="448" spans="1:14" x14ac:dyDescent="0.3">
      <c r="A448" s="241" t="str">
        <f>name!A29</f>
        <v>Sewerage</v>
      </c>
      <c r="B448" s="373">
        <f>B$6</f>
        <v>2015</v>
      </c>
      <c r="C448" s="373"/>
      <c r="D448" s="373"/>
      <c r="E448" s="253"/>
      <c r="F448" s="373">
        <f>F431</f>
        <v>2020</v>
      </c>
      <c r="G448" s="373"/>
      <c r="H448" s="373"/>
      <c r="I448" s="253"/>
      <c r="J448" s="373">
        <f>J431</f>
        <v>2035</v>
      </c>
      <c r="K448" s="373"/>
      <c r="L448" s="373"/>
      <c r="M448" s="236"/>
      <c r="N448" s="236"/>
    </row>
    <row r="449" spans="1:14" x14ac:dyDescent="0.3">
      <c r="A449" s="254"/>
      <c r="B449" s="255" t="s">
        <v>352</v>
      </c>
      <c r="C449" s="255" t="s">
        <v>353</v>
      </c>
      <c r="D449" s="255" t="s">
        <v>32</v>
      </c>
      <c r="E449" s="255"/>
      <c r="F449" s="255" t="s">
        <v>352</v>
      </c>
      <c r="G449" s="255" t="s">
        <v>353</v>
      </c>
      <c r="H449" s="255" t="s">
        <v>32</v>
      </c>
      <c r="I449" s="255"/>
      <c r="J449" s="255" t="s">
        <v>352</v>
      </c>
      <c r="K449" s="255" t="s">
        <v>353</v>
      </c>
      <c r="L449" s="255" t="s">
        <v>32</v>
      </c>
      <c r="M449" s="236"/>
      <c r="N449" s="236"/>
    </row>
    <row r="450" spans="1:14" x14ac:dyDescent="0.3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  <c r="N450" s="236"/>
    </row>
    <row r="451" spans="1:14" x14ac:dyDescent="0.3">
      <c r="A451" s="237" t="str">
        <f>name!E$4</f>
        <v>Managers, directors and senior officials</v>
      </c>
      <c r="B451" s="302">
        <v>0.12815018371259759</v>
      </c>
      <c r="C451" s="302">
        <v>0.46150365805513949</v>
      </c>
      <c r="D451" s="302">
        <f>SUM(B451:C451)</f>
        <v>0.58965384176773705</v>
      </c>
      <c r="E451" s="303"/>
      <c r="F451" s="302">
        <v>7.6676660671926689E-2</v>
      </c>
      <c r="G451" s="302">
        <v>0.21431293989037073</v>
      </c>
      <c r="H451" s="302">
        <f>SUM(F451:G451)</f>
        <v>0.29098960056229739</v>
      </c>
      <c r="I451" s="303"/>
      <c r="J451" s="302">
        <v>9.3312964204871229E-2</v>
      </c>
      <c r="K451" s="302">
        <v>0.22672328721279106</v>
      </c>
      <c r="L451" s="302">
        <f>SUM(J451:K451)</f>
        <v>0.32003625141766229</v>
      </c>
      <c r="M451" s="236"/>
      <c r="N451" s="236"/>
    </row>
    <row r="452" spans="1:14" x14ac:dyDescent="0.3">
      <c r="A452" s="237" t="str">
        <f>name!E$5</f>
        <v>Professional occupations</v>
      </c>
      <c r="B452" s="302">
        <v>0.1646085063339213</v>
      </c>
      <c r="C452" s="302">
        <v>0.40314991616265422</v>
      </c>
      <c r="D452" s="302">
        <f t="shared" ref="D452:D459" si="172">SUM(B452:C452)</f>
        <v>0.56775842249657549</v>
      </c>
      <c r="E452" s="303"/>
      <c r="F452" s="302">
        <v>0.12892856625250318</v>
      </c>
      <c r="G452" s="302">
        <v>0.21554639116892446</v>
      </c>
      <c r="H452" s="302">
        <f t="shared" ref="H452:H459" si="173">SUM(F452:G452)</f>
        <v>0.34447495742142764</v>
      </c>
      <c r="I452" s="303"/>
      <c r="J452" s="302">
        <v>0.17329700970943171</v>
      </c>
      <c r="K452" s="302">
        <v>0.25990561397850043</v>
      </c>
      <c r="L452" s="302">
        <f t="shared" ref="L452:L459" si="174">SUM(J452:K452)</f>
        <v>0.43320262368793216</v>
      </c>
      <c r="M452" s="236"/>
      <c r="N452" s="236"/>
    </row>
    <row r="453" spans="1:14" x14ac:dyDescent="0.3">
      <c r="A453" s="237" t="str">
        <f>name!E$6</f>
        <v>Associate professional occupations</v>
      </c>
      <c r="B453" s="302">
        <v>0.47468074780297598</v>
      </c>
      <c r="C453" s="302">
        <v>0.36714064127608642</v>
      </c>
      <c r="D453" s="302">
        <f t="shared" si="172"/>
        <v>0.84182138907906245</v>
      </c>
      <c r="E453" s="303"/>
      <c r="F453" s="302">
        <v>0.34814655321142823</v>
      </c>
      <c r="G453" s="302">
        <v>0.17320754857931489</v>
      </c>
      <c r="H453" s="302">
        <f t="shared" si="173"/>
        <v>0.52135410179074315</v>
      </c>
      <c r="I453" s="303"/>
      <c r="J453" s="302">
        <v>0.61009148060893026</v>
      </c>
      <c r="K453" s="302">
        <v>0.17305455373685086</v>
      </c>
      <c r="L453" s="302">
        <f t="shared" si="174"/>
        <v>0.78314603434578112</v>
      </c>
      <c r="M453" s="236"/>
      <c r="N453" s="236"/>
    </row>
    <row r="454" spans="1:14" x14ac:dyDescent="0.3">
      <c r="A454" s="237" t="str">
        <f>name!E$7</f>
        <v>Administrative and secretarial occupations</v>
      </c>
      <c r="B454" s="302">
        <v>0.44838011142905165</v>
      </c>
      <c r="C454" s="302">
        <v>6.3021374410923287E-2</v>
      </c>
      <c r="D454" s="302">
        <f t="shared" si="172"/>
        <v>0.51140148583997491</v>
      </c>
      <c r="E454" s="303"/>
      <c r="F454" s="302">
        <v>0.2408575813307775</v>
      </c>
      <c r="G454" s="302">
        <v>3.1872800298023307E-2</v>
      </c>
      <c r="H454" s="302">
        <f t="shared" si="173"/>
        <v>0.27273038162880081</v>
      </c>
      <c r="I454" s="303"/>
      <c r="J454" s="302">
        <v>0.13389104616323755</v>
      </c>
      <c r="K454" s="302">
        <v>3.0383982246157702E-2</v>
      </c>
      <c r="L454" s="302">
        <f t="shared" si="174"/>
        <v>0.16427502840939526</v>
      </c>
      <c r="M454" s="236"/>
      <c r="N454" s="236"/>
    </row>
    <row r="455" spans="1:14" x14ac:dyDescent="0.3">
      <c r="A455" s="237" t="str">
        <f>name!E$8</f>
        <v>Skilled trades occupations</v>
      </c>
      <c r="B455" s="302">
        <v>5.0402915114842718E-2</v>
      </c>
      <c r="C455" s="302">
        <v>0.26035450193655552</v>
      </c>
      <c r="D455" s="302">
        <f t="shared" si="172"/>
        <v>0.31075741705139825</v>
      </c>
      <c r="E455" s="303"/>
      <c r="F455" s="302">
        <v>1.5993810346722547E-2</v>
      </c>
      <c r="G455" s="302">
        <v>9.7164747960121242E-2</v>
      </c>
      <c r="H455" s="302">
        <f t="shared" si="173"/>
        <v>0.11315855830684379</v>
      </c>
      <c r="I455" s="303"/>
      <c r="J455" s="302">
        <v>3.7280720849825658E-2</v>
      </c>
      <c r="K455" s="302">
        <v>9.0019206303941807E-2</v>
      </c>
      <c r="L455" s="302">
        <f t="shared" si="174"/>
        <v>0.12729992715376748</v>
      </c>
      <c r="M455" s="236"/>
      <c r="N455" s="236"/>
    </row>
    <row r="456" spans="1:14" x14ac:dyDescent="0.3">
      <c r="A456" s="237" t="str">
        <f>name!E$9</f>
        <v>Caring, leisure and other service occupations</v>
      </c>
      <c r="B456" s="302">
        <v>0.13359331288078483</v>
      </c>
      <c r="C456" s="302">
        <v>6.6968994157511522E-2</v>
      </c>
      <c r="D456" s="302">
        <f t="shared" si="172"/>
        <v>0.20056230703829636</v>
      </c>
      <c r="E456" s="303"/>
      <c r="F456" s="302">
        <v>8.0734417498779493E-2</v>
      </c>
      <c r="G456" s="302">
        <v>3.6732455743006501E-2</v>
      </c>
      <c r="H456" s="302">
        <f t="shared" si="173"/>
        <v>0.11746687324178599</v>
      </c>
      <c r="I456" s="303"/>
      <c r="J456" s="302">
        <v>0.12120666014469234</v>
      </c>
      <c r="K456" s="302">
        <v>4.79709249957362E-2</v>
      </c>
      <c r="L456" s="302">
        <f t="shared" si="174"/>
        <v>0.16917758514042852</v>
      </c>
      <c r="M456" s="236"/>
      <c r="N456" s="236"/>
    </row>
    <row r="457" spans="1:14" x14ac:dyDescent="0.3">
      <c r="A457" s="237" t="str">
        <f>name!E$10</f>
        <v>Sales and customer service occupations</v>
      </c>
      <c r="B457" s="302">
        <v>8.4381215348555513E-2</v>
      </c>
      <c r="C457" s="302">
        <v>6.4277551411591985E-2</v>
      </c>
      <c r="D457" s="302">
        <f t="shared" si="172"/>
        <v>0.1486587667601475</v>
      </c>
      <c r="E457" s="303"/>
      <c r="F457" s="302">
        <v>6.1543466169725961E-2</v>
      </c>
      <c r="G457" s="302">
        <v>3.580867389182666E-2</v>
      </c>
      <c r="H457" s="302">
        <f t="shared" si="173"/>
        <v>9.7352140061552628E-2</v>
      </c>
      <c r="I457" s="303"/>
      <c r="J457" s="302">
        <v>8.9579346473473237E-2</v>
      </c>
      <c r="K457" s="302">
        <v>3.8442545878321764E-2</v>
      </c>
      <c r="L457" s="302">
        <f t="shared" si="174"/>
        <v>0.12802189235179501</v>
      </c>
      <c r="M457" s="236"/>
      <c r="N457" s="236"/>
    </row>
    <row r="458" spans="1:14" x14ac:dyDescent="0.3">
      <c r="A458" s="237" t="str">
        <f>name!E$11</f>
        <v>Process, plant and machine operatives</v>
      </c>
      <c r="B458" s="302">
        <v>5.7632003106554239E-2</v>
      </c>
      <c r="C458" s="302">
        <v>1.2092265752841209</v>
      </c>
      <c r="D458" s="302">
        <f t="shared" si="172"/>
        <v>1.2668585783906752</v>
      </c>
      <c r="E458" s="303"/>
      <c r="F458" s="302">
        <v>2.7402934447701217E-2</v>
      </c>
      <c r="G458" s="302">
        <v>0.44083186642514405</v>
      </c>
      <c r="H458" s="302">
        <f t="shared" si="173"/>
        <v>0.46823480087284525</v>
      </c>
      <c r="I458" s="303"/>
      <c r="J458" s="302">
        <v>4.2218225599226632E-2</v>
      </c>
      <c r="K458" s="302">
        <v>0.5452460927835826</v>
      </c>
      <c r="L458" s="302">
        <f t="shared" si="174"/>
        <v>0.58746431838280921</v>
      </c>
      <c r="M458" s="236"/>
      <c r="N458" s="236"/>
    </row>
    <row r="459" spans="1:14" x14ac:dyDescent="0.3">
      <c r="A459" s="237" t="str">
        <f>name!E$12</f>
        <v>Elementary occupations</v>
      </c>
      <c r="B459" s="302">
        <v>0.1481710042584769</v>
      </c>
      <c r="C459" s="302">
        <v>1.2323567873112273</v>
      </c>
      <c r="D459" s="302">
        <f t="shared" si="172"/>
        <v>1.3805277915697043</v>
      </c>
      <c r="E459" s="303"/>
      <c r="F459" s="302">
        <v>6.871601006837956E-2</v>
      </c>
      <c r="G459" s="302">
        <v>0.4995225760539615</v>
      </c>
      <c r="H459" s="302">
        <f t="shared" si="173"/>
        <v>0.56823858612234102</v>
      </c>
      <c r="I459" s="303"/>
      <c r="J459" s="302">
        <v>4.0122546254267796E-2</v>
      </c>
      <c r="K459" s="302">
        <v>0.5632537928922462</v>
      </c>
      <c r="L459" s="302">
        <f t="shared" si="174"/>
        <v>0.60337633914651401</v>
      </c>
      <c r="M459" s="236"/>
      <c r="N459" s="236"/>
    </row>
    <row r="460" spans="1:14" x14ac:dyDescent="0.3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  <c r="N460" s="236"/>
    </row>
    <row r="461" spans="1:14" x14ac:dyDescent="0.3">
      <c r="A461" s="244" t="s">
        <v>32</v>
      </c>
      <c r="B461" s="311">
        <f>SUM(B451:B459)</f>
        <v>1.6899999999877606</v>
      </c>
      <c r="C461" s="311">
        <f t="shared" ref="C461:D461" si="175">SUM(C451:C459)</f>
        <v>4.1280000000058106</v>
      </c>
      <c r="D461" s="311">
        <f t="shared" si="175"/>
        <v>5.817999999993571</v>
      </c>
      <c r="E461" s="311"/>
      <c r="F461" s="311">
        <f t="shared" ref="F461:H461" si="176">SUM(F451:F459)</f>
        <v>1.0489999999979445</v>
      </c>
      <c r="G461" s="311">
        <f t="shared" si="176"/>
        <v>1.7450000000106931</v>
      </c>
      <c r="H461" s="311">
        <f t="shared" si="176"/>
        <v>2.7940000000086376</v>
      </c>
      <c r="I461" s="311"/>
      <c r="J461" s="311">
        <f t="shared" ref="J461:L461" si="177">SUM(J451:J459)</f>
        <v>1.3410000000079567</v>
      </c>
      <c r="K461" s="311">
        <f t="shared" si="177"/>
        <v>1.9750000000281283</v>
      </c>
      <c r="L461" s="311">
        <f t="shared" si="177"/>
        <v>3.3160000000360847</v>
      </c>
      <c r="M461" s="236"/>
      <c r="N461" s="236"/>
    </row>
    <row r="462" spans="1:14" x14ac:dyDescent="0.3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  <c r="N462" s="236"/>
    </row>
    <row r="463" spans="1:14" x14ac:dyDescent="0.3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56" t="s">
        <v>35</v>
      </c>
      <c r="M463" s="236"/>
      <c r="N463" s="236"/>
    </row>
    <row r="464" spans="1:14" x14ac:dyDescent="0.3">
      <c r="A464" s="242"/>
      <c r="B464" s="250"/>
      <c r="C464" s="250"/>
      <c r="D464" s="250"/>
      <c r="E464" s="250"/>
      <c r="F464" s="250"/>
      <c r="G464" s="250"/>
      <c r="H464" s="250"/>
      <c r="I464" s="250"/>
      <c r="J464" s="250"/>
      <c r="K464" s="250"/>
      <c r="L464" s="236"/>
      <c r="M464" s="236"/>
      <c r="N464" s="236"/>
    </row>
    <row r="465" spans="1:14" x14ac:dyDescent="0.3">
      <c r="A465" s="241" t="str">
        <f>name!A30</f>
        <v>Waste management</v>
      </c>
      <c r="B465" s="373">
        <f>B$6</f>
        <v>2015</v>
      </c>
      <c r="C465" s="373"/>
      <c r="D465" s="373"/>
      <c r="E465" s="253"/>
      <c r="F465" s="373">
        <f>F448</f>
        <v>2020</v>
      </c>
      <c r="G465" s="373"/>
      <c r="H465" s="373"/>
      <c r="I465" s="253"/>
      <c r="J465" s="373">
        <f>J448</f>
        <v>2035</v>
      </c>
      <c r="K465" s="373"/>
      <c r="L465" s="373"/>
      <c r="M465" s="236"/>
      <c r="N465" s="236"/>
    </row>
    <row r="466" spans="1:14" x14ac:dyDescent="0.3">
      <c r="A466" s="254"/>
      <c r="B466" s="255" t="s">
        <v>352</v>
      </c>
      <c r="C466" s="255" t="s">
        <v>353</v>
      </c>
      <c r="D466" s="255" t="s">
        <v>32</v>
      </c>
      <c r="E466" s="255"/>
      <c r="F466" s="255" t="s">
        <v>352</v>
      </c>
      <c r="G466" s="255" t="s">
        <v>353</v>
      </c>
      <c r="H466" s="255" t="s">
        <v>32</v>
      </c>
      <c r="I466" s="255"/>
      <c r="J466" s="255" t="s">
        <v>352</v>
      </c>
      <c r="K466" s="255" t="s">
        <v>353</v>
      </c>
      <c r="L466" s="255" t="s">
        <v>32</v>
      </c>
      <c r="M466" s="236"/>
      <c r="N466" s="236"/>
    </row>
    <row r="467" spans="1:14" x14ac:dyDescent="0.3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  <c r="N467" s="236"/>
    </row>
    <row r="468" spans="1:14" x14ac:dyDescent="0.3">
      <c r="A468" s="237" t="str">
        <f>name!E$4</f>
        <v>Managers, directors and senior officials</v>
      </c>
      <c r="B468" s="302">
        <v>0.21394417300250224</v>
      </c>
      <c r="C468" s="302">
        <v>1.0551171970703512</v>
      </c>
      <c r="D468" s="302">
        <f>SUM(B468:C468)</f>
        <v>1.2690613700728535</v>
      </c>
      <c r="E468" s="303"/>
      <c r="F468" s="302">
        <v>0.26453517113475461</v>
      </c>
      <c r="G468" s="302">
        <v>1.5002249270318062</v>
      </c>
      <c r="H468" s="302">
        <f>SUM(F468:G468)</f>
        <v>1.7647600981665608</v>
      </c>
      <c r="I468" s="303"/>
      <c r="J468" s="302">
        <v>0.33320735252187383</v>
      </c>
      <c r="K468" s="302">
        <v>1.7451625345178277</v>
      </c>
      <c r="L468" s="302">
        <f>SUM(J468:K468)</f>
        <v>2.0783698870397016</v>
      </c>
      <c r="M468" s="236"/>
      <c r="N468" s="236"/>
    </row>
    <row r="469" spans="1:14" x14ac:dyDescent="0.3">
      <c r="A469" s="237" t="str">
        <f>name!E$5</f>
        <v>Professional occupations</v>
      </c>
      <c r="B469" s="302">
        <v>0.35559077822960872</v>
      </c>
      <c r="C469" s="302">
        <v>0.80916491896850529</v>
      </c>
      <c r="D469" s="302">
        <f t="shared" ref="D469:D476" si="178">SUM(B469:C469)</f>
        <v>1.1647556971981139</v>
      </c>
      <c r="E469" s="303"/>
      <c r="F469" s="302">
        <v>0.47143602611696461</v>
      </c>
      <c r="G469" s="302">
        <v>1.1191717670958898</v>
      </c>
      <c r="H469" s="302">
        <f t="shared" ref="H469:H476" si="179">SUM(F469:G469)</f>
        <v>1.5906077932128544</v>
      </c>
      <c r="I469" s="303"/>
      <c r="J469" s="302">
        <v>0.64750942179155213</v>
      </c>
      <c r="K469" s="302">
        <v>1.2658696547393293</v>
      </c>
      <c r="L469" s="302">
        <f t="shared" ref="L469:L476" si="180">SUM(J469:K469)</f>
        <v>1.9133790765308816</v>
      </c>
      <c r="M469" s="236"/>
      <c r="N469" s="236"/>
    </row>
    <row r="470" spans="1:14" x14ac:dyDescent="0.3">
      <c r="A470" s="237" t="str">
        <f>name!E$6</f>
        <v>Associate professional occupations</v>
      </c>
      <c r="B470" s="302">
        <v>0.65864035252997555</v>
      </c>
      <c r="C470" s="302">
        <v>0.76686896209407962</v>
      </c>
      <c r="D470" s="302">
        <f t="shared" si="178"/>
        <v>1.4255093146240552</v>
      </c>
      <c r="E470" s="303"/>
      <c r="F470" s="302">
        <v>0.8820929137361222</v>
      </c>
      <c r="G470" s="302">
        <v>0.95440164427688701</v>
      </c>
      <c r="H470" s="302">
        <f t="shared" si="179"/>
        <v>1.8364945580130092</v>
      </c>
      <c r="I470" s="303"/>
      <c r="J470" s="302">
        <v>1.5435900901990991</v>
      </c>
      <c r="K470" s="302">
        <v>1.012129540958759</v>
      </c>
      <c r="L470" s="302">
        <f t="shared" si="180"/>
        <v>2.5557196311578583</v>
      </c>
      <c r="M470" s="236"/>
      <c r="N470" s="236"/>
    </row>
    <row r="471" spans="1:14" x14ac:dyDescent="0.3">
      <c r="A471" s="237" t="str">
        <f>name!E$7</f>
        <v>Administrative and secretarial occupations</v>
      </c>
      <c r="B471" s="302">
        <v>0.73591423655676169</v>
      </c>
      <c r="C471" s="302">
        <v>0.17432720985419956</v>
      </c>
      <c r="D471" s="302">
        <f t="shared" si="178"/>
        <v>0.91024144641096127</v>
      </c>
      <c r="E471" s="303"/>
      <c r="F471" s="302">
        <v>0.71770896769612813</v>
      </c>
      <c r="G471" s="302">
        <v>0.231438358519722</v>
      </c>
      <c r="H471" s="302">
        <f t="shared" si="179"/>
        <v>0.94914732621585007</v>
      </c>
      <c r="I471" s="303"/>
      <c r="J471" s="302">
        <v>0.52111658338551292</v>
      </c>
      <c r="K471" s="302">
        <v>0.26981462805388878</v>
      </c>
      <c r="L471" s="302">
        <f t="shared" si="180"/>
        <v>0.7909312114394017</v>
      </c>
      <c r="M471" s="236"/>
      <c r="N471" s="236"/>
    </row>
    <row r="472" spans="1:14" x14ac:dyDescent="0.3">
      <c r="A472" s="237" t="str">
        <f>name!E$8</f>
        <v>Skilled trades occupations</v>
      </c>
      <c r="B472" s="302">
        <v>0.17357581309465833</v>
      </c>
      <c r="C472" s="302">
        <v>0.69232634561610462</v>
      </c>
      <c r="D472" s="302">
        <f t="shared" si="178"/>
        <v>0.86590215871076293</v>
      </c>
      <c r="E472" s="303"/>
      <c r="F472" s="302">
        <v>0.13996304393619299</v>
      </c>
      <c r="G472" s="302">
        <v>0.83532199154346454</v>
      </c>
      <c r="H472" s="302">
        <f t="shared" si="179"/>
        <v>0.9752850354796575</v>
      </c>
      <c r="I472" s="303"/>
      <c r="J472" s="302">
        <v>0.23478135115577339</v>
      </c>
      <c r="K472" s="302">
        <v>0.84450974693758929</v>
      </c>
      <c r="L472" s="302">
        <f t="shared" si="180"/>
        <v>1.0792910980933628</v>
      </c>
      <c r="M472" s="236"/>
      <c r="N472" s="236"/>
    </row>
    <row r="473" spans="1:14" x14ac:dyDescent="0.3">
      <c r="A473" s="237" t="str">
        <f>name!E$9</f>
        <v>Caring, leisure and other service occupations</v>
      </c>
      <c r="B473" s="302">
        <v>0.1873897232976752</v>
      </c>
      <c r="C473" s="302">
        <v>0.14605804258315891</v>
      </c>
      <c r="D473" s="302">
        <f t="shared" si="178"/>
        <v>0.33344776588083413</v>
      </c>
      <c r="E473" s="303"/>
      <c r="F473" s="302">
        <v>0.18159041133173529</v>
      </c>
      <c r="G473" s="302">
        <v>0.18817196531589681</v>
      </c>
      <c r="H473" s="302">
        <f t="shared" si="179"/>
        <v>0.36976237664763212</v>
      </c>
      <c r="I473" s="303"/>
      <c r="J473" s="302">
        <v>0.24126587976157463</v>
      </c>
      <c r="K473" s="302">
        <v>0.2675005589231198</v>
      </c>
      <c r="L473" s="302">
        <f t="shared" si="180"/>
        <v>0.5087664386846944</v>
      </c>
      <c r="M473" s="236"/>
      <c r="N473" s="236"/>
    </row>
    <row r="474" spans="1:14" x14ac:dyDescent="0.3">
      <c r="A474" s="237" t="str">
        <f>name!E$10</f>
        <v>Sales and customer service occupations</v>
      </c>
      <c r="B474" s="302">
        <v>0.14890356262895119</v>
      </c>
      <c r="C474" s="302">
        <v>0.15255232627702744</v>
      </c>
      <c r="D474" s="302">
        <f t="shared" si="178"/>
        <v>0.30145588890597863</v>
      </c>
      <c r="E474" s="303"/>
      <c r="F474" s="302">
        <v>0.14203182207116613</v>
      </c>
      <c r="G474" s="302">
        <v>0.20288735889313103</v>
      </c>
      <c r="H474" s="302">
        <f t="shared" si="179"/>
        <v>0.34491918096429719</v>
      </c>
      <c r="I474" s="303"/>
      <c r="J474" s="302">
        <v>0.1434058566099298</v>
      </c>
      <c r="K474" s="302">
        <v>0.24844561353247652</v>
      </c>
      <c r="L474" s="302">
        <f t="shared" si="180"/>
        <v>0.39185147014240629</v>
      </c>
      <c r="M474" s="236"/>
      <c r="N474" s="236"/>
    </row>
    <row r="475" spans="1:14" x14ac:dyDescent="0.3">
      <c r="A475" s="237" t="str">
        <f>name!E$11</f>
        <v>Process, plant and machine operatives</v>
      </c>
      <c r="B475" s="302">
        <v>0.23181647065790964</v>
      </c>
      <c r="C475" s="302">
        <v>2.7284085140623113</v>
      </c>
      <c r="D475" s="302">
        <f t="shared" si="178"/>
        <v>2.9602249847202211</v>
      </c>
      <c r="E475" s="303"/>
      <c r="F475" s="302">
        <v>0.1767462330875916</v>
      </c>
      <c r="G475" s="302">
        <v>2.711698856938956</v>
      </c>
      <c r="H475" s="302">
        <f t="shared" si="179"/>
        <v>2.8884450900265475</v>
      </c>
      <c r="I475" s="303"/>
      <c r="J475" s="302">
        <v>0.19147250077512132</v>
      </c>
      <c r="K475" s="302">
        <v>3.4489010283623269</v>
      </c>
      <c r="L475" s="302">
        <f t="shared" si="180"/>
        <v>3.6403735291374484</v>
      </c>
      <c r="M475" s="236"/>
      <c r="N475" s="236"/>
    </row>
    <row r="476" spans="1:14" x14ac:dyDescent="0.3">
      <c r="A476" s="237" t="str">
        <f>name!E$12</f>
        <v>Elementary occupations</v>
      </c>
      <c r="B476" s="302">
        <v>0.26422488998564575</v>
      </c>
      <c r="C476" s="302">
        <v>2.3281764834836198</v>
      </c>
      <c r="D476" s="302">
        <f t="shared" si="178"/>
        <v>2.5924013734692655</v>
      </c>
      <c r="E476" s="303"/>
      <c r="F476" s="302">
        <v>0.20589541088126667</v>
      </c>
      <c r="G476" s="302">
        <v>2.2816831304280685</v>
      </c>
      <c r="H476" s="302">
        <f t="shared" si="179"/>
        <v>2.4875785413093352</v>
      </c>
      <c r="I476" s="303"/>
      <c r="J476" s="302">
        <v>0.16765096381319308</v>
      </c>
      <c r="K476" s="302">
        <v>2.1686666940936776</v>
      </c>
      <c r="L476" s="302">
        <f t="shared" si="180"/>
        <v>2.3363176579068705</v>
      </c>
      <c r="M476" s="236"/>
      <c r="N476" s="236"/>
    </row>
    <row r="477" spans="1:14" x14ac:dyDescent="0.3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  <c r="N477" s="236"/>
    </row>
    <row r="478" spans="1:14" x14ac:dyDescent="0.3">
      <c r="A478" s="244" t="s">
        <v>32</v>
      </c>
      <c r="B478" s="311">
        <f>SUM(B468:B476)</f>
        <v>2.9699999999836884</v>
      </c>
      <c r="C478" s="311">
        <f t="shared" ref="C478:D478" si="181">SUM(C468:C476)</f>
        <v>8.8530000000093576</v>
      </c>
      <c r="D478" s="311">
        <f t="shared" si="181"/>
        <v>11.822999999993046</v>
      </c>
      <c r="E478" s="311"/>
      <c r="F478" s="311">
        <f t="shared" ref="F478:H478" si="182">SUM(F468:F476)</f>
        <v>3.1819999999919224</v>
      </c>
      <c r="G478" s="311">
        <f t="shared" si="182"/>
        <v>10.025000000043821</v>
      </c>
      <c r="H478" s="311">
        <f t="shared" si="182"/>
        <v>13.207000000035745</v>
      </c>
      <c r="I478" s="311"/>
      <c r="J478" s="311">
        <f t="shared" ref="J478:L478" si="183">SUM(J468:J476)</f>
        <v>4.02400000001363</v>
      </c>
      <c r="K478" s="311">
        <f t="shared" si="183"/>
        <v>11.271000000118995</v>
      </c>
      <c r="L478" s="311">
        <f t="shared" si="183"/>
        <v>15.295000000132625</v>
      </c>
      <c r="M478" s="236"/>
      <c r="N478" s="236"/>
    </row>
    <row r="479" spans="1:14" x14ac:dyDescent="0.3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  <c r="N479" s="236"/>
    </row>
    <row r="480" spans="1:14" x14ac:dyDescent="0.3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56" t="s">
        <v>35</v>
      </c>
      <c r="M480" s="236"/>
      <c r="N480" s="236"/>
    </row>
    <row r="481" spans="1:14" x14ac:dyDescent="0.3">
      <c r="A481" s="242"/>
      <c r="B481" s="250"/>
      <c r="C481" s="250"/>
      <c r="D481" s="250"/>
      <c r="E481" s="250"/>
      <c r="F481" s="250"/>
      <c r="G481" s="250"/>
      <c r="H481" s="250"/>
      <c r="I481" s="250"/>
      <c r="J481" s="250"/>
      <c r="K481" s="250"/>
      <c r="L481" s="236"/>
      <c r="M481" s="236"/>
      <c r="N481" s="236"/>
    </row>
    <row r="482" spans="1:14" x14ac:dyDescent="0.3">
      <c r="A482" s="241" t="str">
        <f>name!A31</f>
        <v>Construction</v>
      </c>
      <c r="B482" s="373">
        <f>B$6</f>
        <v>2015</v>
      </c>
      <c r="C482" s="373"/>
      <c r="D482" s="373"/>
      <c r="E482" s="253"/>
      <c r="F482" s="373">
        <f>F465</f>
        <v>2020</v>
      </c>
      <c r="G482" s="373"/>
      <c r="H482" s="373"/>
      <c r="I482" s="253"/>
      <c r="J482" s="373">
        <f>J465</f>
        <v>2035</v>
      </c>
      <c r="K482" s="373"/>
      <c r="L482" s="373"/>
      <c r="M482" s="236"/>
      <c r="N482" s="236"/>
    </row>
    <row r="483" spans="1:14" x14ac:dyDescent="0.3">
      <c r="A483" s="254"/>
      <c r="B483" s="255" t="s">
        <v>352</v>
      </c>
      <c r="C483" s="255" t="s">
        <v>353</v>
      </c>
      <c r="D483" s="255" t="s">
        <v>32</v>
      </c>
      <c r="E483" s="255"/>
      <c r="F483" s="255" t="s">
        <v>352</v>
      </c>
      <c r="G483" s="255" t="s">
        <v>353</v>
      </c>
      <c r="H483" s="255" t="s">
        <v>32</v>
      </c>
      <c r="I483" s="255"/>
      <c r="J483" s="255" t="s">
        <v>352</v>
      </c>
      <c r="K483" s="255" t="s">
        <v>353</v>
      </c>
      <c r="L483" s="255" t="s">
        <v>32</v>
      </c>
      <c r="M483" s="236"/>
      <c r="N483" s="236"/>
    </row>
    <row r="484" spans="1:14" x14ac:dyDescent="0.3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  <c r="N484" s="236"/>
    </row>
    <row r="485" spans="1:14" x14ac:dyDescent="0.3">
      <c r="A485" s="237" t="str">
        <f>name!E$4</f>
        <v>Managers, directors and senior officials</v>
      </c>
      <c r="B485" s="302">
        <v>1.9131791997352743</v>
      </c>
      <c r="C485" s="302">
        <v>7.7432051266184176</v>
      </c>
      <c r="D485" s="302">
        <f>SUM(B485:C485)</f>
        <v>9.6563843263536917</v>
      </c>
      <c r="E485" s="303"/>
      <c r="F485" s="302">
        <v>3.1938602566210377</v>
      </c>
      <c r="G485" s="302">
        <v>9.2560293410053678</v>
      </c>
      <c r="H485" s="302">
        <f>SUM(F485:G485)</f>
        <v>12.449889597626406</v>
      </c>
      <c r="I485" s="303"/>
      <c r="J485" s="302">
        <v>4.5611147252565587</v>
      </c>
      <c r="K485" s="302">
        <v>11.163869054741182</v>
      </c>
      <c r="L485" s="302">
        <f>SUM(J485:K485)</f>
        <v>15.724983779997741</v>
      </c>
      <c r="M485" s="236"/>
      <c r="N485" s="236"/>
    </row>
    <row r="486" spans="1:14" x14ac:dyDescent="0.3">
      <c r="A486" s="237" t="str">
        <f>name!E$5</f>
        <v>Professional occupations</v>
      </c>
      <c r="B486" s="302">
        <v>1.8623972769167654</v>
      </c>
      <c r="C486" s="302">
        <v>7.5711147185427103</v>
      </c>
      <c r="D486" s="302">
        <f t="shared" ref="D486:D493" si="184">SUM(B486:C486)</f>
        <v>9.4335119954594759</v>
      </c>
      <c r="E486" s="303"/>
      <c r="F486" s="302">
        <v>2.8443402167599681</v>
      </c>
      <c r="G486" s="302">
        <v>9.0645440316157373</v>
      </c>
      <c r="H486" s="302">
        <f t="shared" ref="H486:H493" si="185">SUM(F486:G486)</f>
        <v>11.908884248375706</v>
      </c>
      <c r="I486" s="303"/>
      <c r="J486" s="302">
        <v>4.4108059814167584</v>
      </c>
      <c r="K486" s="302">
        <v>12.387536581167019</v>
      </c>
      <c r="L486" s="302">
        <f t="shared" ref="L486:L493" si="186">SUM(J486:K486)</f>
        <v>16.798342562583777</v>
      </c>
      <c r="M486" s="236"/>
      <c r="N486" s="236"/>
    </row>
    <row r="487" spans="1:14" x14ac:dyDescent="0.3">
      <c r="A487" s="237" t="str">
        <f>name!E$6</f>
        <v>Associate professional occupations</v>
      </c>
      <c r="B487" s="302">
        <v>1.7355270433442664</v>
      </c>
      <c r="C487" s="302">
        <v>4.3598584081418554</v>
      </c>
      <c r="D487" s="302">
        <f t="shared" si="184"/>
        <v>6.0953854514861217</v>
      </c>
      <c r="E487" s="303"/>
      <c r="F487" s="302">
        <v>2.3720268604970167</v>
      </c>
      <c r="G487" s="302">
        <v>5.05326489703892</v>
      </c>
      <c r="H487" s="302">
        <f t="shared" si="185"/>
        <v>7.4252917575359367</v>
      </c>
      <c r="I487" s="303"/>
      <c r="J487" s="302">
        <v>3.2534331996162993</v>
      </c>
      <c r="K487" s="302">
        <v>5.6434205564923223</v>
      </c>
      <c r="L487" s="302">
        <f t="shared" si="186"/>
        <v>8.8968537561086212</v>
      </c>
      <c r="M487" s="236"/>
      <c r="N487" s="236"/>
    </row>
    <row r="488" spans="1:14" x14ac:dyDescent="0.3">
      <c r="A488" s="237" t="str">
        <f>name!E$7</f>
        <v>Administrative and secretarial occupations</v>
      </c>
      <c r="B488" s="302">
        <v>7.240353880722969</v>
      </c>
      <c r="C488" s="302">
        <v>1.9314161192461567</v>
      </c>
      <c r="D488" s="302">
        <f t="shared" si="184"/>
        <v>9.1717699999691256</v>
      </c>
      <c r="E488" s="303"/>
      <c r="F488" s="302">
        <v>8.251164335337501</v>
      </c>
      <c r="G488" s="302">
        <v>2.2769696558381987</v>
      </c>
      <c r="H488" s="302">
        <f t="shared" si="185"/>
        <v>10.5281339911757</v>
      </c>
      <c r="I488" s="303"/>
      <c r="J488" s="302">
        <v>7.4669405483677824</v>
      </c>
      <c r="K488" s="302">
        <v>2.9936771675409175</v>
      </c>
      <c r="L488" s="302">
        <f t="shared" si="186"/>
        <v>10.4606177159087</v>
      </c>
      <c r="M488" s="236"/>
      <c r="N488" s="236"/>
    </row>
    <row r="489" spans="1:14" x14ac:dyDescent="0.3">
      <c r="A489" s="237" t="str">
        <f>name!E$8</f>
        <v>Skilled trades occupations</v>
      </c>
      <c r="B489" s="302">
        <v>0.3273869936216014</v>
      </c>
      <c r="C489" s="302">
        <v>29.748636698950527</v>
      </c>
      <c r="D489" s="302">
        <f t="shared" si="184"/>
        <v>30.076023692572129</v>
      </c>
      <c r="E489" s="303"/>
      <c r="F489" s="302">
        <v>1.2571872976750023</v>
      </c>
      <c r="G489" s="302">
        <v>25.391150604147835</v>
      </c>
      <c r="H489" s="302">
        <f t="shared" si="185"/>
        <v>26.648337901822838</v>
      </c>
      <c r="I489" s="303"/>
      <c r="J489" s="302">
        <v>2.5406245771704006</v>
      </c>
      <c r="K489" s="302">
        <v>27.360877709462091</v>
      </c>
      <c r="L489" s="302">
        <f t="shared" si="186"/>
        <v>29.901502286632493</v>
      </c>
      <c r="M489" s="236"/>
      <c r="N489" s="236"/>
    </row>
    <row r="490" spans="1:14" x14ac:dyDescent="0.3">
      <c r="A490" s="237" t="str">
        <f>name!E$9</f>
        <v>Caring, leisure and other service occupations</v>
      </c>
      <c r="B490" s="302">
        <v>6.9146309712515688E-2</v>
      </c>
      <c r="C490" s="302">
        <v>0.1983002933495065</v>
      </c>
      <c r="D490" s="302">
        <f t="shared" si="184"/>
        <v>0.26744660306202217</v>
      </c>
      <c r="E490" s="303"/>
      <c r="F490" s="302">
        <v>8.935616797926603E-2</v>
      </c>
      <c r="G490" s="302">
        <v>0.23287625198428455</v>
      </c>
      <c r="H490" s="302">
        <f t="shared" si="185"/>
        <v>0.32223241996355056</v>
      </c>
      <c r="I490" s="303"/>
      <c r="J490" s="302">
        <v>0.1137619490881223</v>
      </c>
      <c r="K490" s="302">
        <v>0.2838852259002061</v>
      </c>
      <c r="L490" s="302">
        <f t="shared" si="186"/>
        <v>0.39764717498832841</v>
      </c>
      <c r="M490" s="236"/>
      <c r="N490" s="236"/>
    </row>
    <row r="491" spans="1:14" x14ac:dyDescent="0.3">
      <c r="A491" s="237" t="str">
        <f>name!E$10</f>
        <v>Sales and customer service occupations</v>
      </c>
      <c r="B491" s="302">
        <v>0.88170137902716206</v>
      </c>
      <c r="C491" s="302">
        <v>1.0244471523120551</v>
      </c>
      <c r="D491" s="302">
        <f t="shared" si="184"/>
        <v>1.906148531339217</v>
      </c>
      <c r="E491" s="303"/>
      <c r="F491" s="302">
        <v>1.0233387429365572</v>
      </c>
      <c r="G491" s="302">
        <v>1.116367110566364</v>
      </c>
      <c r="H491" s="302">
        <f t="shared" si="185"/>
        <v>2.139705853502921</v>
      </c>
      <c r="I491" s="303"/>
      <c r="J491" s="302">
        <v>1.2969098697969923</v>
      </c>
      <c r="K491" s="302">
        <v>1.5763107717120433</v>
      </c>
      <c r="L491" s="302">
        <f t="shared" si="186"/>
        <v>2.8732206415090356</v>
      </c>
      <c r="M491" s="236"/>
      <c r="N491" s="236"/>
    </row>
    <row r="492" spans="1:14" x14ac:dyDescent="0.3">
      <c r="A492" s="237" t="str">
        <f>name!E$11</f>
        <v>Process, plant and machine operatives</v>
      </c>
      <c r="B492" s="302">
        <v>0.10220200122593311</v>
      </c>
      <c r="C492" s="302">
        <v>7.6253101064528561</v>
      </c>
      <c r="D492" s="302">
        <f t="shared" si="184"/>
        <v>7.7275121076787894</v>
      </c>
      <c r="E492" s="303"/>
      <c r="F492" s="302">
        <v>0.11261282326517717</v>
      </c>
      <c r="G492" s="302">
        <v>6.5474625360844447</v>
      </c>
      <c r="H492" s="302">
        <f t="shared" si="185"/>
        <v>6.660075359349622</v>
      </c>
      <c r="I492" s="303"/>
      <c r="J492" s="302">
        <v>0.16904046880157697</v>
      </c>
      <c r="K492" s="302">
        <v>9.2391109454800695</v>
      </c>
      <c r="L492" s="302">
        <f t="shared" si="186"/>
        <v>9.4081514142816474</v>
      </c>
      <c r="M492" s="236"/>
      <c r="N492" s="236"/>
    </row>
    <row r="493" spans="1:14" x14ac:dyDescent="0.3">
      <c r="A493" s="237" t="str">
        <f>name!E$12</f>
        <v>Elementary occupations</v>
      </c>
      <c r="B493" s="302">
        <v>0.28810591563132287</v>
      </c>
      <c r="C493" s="302">
        <v>5.457711375469473</v>
      </c>
      <c r="D493" s="302">
        <f t="shared" si="184"/>
        <v>5.7458172911007956</v>
      </c>
      <c r="E493" s="303"/>
      <c r="F493" s="302">
        <v>0.32411329880646045</v>
      </c>
      <c r="G493" s="302">
        <v>4.8973355712747582</v>
      </c>
      <c r="H493" s="302">
        <f t="shared" si="185"/>
        <v>5.2214488700812183</v>
      </c>
      <c r="I493" s="303"/>
      <c r="J493" s="302">
        <v>0.25636868053192685</v>
      </c>
      <c r="K493" s="302">
        <v>5.870311986510063</v>
      </c>
      <c r="L493" s="302">
        <f t="shared" si="186"/>
        <v>6.12668066704199</v>
      </c>
      <c r="M493" s="236"/>
      <c r="N493" s="236"/>
    </row>
    <row r="494" spans="1:14" x14ac:dyDescent="0.3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  <c r="N494" s="236"/>
    </row>
    <row r="495" spans="1:14" x14ac:dyDescent="0.3">
      <c r="A495" s="244" t="s">
        <v>32</v>
      </c>
      <c r="B495" s="311">
        <f>SUM(B485:B493)</f>
        <v>14.41999999993781</v>
      </c>
      <c r="C495" s="311">
        <f t="shared" ref="C495:D495" si="187">SUM(C485:C493)</f>
        <v>65.659999999083567</v>
      </c>
      <c r="D495" s="311">
        <f t="shared" si="187"/>
        <v>80.079999999021368</v>
      </c>
      <c r="E495" s="311"/>
      <c r="F495" s="311">
        <f t="shared" ref="F495:H495" si="188">SUM(F485:F493)</f>
        <v>19.467999999877986</v>
      </c>
      <c r="G495" s="311">
        <f t="shared" si="188"/>
        <v>63.835999999555916</v>
      </c>
      <c r="H495" s="311">
        <f t="shared" si="188"/>
        <v>83.303999999433898</v>
      </c>
      <c r="I495" s="311"/>
      <c r="J495" s="311">
        <f t="shared" ref="J495:L495" si="189">SUM(J485:J493)</f>
        <v>24.069000000046419</v>
      </c>
      <c r="K495" s="311">
        <f t="shared" si="189"/>
        <v>76.518999999005914</v>
      </c>
      <c r="L495" s="311">
        <f t="shared" si="189"/>
        <v>100.58799999905233</v>
      </c>
      <c r="M495" s="236"/>
      <c r="N495" s="236"/>
    </row>
    <row r="496" spans="1:14" x14ac:dyDescent="0.3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  <c r="N496" s="236"/>
    </row>
    <row r="497" spans="1:14" x14ac:dyDescent="0.3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56" t="s">
        <v>35</v>
      </c>
      <c r="M497" s="236"/>
      <c r="N497" s="236"/>
    </row>
    <row r="498" spans="1:14" x14ac:dyDescent="0.3">
      <c r="A498" s="242"/>
      <c r="B498" s="250"/>
      <c r="C498" s="250"/>
      <c r="D498" s="250"/>
      <c r="E498" s="250"/>
      <c r="F498" s="250"/>
      <c r="G498" s="250"/>
      <c r="H498" s="250"/>
      <c r="I498" s="250"/>
      <c r="J498" s="250"/>
      <c r="K498" s="250"/>
      <c r="L498" s="236"/>
      <c r="M498" s="236"/>
      <c r="N498" s="236"/>
    </row>
    <row r="499" spans="1:14" x14ac:dyDescent="0.3">
      <c r="A499" s="241" t="str">
        <f>name!A32</f>
        <v>Civil engineering</v>
      </c>
      <c r="B499" s="373">
        <f>B$6</f>
        <v>2015</v>
      </c>
      <c r="C499" s="373"/>
      <c r="D499" s="373"/>
      <c r="E499" s="253"/>
      <c r="F499" s="373">
        <f>F482</f>
        <v>2020</v>
      </c>
      <c r="G499" s="373"/>
      <c r="H499" s="373"/>
      <c r="I499" s="253"/>
      <c r="J499" s="373">
        <f>J482</f>
        <v>2035</v>
      </c>
      <c r="K499" s="373"/>
      <c r="L499" s="373"/>
      <c r="M499" s="236"/>
      <c r="N499" s="236"/>
    </row>
    <row r="500" spans="1:14" x14ac:dyDescent="0.3">
      <c r="A500" s="254"/>
      <c r="B500" s="255" t="s">
        <v>352</v>
      </c>
      <c r="C500" s="255" t="s">
        <v>353</v>
      </c>
      <c r="D500" s="255" t="s">
        <v>32</v>
      </c>
      <c r="E500" s="255"/>
      <c r="F500" s="255" t="s">
        <v>352</v>
      </c>
      <c r="G500" s="255" t="s">
        <v>353</v>
      </c>
      <c r="H500" s="255" t="s">
        <v>32</v>
      </c>
      <c r="I500" s="255"/>
      <c r="J500" s="255" t="s">
        <v>352</v>
      </c>
      <c r="K500" s="255" t="s">
        <v>353</v>
      </c>
      <c r="L500" s="255" t="s">
        <v>32</v>
      </c>
      <c r="M500" s="236"/>
      <c r="N500" s="236"/>
    </row>
    <row r="501" spans="1:14" x14ac:dyDescent="0.3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  <c r="N501" s="236"/>
    </row>
    <row r="502" spans="1:14" x14ac:dyDescent="0.3">
      <c r="A502" s="237" t="str">
        <f>name!E$4</f>
        <v>Managers, directors and senior officials</v>
      </c>
      <c r="B502" s="302">
        <v>0.31970920286483345</v>
      </c>
      <c r="C502" s="302">
        <v>4.0210623293945549</v>
      </c>
      <c r="D502" s="302">
        <f>SUM(B502:C502)</f>
        <v>4.3407715322593887</v>
      </c>
      <c r="E502" s="303"/>
      <c r="F502" s="302">
        <v>0.46579065045431223</v>
      </c>
      <c r="G502" s="302">
        <v>5.4624553707894137</v>
      </c>
      <c r="H502" s="302">
        <f>SUM(F502:G502)</f>
        <v>5.9282460212437256</v>
      </c>
      <c r="I502" s="303"/>
      <c r="J502" s="302">
        <v>0.70307922195256289</v>
      </c>
      <c r="K502" s="302">
        <v>6.5655095588844627</v>
      </c>
      <c r="L502" s="302">
        <f>SUM(J502:K502)</f>
        <v>7.2685887808370255</v>
      </c>
      <c r="M502" s="236"/>
      <c r="N502" s="236"/>
    </row>
    <row r="503" spans="1:14" x14ac:dyDescent="0.3">
      <c r="A503" s="237" t="str">
        <f>name!E$5</f>
        <v>Professional occupations</v>
      </c>
      <c r="B503" s="302">
        <v>0.29445413084230865</v>
      </c>
      <c r="C503" s="302">
        <v>3.8981492550658201</v>
      </c>
      <c r="D503" s="302">
        <f t="shared" ref="D503:D510" si="190">SUM(B503:C503)</f>
        <v>4.1926033859081286</v>
      </c>
      <c r="E503" s="303"/>
      <c r="F503" s="302">
        <v>0.46761174413641404</v>
      </c>
      <c r="G503" s="302">
        <v>5.4265096336687924</v>
      </c>
      <c r="H503" s="302">
        <f t="shared" ref="H503:H510" si="191">SUM(F503:G503)</f>
        <v>5.894121377805206</v>
      </c>
      <c r="I503" s="303"/>
      <c r="J503" s="302">
        <v>0.73794602466356518</v>
      </c>
      <c r="K503" s="302">
        <v>7.4145129035430646</v>
      </c>
      <c r="L503" s="302">
        <f t="shared" ref="L503:L510" si="192">SUM(J503:K503)</f>
        <v>8.1524589282066291</v>
      </c>
      <c r="M503" s="236"/>
      <c r="N503" s="236"/>
    </row>
    <row r="504" spans="1:14" x14ac:dyDescent="0.3">
      <c r="A504" s="237" t="str">
        <f>name!E$6</f>
        <v>Associate professional occupations</v>
      </c>
      <c r="B504" s="302">
        <v>0.28562833084938183</v>
      </c>
      <c r="C504" s="302">
        <v>2.2264013281698953</v>
      </c>
      <c r="D504" s="302">
        <f t="shared" si="190"/>
        <v>2.512029659019277</v>
      </c>
      <c r="E504" s="303"/>
      <c r="F504" s="302">
        <v>0.38204899408700094</v>
      </c>
      <c r="G504" s="302">
        <v>2.9366042565452219</v>
      </c>
      <c r="H504" s="302">
        <f t="shared" si="191"/>
        <v>3.3186532506322228</v>
      </c>
      <c r="I504" s="303"/>
      <c r="J504" s="302">
        <v>0.53033758758399985</v>
      </c>
      <c r="K504" s="302">
        <v>3.3099944018302496</v>
      </c>
      <c r="L504" s="302">
        <f t="shared" si="192"/>
        <v>3.8403319894142496</v>
      </c>
      <c r="M504" s="236"/>
      <c r="N504" s="236"/>
    </row>
    <row r="505" spans="1:14" x14ac:dyDescent="0.3">
      <c r="A505" s="237" t="str">
        <f>name!E$7</f>
        <v>Administrative and secretarial occupations</v>
      </c>
      <c r="B505" s="302">
        <v>1.3241628230091618</v>
      </c>
      <c r="C505" s="302">
        <v>0.95578590216322146</v>
      </c>
      <c r="D505" s="302">
        <f t="shared" si="190"/>
        <v>2.2799487251723831</v>
      </c>
      <c r="E505" s="303"/>
      <c r="F505" s="302">
        <v>1.199341438191772</v>
      </c>
      <c r="G505" s="302">
        <v>1.1562144383427904</v>
      </c>
      <c r="H505" s="302">
        <f t="shared" si="191"/>
        <v>2.3555558765345621</v>
      </c>
      <c r="I505" s="303"/>
      <c r="J505" s="302">
        <v>1.0775164062417497</v>
      </c>
      <c r="K505" s="302">
        <v>1.5413792146580196</v>
      </c>
      <c r="L505" s="302">
        <f t="shared" si="192"/>
        <v>2.6188956208997691</v>
      </c>
      <c r="M505" s="236"/>
      <c r="N505" s="236"/>
    </row>
    <row r="506" spans="1:14" x14ac:dyDescent="0.3">
      <c r="A506" s="237" t="str">
        <f>name!E$8</f>
        <v>Skilled trades occupations</v>
      </c>
      <c r="B506" s="302">
        <v>5.6653215346404454E-2</v>
      </c>
      <c r="C506" s="302">
        <v>16.241555415993624</v>
      </c>
      <c r="D506" s="302">
        <f t="shared" si="190"/>
        <v>16.298208631340028</v>
      </c>
      <c r="E506" s="303"/>
      <c r="F506" s="302">
        <v>0.13367349763411798</v>
      </c>
      <c r="G506" s="302">
        <v>15.303808058100607</v>
      </c>
      <c r="H506" s="302">
        <f t="shared" si="191"/>
        <v>15.437481555734726</v>
      </c>
      <c r="I506" s="303"/>
      <c r="J506" s="302">
        <v>0.34268382890840265</v>
      </c>
      <c r="K506" s="302">
        <v>16.293808228134854</v>
      </c>
      <c r="L506" s="302">
        <f t="shared" si="192"/>
        <v>16.636492057043256</v>
      </c>
      <c r="M506" s="236"/>
      <c r="N506" s="236"/>
    </row>
    <row r="507" spans="1:14" x14ac:dyDescent="0.3">
      <c r="A507" s="237" t="str">
        <f>name!E$9</f>
        <v>Caring, leisure and other service occupations</v>
      </c>
      <c r="B507" s="302">
        <v>1.1868183150642515E-2</v>
      </c>
      <c r="C507" s="302">
        <v>9.8253274814700531E-2</v>
      </c>
      <c r="D507" s="302">
        <f t="shared" si="190"/>
        <v>0.11012145796534305</v>
      </c>
      <c r="E507" s="303"/>
      <c r="F507" s="302">
        <v>1.2492501345492017E-2</v>
      </c>
      <c r="G507" s="302">
        <v>0.12032041500320807</v>
      </c>
      <c r="H507" s="302">
        <f t="shared" si="191"/>
        <v>0.1328129163487001</v>
      </c>
      <c r="I507" s="303"/>
      <c r="J507" s="302">
        <v>1.6429958887064267E-2</v>
      </c>
      <c r="K507" s="302">
        <v>0.15223564290164873</v>
      </c>
      <c r="L507" s="302">
        <f t="shared" si="192"/>
        <v>0.16866560178871301</v>
      </c>
      <c r="M507" s="236"/>
      <c r="N507" s="236"/>
    </row>
    <row r="508" spans="1:14" x14ac:dyDescent="0.3">
      <c r="A508" s="237" t="str">
        <f>name!E$10</f>
        <v>Sales and customer service occupations</v>
      </c>
      <c r="B508" s="302">
        <v>0.15444095027638505</v>
      </c>
      <c r="C508" s="302">
        <v>0.5145101852184425</v>
      </c>
      <c r="D508" s="302">
        <f t="shared" si="190"/>
        <v>0.66895113549482754</v>
      </c>
      <c r="E508" s="303"/>
      <c r="F508" s="302">
        <v>0.15594530373778628</v>
      </c>
      <c r="G508" s="302">
        <v>0.57195978840466521</v>
      </c>
      <c r="H508" s="302">
        <f t="shared" si="191"/>
        <v>0.72790509214245147</v>
      </c>
      <c r="I508" s="303"/>
      <c r="J508" s="302">
        <v>0.1993950742475129</v>
      </c>
      <c r="K508" s="302">
        <v>0.79168016121882401</v>
      </c>
      <c r="L508" s="302">
        <f t="shared" si="192"/>
        <v>0.99107523546633691</v>
      </c>
      <c r="M508" s="236"/>
      <c r="N508" s="236"/>
    </row>
    <row r="509" spans="1:14" x14ac:dyDescent="0.3">
      <c r="A509" s="237" t="str">
        <f>name!E$11</f>
        <v>Process, plant and machine operatives</v>
      </c>
      <c r="B509" s="302">
        <v>1.6952943088920171E-2</v>
      </c>
      <c r="C509" s="302">
        <v>3.9622658951696184</v>
      </c>
      <c r="D509" s="302">
        <f t="shared" si="190"/>
        <v>3.9792188382585385</v>
      </c>
      <c r="E509" s="303"/>
      <c r="F509" s="302">
        <v>1.5892902304516076E-2</v>
      </c>
      <c r="G509" s="302">
        <v>3.8806655945230166</v>
      </c>
      <c r="H509" s="302">
        <f t="shared" si="191"/>
        <v>3.8965584968275326</v>
      </c>
      <c r="I509" s="303"/>
      <c r="J509" s="302">
        <v>2.3724698843538842E-2</v>
      </c>
      <c r="K509" s="302">
        <v>5.477710946056221</v>
      </c>
      <c r="L509" s="302">
        <f t="shared" si="192"/>
        <v>5.5014356448997601</v>
      </c>
      <c r="M509" s="236"/>
      <c r="N509" s="236"/>
    </row>
    <row r="510" spans="1:14" x14ac:dyDescent="0.3">
      <c r="A510" s="237" t="str">
        <f>name!E$12</f>
        <v>Elementary occupations</v>
      </c>
      <c r="B510" s="302">
        <v>6.3130220567377743E-2</v>
      </c>
      <c r="C510" s="302">
        <v>2.8370164134878841</v>
      </c>
      <c r="D510" s="302">
        <f t="shared" si="190"/>
        <v>2.900146634055262</v>
      </c>
      <c r="E510" s="303"/>
      <c r="F510" s="302">
        <v>3.8202968096606317E-2</v>
      </c>
      <c r="G510" s="302">
        <v>2.7174624443508653</v>
      </c>
      <c r="H510" s="302">
        <f t="shared" si="191"/>
        <v>2.7556654124474718</v>
      </c>
      <c r="I510" s="303"/>
      <c r="J510" s="302">
        <v>3.2887198684426737E-2</v>
      </c>
      <c r="K510" s="302">
        <v>3.3741689421717567</v>
      </c>
      <c r="L510" s="302">
        <f t="shared" si="192"/>
        <v>3.4070561408561835</v>
      </c>
      <c r="M510" s="236"/>
      <c r="N510" s="236"/>
    </row>
    <row r="511" spans="1:14" x14ac:dyDescent="0.3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  <c r="N511" s="236"/>
    </row>
    <row r="512" spans="1:14" x14ac:dyDescent="0.3">
      <c r="A512" s="244" t="s">
        <v>32</v>
      </c>
      <c r="B512" s="311">
        <f>SUM(B502:B510)</f>
        <v>2.5269999999954158</v>
      </c>
      <c r="C512" s="311">
        <f t="shared" ref="C512:D512" si="193">SUM(C502:C510)</f>
        <v>34.754999999477761</v>
      </c>
      <c r="D512" s="311">
        <f t="shared" si="193"/>
        <v>37.281999999473172</v>
      </c>
      <c r="E512" s="311"/>
      <c r="F512" s="311">
        <f t="shared" ref="F512:H512" si="194">SUM(F502:F510)</f>
        <v>2.870999999988018</v>
      </c>
      <c r="G512" s="311">
        <f t="shared" si="194"/>
        <v>37.57599999972858</v>
      </c>
      <c r="H512" s="311">
        <f t="shared" si="194"/>
        <v>40.446999999716596</v>
      </c>
      <c r="I512" s="311"/>
      <c r="J512" s="311">
        <f t="shared" ref="J512:L512" si="195">SUM(J502:J510)</f>
        <v>3.6640000000128237</v>
      </c>
      <c r="K512" s="311">
        <f t="shared" si="195"/>
        <v>44.9209999993991</v>
      </c>
      <c r="L512" s="311">
        <f t="shared" si="195"/>
        <v>48.58499999941192</v>
      </c>
      <c r="M512" s="236"/>
      <c r="N512" s="236"/>
    </row>
    <row r="513" spans="1:14" x14ac:dyDescent="0.3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  <c r="N513" s="236"/>
    </row>
    <row r="514" spans="1:14" x14ac:dyDescent="0.3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56" t="s">
        <v>35</v>
      </c>
      <c r="M514" s="236"/>
      <c r="N514" s="236"/>
    </row>
    <row r="515" spans="1:14" x14ac:dyDescent="0.3">
      <c r="A515" s="242"/>
      <c r="B515" s="250"/>
      <c r="C515" s="250"/>
      <c r="D515" s="250"/>
      <c r="E515" s="250"/>
      <c r="F515" s="250"/>
      <c r="G515" s="250"/>
      <c r="H515" s="250"/>
      <c r="I515" s="250"/>
      <c r="J515" s="250"/>
      <c r="K515" s="250"/>
      <c r="L515" s="236"/>
      <c r="M515" s="236"/>
      <c r="N515" s="236"/>
    </row>
    <row r="516" spans="1:14" x14ac:dyDescent="0.3">
      <c r="A516" s="241" t="str">
        <f>name!A33</f>
        <v>Specialised construction</v>
      </c>
      <c r="B516" s="373">
        <f>B$6</f>
        <v>2015</v>
      </c>
      <c r="C516" s="373"/>
      <c r="D516" s="373"/>
      <c r="E516" s="253"/>
      <c r="F516" s="373">
        <f>F499</f>
        <v>2020</v>
      </c>
      <c r="G516" s="373"/>
      <c r="H516" s="373"/>
      <c r="I516" s="253"/>
      <c r="J516" s="373">
        <f>J499</f>
        <v>2035</v>
      </c>
      <c r="K516" s="373"/>
      <c r="L516" s="373"/>
      <c r="M516" s="236"/>
      <c r="N516" s="236"/>
    </row>
    <row r="517" spans="1:14" x14ac:dyDescent="0.3">
      <c r="A517" s="254"/>
      <c r="B517" s="255" t="s">
        <v>352</v>
      </c>
      <c r="C517" s="255" t="s">
        <v>353</v>
      </c>
      <c r="D517" s="255" t="s">
        <v>32</v>
      </c>
      <c r="E517" s="255"/>
      <c r="F517" s="255" t="s">
        <v>352</v>
      </c>
      <c r="G517" s="255" t="s">
        <v>353</v>
      </c>
      <c r="H517" s="255" t="s">
        <v>32</v>
      </c>
      <c r="I517" s="255"/>
      <c r="J517" s="255" t="s">
        <v>352</v>
      </c>
      <c r="K517" s="255" t="s">
        <v>353</v>
      </c>
      <c r="L517" s="255" t="s">
        <v>32</v>
      </c>
      <c r="M517" s="236"/>
      <c r="N517" s="236"/>
    </row>
    <row r="518" spans="1:14" x14ac:dyDescent="0.3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  <c r="N518" s="236"/>
    </row>
    <row r="519" spans="1:14" x14ac:dyDescent="0.3">
      <c r="A519" s="237" t="str">
        <f>name!E$4</f>
        <v>Managers, directors and senior officials</v>
      </c>
      <c r="B519" s="302">
        <v>1.6456031899245787</v>
      </c>
      <c r="C519" s="302">
        <v>13.13051181889252</v>
      </c>
      <c r="D519" s="302">
        <f>SUM(B519:C519)</f>
        <v>14.776115008817099</v>
      </c>
      <c r="E519" s="303"/>
      <c r="F519" s="302">
        <v>3.0513657422305291</v>
      </c>
      <c r="G519" s="302">
        <v>18.871535724372603</v>
      </c>
      <c r="H519" s="302">
        <f>SUM(F519:G519)</f>
        <v>21.922901466603133</v>
      </c>
      <c r="I519" s="303"/>
      <c r="J519" s="302">
        <v>4.3075202494460845</v>
      </c>
      <c r="K519" s="302">
        <v>22.719744473351732</v>
      </c>
      <c r="L519" s="302">
        <f>SUM(J519:K519)</f>
        <v>27.027264722797817</v>
      </c>
      <c r="M519" s="236"/>
      <c r="N519" s="236"/>
    </row>
    <row r="520" spans="1:14" x14ac:dyDescent="0.3">
      <c r="A520" s="237" t="str">
        <f>name!E$5</f>
        <v>Professional occupations</v>
      </c>
      <c r="B520" s="302">
        <v>1.4311674520575488</v>
      </c>
      <c r="C520" s="302">
        <v>12.785205595636747</v>
      </c>
      <c r="D520" s="302">
        <f t="shared" ref="D520:D527" si="196">SUM(B520:C520)</f>
        <v>14.216373047694296</v>
      </c>
      <c r="E520" s="303"/>
      <c r="F520" s="302">
        <v>2.5422981293911779</v>
      </c>
      <c r="G520" s="302">
        <v>18.573741876618744</v>
      </c>
      <c r="H520" s="302">
        <f t="shared" ref="H520:H527" si="197">SUM(F520:G520)</f>
        <v>21.116040006009921</v>
      </c>
      <c r="I520" s="303"/>
      <c r="J520" s="302">
        <v>3.8688101509968384</v>
      </c>
      <c r="K520" s="302">
        <v>25.360900396214465</v>
      </c>
      <c r="L520" s="302">
        <f t="shared" ref="L520:L527" si="198">SUM(J520:K520)</f>
        <v>29.229710547211305</v>
      </c>
      <c r="M520" s="236"/>
      <c r="N520" s="236"/>
    </row>
    <row r="521" spans="1:14" x14ac:dyDescent="0.3">
      <c r="A521" s="237" t="str">
        <f>name!E$6</f>
        <v>Associate professional occupations</v>
      </c>
      <c r="B521" s="302">
        <v>1.4516106225486942</v>
      </c>
      <c r="C521" s="302">
        <v>7.3255264914229974</v>
      </c>
      <c r="D521" s="302">
        <f t="shared" si="196"/>
        <v>8.7771371139716923</v>
      </c>
      <c r="E521" s="303"/>
      <c r="F521" s="302">
        <v>2.2222313708057397</v>
      </c>
      <c r="G521" s="302">
        <v>10.193153312703773</v>
      </c>
      <c r="H521" s="302">
        <f t="shared" si="197"/>
        <v>12.415384683509512</v>
      </c>
      <c r="I521" s="303"/>
      <c r="J521" s="302">
        <v>3.0070205767022191</v>
      </c>
      <c r="K521" s="302">
        <v>11.435340986104315</v>
      </c>
      <c r="L521" s="302">
        <f t="shared" si="198"/>
        <v>14.442361562806534</v>
      </c>
      <c r="M521" s="236"/>
      <c r="N521" s="236"/>
    </row>
    <row r="522" spans="1:14" x14ac:dyDescent="0.3">
      <c r="A522" s="237" t="str">
        <f>name!E$7</f>
        <v>Administrative and secretarial occupations</v>
      </c>
      <c r="B522" s="302">
        <v>7.4484725612260281</v>
      </c>
      <c r="C522" s="302">
        <v>3.1730690697352126</v>
      </c>
      <c r="D522" s="302">
        <f t="shared" si="196"/>
        <v>10.621541630961241</v>
      </c>
      <c r="E522" s="303"/>
      <c r="F522" s="302">
        <v>8.990824361223428</v>
      </c>
      <c r="G522" s="302">
        <v>4.3011884190931529</v>
      </c>
      <c r="H522" s="302">
        <f t="shared" si="197"/>
        <v>13.292012780316581</v>
      </c>
      <c r="I522" s="303"/>
      <c r="J522" s="302">
        <v>9.0245602698923424</v>
      </c>
      <c r="K522" s="302">
        <v>5.6944289066877101</v>
      </c>
      <c r="L522" s="302">
        <f t="shared" si="198"/>
        <v>14.718989176580052</v>
      </c>
      <c r="M522" s="236"/>
      <c r="N522" s="236"/>
    </row>
    <row r="523" spans="1:14" x14ac:dyDescent="0.3">
      <c r="A523" s="237" t="str">
        <f>name!E$8</f>
        <v>Skilled trades occupations</v>
      </c>
      <c r="B523" s="302">
        <v>0.28816459679340328</v>
      </c>
      <c r="C523" s="302">
        <v>51.809299668803988</v>
      </c>
      <c r="D523" s="302">
        <f t="shared" si="196"/>
        <v>52.097464265597388</v>
      </c>
      <c r="E523" s="303"/>
      <c r="F523" s="302">
        <v>0.93738087778599566</v>
      </c>
      <c r="G523" s="302">
        <v>52.64439790747727</v>
      </c>
      <c r="H523" s="302">
        <f t="shared" si="197"/>
        <v>53.581778785263268</v>
      </c>
      <c r="I523" s="303"/>
      <c r="J523" s="302">
        <v>1.926819190770837</v>
      </c>
      <c r="K523" s="302">
        <v>56.44385144990212</v>
      </c>
      <c r="L523" s="302">
        <f t="shared" si="198"/>
        <v>58.370670640672955</v>
      </c>
      <c r="M523" s="236"/>
      <c r="N523" s="236"/>
    </row>
    <row r="524" spans="1:14" x14ac:dyDescent="0.3">
      <c r="A524" s="237" t="str">
        <f>name!E$9</f>
        <v>Caring, leisure and other service occupations</v>
      </c>
      <c r="B524" s="302">
        <v>6.2709532577231428E-2</v>
      </c>
      <c r="C524" s="302">
        <v>0.32620726797172211</v>
      </c>
      <c r="D524" s="302">
        <f t="shared" si="196"/>
        <v>0.38891680054895356</v>
      </c>
      <c r="E524" s="303"/>
      <c r="F524" s="302">
        <v>8.1881295137327018E-2</v>
      </c>
      <c r="G524" s="302">
        <v>0.44342402910339046</v>
      </c>
      <c r="H524" s="302">
        <f t="shared" si="197"/>
        <v>0.52530532424071752</v>
      </c>
      <c r="I524" s="303"/>
      <c r="J524" s="302">
        <v>9.739908490529936E-2</v>
      </c>
      <c r="K524" s="302">
        <v>0.55050284871277377</v>
      </c>
      <c r="L524" s="302">
        <f t="shared" si="198"/>
        <v>0.64790193361807313</v>
      </c>
      <c r="M524" s="236"/>
      <c r="N524" s="236"/>
    </row>
    <row r="525" spans="1:14" x14ac:dyDescent="0.3">
      <c r="A525" s="237" t="str">
        <f>name!E$10</f>
        <v>Sales and customer service occupations</v>
      </c>
      <c r="B525" s="302">
        <v>0.83618163915562027</v>
      </c>
      <c r="C525" s="302">
        <v>1.6966303096798874</v>
      </c>
      <c r="D525" s="302">
        <f t="shared" si="196"/>
        <v>2.5328119488355076</v>
      </c>
      <c r="E525" s="303"/>
      <c r="F525" s="302">
        <v>1.0911968062504089</v>
      </c>
      <c r="G525" s="302">
        <v>2.1215176151797377</v>
      </c>
      <c r="H525" s="302">
        <f t="shared" si="197"/>
        <v>3.2127144214301468</v>
      </c>
      <c r="I525" s="303"/>
      <c r="J525" s="302">
        <v>1.3706988016775148</v>
      </c>
      <c r="K525" s="302">
        <v>2.9667668283475432</v>
      </c>
      <c r="L525" s="302">
        <f t="shared" si="198"/>
        <v>4.3374656300250578</v>
      </c>
      <c r="M525" s="236"/>
      <c r="N525" s="236"/>
    </row>
    <row r="526" spans="1:14" x14ac:dyDescent="0.3">
      <c r="A526" s="237" t="str">
        <f>name!E$11</f>
        <v>Process, plant and machine operatives</v>
      </c>
      <c r="B526" s="302">
        <v>8.6562729909935104E-2</v>
      </c>
      <c r="C526" s="302">
        <v>12.934365123364802</v>
      </c>
      <c r="D526" s="302">
        <f t="shared" si="196"/>
        <v>13.020927853274738</v>
      </c>
      <c r="E526" s="303"/>
      <c r="F526" s="302">
        <v>0.10211549512024026</v>
      </c>
      <c r="G526" s="302">
        <v>13.383632623897226</v>
      </c>
      <c r="H526" s="302">
        <f t="shared" si="197"/>
        <v>13.485748119017465</v>
      </c>
      <c r="I526" s="303"/>
      <c r="J526" s="302">
        <v>0.15816513353192602</v>
      </c>
      <c r="K526" s="302">
        <v>18.904658966620921</v>
      </c>
      <c r="L526" s="302">
        <f t="shared" si="198"/>
        <v>19.062824100152849</v>
      </c>
      <c r="M526" s="236"/>
      <c r="N526" s="236"/>
    </row>
    <row r="527" spans="1:14" x14ac:dyDescent="0.3">
      <c r="A527" s="237" t="str">
        <f>name!E$12</f>
        <v>Elementary occupations</v>
      </c>
      <c r="B527" s="302">
        <v>0.4045276758132913</v>
      </c>
      <c r="C527" s="302">
        <v>9.2291846528560733</v>
      </c>
      <c r="D527" s="302">
        <f t="shared" si="196"/>
        <v>9.6337123286693647</v>
      </c>
      <c r="E527" s="303"/>
      <c r="F527" s="302">
        <v>0.40670592193192823</v>
      </c>
      <c r="G527" s="302">
        <v>9.7044084906190005</v>
      </c>
      <c r="H527" s="302">
        <f t="shared" si="197"/>
        <v>10.111114412550929</v>
      </c>
      <c r="I527" s="303"/>
      <c r="J527" s="302">
        <v>0.32400654208399648</v>
      </c>
      <c r="K527" s="302">
        <v>11.863805141972263</v>
      </c>
      <c r="L527" s="302">
        <f t="shared" si="198"/>
        <v>12.187811684056259</v>
      </c>
      <c r="M527" s="236"/>
      <c r="N527" s="236"/>
    </row>
    <row r="528" spans="1:14" x14ac:dyDescent="0.3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  <c r="N528" s="236"/>
    </row>
    <row r="529" spans="1:14" x14ac:dyDescent="0.3">
      <c r="A529" s="244" t="s">
        <v>32</v>
      </c>
      <c r="B529" s="311">
        <f>SUM(B519:B527)</f>
        <v>13.655000000006334</v>
      </c>
      <c r="C529" s="311">
        <f t="shared" ref="C529:D529" si="199">SUM(C519:C527)</f>
        <v>112.40999999836396</v>
      </c>
      <c r="D529" s="311">
        <f t="shared" si="199"/>
        <v>126.06499999837028</v>
      </c>
      <c r="E529" s="311"/>
      <c r="F529" s="311">
        <f t="shared" ref="F529:H529" si="200">SUM(F519:F527)</f>
        <v>19.425999999876773</v>
      </c>
      <c r="G529" s="311">
        <f t="shared" si="200"/>
        <v>130.23699999906489</v>
      </c>
      <c r="H529" s="311">
        <f t="shared" si="200"/>
        <v>149.66299999894167</v>
      </c>
      <c r="I529" s="311"/>
      <c r="J529" s="311">
        <f t="shared" ref="J529:L529" si="201">SUM(J519:J527)</f>
        <v>24.08500000000706</v>
      </c>
      <c r="K529" s="311">
        <f t="shared" si="201"/>
        <v>155.93999999791384</v>
      </c>
      <c r="L529" s="311">
        <f t="shared" si="201"/>
        <v>180.02499999792093</v>
      </c>
      <c r="M529" s="236"/>
      <c r="N529" s="236"/>
    </row>
    <row r="530" spans="1:14" x14ac:dyDescent="0.3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  <c r="N530" s="236"/>
    </row>
    <row r="531" spans="1:14" x14ac:dyDescent="0.3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56" t="s">
        <v>35</v>
      </c>
      <c r="M531" s="236"/>
      <c r="N531" s="236"/>
    </row>
    <row r="532" spans="1:14" x14ac:dyDescent="0.3">
      <c r="A532" s="242"/>
      <c r="B532" s="250"/>
      <c r="C532" s="250"/>
      <c r="D532" s="250"/>
      <c r="E532" s="250"/>
      <c r="F532" s="250"/>
      <c r="G532" s="250"/>
      <c r="H532" s="250"/>
      <c r="I532" s="250"/>
      <c r="J532" s="250"/>
      <c r="K532" s="250"/>
      <c r="L532" s="236"/>
      <c r="M532" s="236"/>
      <c r="N532" s="236"/>
    </row>
    <row r="533" spans="1:14" x14ac:dyDescent="0.3">
      <c r="A533" s="241" t="str">
        <f>name!A34</f>
        <v>Motor vehicle trade</v>
      </c>
      <c r="B533" s="373">
        <f>B$6</f>
        <v>2015</v>
      </c>
      <c r="C533" s="373"/>
      <c r="D533" s="373"/>
      <c r="E533" s="253"/>
      <c r="F533" s="373">
        <f>F516</f>
        <v>2020</v>
      </c>
      <c r="G533" s="373"/>
      <c r="H533" s="373"/>
      <c r="I533" s="253"/>
      <c r="J533" s="373">
        <f>J516</f>
        <v>2035</v>
      </c>
      <c r="K533" s="373"/>
      <c r="L533" s="373"/>
      <c r="M533" s="236"/>
      <c r="N533" s="236"/>
    </row>
    <row r="534" spans="1:14" x14ac:dyDescent="0.3">
      <c r="A534" s="254"/>
      <c r="B534" s="255" t="s">
        <v>352</v>
      </c>
      <c r="C534" s="255" t="s">
        <v>353</v>
      </c>
      <c r="D534" s="255" t="s">
        <v>32</v>
      </c>
      <c r="E534" s="255"/>
      <c r="F534" s="255" t="s">
        <v>352</v>
      </c>
      <c r="G534" s="255" t="s">
        <v>353</v>
      </c>
      <c r="H534" s="255" t="s">
        <v>32</v>
      </c>
      <c r="I534" s="255"/>
      <c r="J534" s="255" t="s">
        <v>352</v>
      </c>
      <c r="K534" s="255" t="s">
        <v>353</v>
      </c>
      <c r="L534" s="255" t="s">
        <v>32</v>
      </c>
      <c r="M534" s="236"/>
      <c r="N534" s="236"/>
    </row>
    <row r="535" spans="1:14" x14ac:dyDescent="0.3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  <c r="N535" s="236"/>
    </row>
    <row r="536" spans="1:14" x14ac:dyDescent="0.3">
      <c r="A536" s="237" t="str">
        <f>name!E$4</f>
        <v>Managers, directors and senior officials</v>
      </c>
      <c r="B536" s="302">
        <v>0.79339807346255908</v>
      </c>
      <c r="C536" s="302">
        <v>7.6971264691755064</v>
      </c>
      <c r="D536" s="302">
        <f>SUM(B536:C536)</f>
        <v>8.4905245426380649</v>
      </c>
      <c r="E536" s="303"/>
      <c r="F536" s="302">
        <v>1.1274424846705116</v>
      </c>
      <c r="G536" s="302">
        <v>7.9579522071057891</v>
      </c>
      <c r="H536" s="302">
        <f>SUM(F536:G536)</f>
        <v>9.0853946917763011</v>
      </c>
      <c r="I536" s="303"/>
      <c r="J536" s="302">
        <v>1.5547699284797913</v>
      </c>
      <c r="K536" s="302">
        <v>10.417170241599539</v>
      </c>
      <c r="L536" s="302">
        <f>SUM(J536:K536)</f>
        <v>11.97194017007933</v>
      </c>
      <c r="M536" s="236"/>
      <c r="N536" s="236"/>
    </row>
    <row r="537" spans="1:14" x14ac:dyDescent="0.3">
      <c r="A537" s="237" t="str">
        <f>name!E$5</f>
        <v>Professional occupations</v>
      </c>
      <c r="B537" s="302">
        <v>0.69527012755916473</v>
      </c>
      <c r="C537" s="302">
        <v>3.0293043263380754</v>
      </c>
      <c r="D537" s="302">
        <f t="shared" ref="D537:D544" si="202">SUM(B537:C537)</f>
        <v>3.7245744538972403</v>
      </c>
      <c r="E537" s="303"/>
      <c r="F537" s="302">
        <v>1.0440932485181385</v>
      </c>
      <c r="G537" s="302">
        <v>3.7125812477274058</v>
      </c>
      <c r="H537" s="302">
        <f t="shared" ref="H537:H544" si="203">SUM(F537:G537)</f>
        <v>4.7566744962455445</v>
      </c>
      <c r="I537" s="303"/>
      <c r="J537" s="302">
        <v>1.4916442186586154</v>
      </c>
      <c r="K537" s="302">
        <v>5.3141499698155998</v>
      </c>
      <c r="L537" s="302">
        <f t="shared" ref="L537:L544" si="204">SUM(J537:K537)</f>
        <v>6.8057941884742155</v>
      </c>
      <c r="M537" s="236"/>
      <c r="N537" s="236"/>
    </row>
    <row r="538" spans="1:14" x14ac:dyDescent="0.3">
      <c r="A538" s="237" t="str">
        <f>name!E$6</f>
        <v>Associate professional occupations</v>
      </c>
      <c r="B538" s="302">
        <v>1.1362531213029787</v>
      </c>
      <c r="C538" s="302">
        <v>3.7704742327400811</v>
      </c>
      <c r="D538" s="302">
        <f t="shared" si="202"/>
        <v>4.9067273540430598</v>
      </c>
      <c r="E538" s="303"/>
      <c r="F538" s="302">
        <v>1.4588263531951107</v>
      </c>
      <c r="G538" s="302">
        <v>4.1626750166206365</v>
      </c>
      <c r="H538" s="302">
        <f t="shared" si="203"/>
        <v>5.6215013698157472</v>
      </c>
      <c r="I538" s="303"/>
      <c r="J538" s="302">
        <v>1.8569310972315161</v>
      </c>
      <c r="K538" s="302">
        <v>4.8568267172998647</v>
      </c>
      <c r="L538" s="302">
        <f t="shared" si="204"/>
        <v>6.7137578145313803</v>
      </c>
      <c r="M538" s="236"/>
      <c r="N538" s="236"/>
    </row>
    <row r="539" spans="1:14" x14ac:dyDescent="0.3">
      <c r="A539" s="237" t="str">
        <f>name!E$7</f>
        <v>Administrative and secretarial occupations</v>
      </c>
      <c r="B539" s="302">
        <v>4.4341124953769002</v>
      </c>
      <c r="C539" s="302">
        <v>3.6396632274932208</v>
      </c>
      <c r="D539" s="302">
        <f t="shared" si="202"/>
        <v>8.0737757228701206</v>
      </c>
      <c r="E539" s="303"/>
      <c r="F539" s="302">
        <v>5.1267380230914892</v>
      </c>
      <c r="G539" s="302">
        <v>3.8763446254162868</v>
      </c>
      <c r="H539" s="302">
        <f t="shared" si="203"/>
        <v>9.0030826485077764</v>
      </c>
      <c r="I539" s="303"/>
      <c r="J539" s="302">
        <v>4.2791726651390185</v>
      </c>
      <c r="K539" s="302">
        <v>5.1147361826940525</v>
      </c>
      <c r="L539" s="302">
        <f t="shared" si="204"/>
        <v>9.393908847833071</v>
      </c>
      <c r="M539" s="236"/>
      <c r="N539" s="236"/>
    </row>
    <row r="540" spans="1:14" x14ac:dyDescent="0.3">
      <c r="A540" s="237" t="str">
        <f>name!E$8</f>
        <v>Skilled trades occupations</v>
      </c>
      <c r="B540" s="302">
        <v>0.3318587446496386</v>
      </c>
      <c r="C540" s="302">
        <v>25.71052121455805</v>
      </c>
      <c r="D540" s="302">
        <f t="shared" si="202"/>
        <v>26.04237995920769</v>
      </c>
      <c r="E540" s="303"/>
      <c r="F540" s="302">
        <v>0.43756156665894169</v>
      </c>
      <c r="G540" s="302">
        <v>20.291185654160252</v>
      </c>
      <c r="H540" s="302">
        <f t="shared" si="203"/>
        <v>20.728747220819194</v>
      </c>
      <c r="I540" s="303"/>
      <c r="J540" s="302">
        <v>0.6495672043974362</v>
      </c>
      <c r="K540" s="302">
        <v>20.861434542530017</v>
      </c>
      <c r="L540" s="302">
        <f t="shared" si="204"/>
        <v>21.511001746927452</v>
      </c>
      <c r="M540" s="236"/>
      <c r="N540" s="236"/>
    </row>
    <row r="541" spans="1:14" x14ac:dyDescent="0.3">
      <c r="A541" s="237" t="str">
        <f>name!E$9</f>
        <v>Caring, leisure and other service occupations</v>
      </c>
      <c r="B541" s="302">
        <v>1.9216938462963757</v>
      </c>
      <c r="C541" s="302">
        <v>0.210829630815769</v>
      </c>
      <c r="D541" s="302">
        <f t="shared" si="202"/>
        <v>2.1325234771121448</v>
      </c>
      <c r="E541" s="303"/>
      <c r="F541" s="302">
        <v>1.9528140228736461</v>
      </c>
      <c r="G541" s="302">
        <v>0.22491513431605639</v>
      </c>
      <c r="H541" s="302">
        <f t="shared" si="203"/>
        <v>2.1777291571897024</v>
      </c>
      <c r="I541" s="303"/>
      <c r="J541" s="302">
        <v>3.089724529389053</v>
      </c>
      <c r="K541" s="302">
        <v>0.33725883104248644</v>
      </c>
      <c r="L541" s="302">
        <f t="shared" si="204"/>
        <v>3.4269833604315396</v>
      </c>
      <c r="M541" s="236"/>
      <c r="N541" s="236"/>
    </row>
    <row r="542" spans="1:14" x14ac:dyDescent="0.3">
      <c r="A542" s="237" t="str">
        <f>name!E$10</f>
        <v>Sales and customer service occupations</v>
      </c>
      <c r="B542" s="302">
        <v>2.4565563275228812</v>
      </c>
      <c r="C542" s="302">
        <v>9.2911244165307423</v>
      </c>
      <c r="D542" s="302">
        <f t="shared" si="202"/>
        <v>11.747680744053623</v>
      </c>
      <c r="E542" s="303"/>
      <c r="F542" s="302">
        <v>2.9269263430139909</v>
      </c>
      <c r="G542" s="302">
        <v>8.8486737456318938</v>
      </c>
      <c r="H542" s="302">
        <f t="shared" si="203"/>
        <v>11.775600088645884</v>
      </c>
      <c r="I542" s="303"/>
      <c r="J542" s="302">
        <v>2.697895088157424</v>
      </c>
      <c r="K542" s="302">
        <v>10.070502781511948</v>
      </c>
      <c r="L542" s="302">
        <f t="shared" si="204"/>
        <v>12.768397869669371</v>
      </c>
      <c r="M542" s="236"/>
      <c r="N542" s="236"/>
    </row>
    <row r="543" spans="1:14" x14ac:dyDescent="0.3">
      <c r="A543" s="237" t="str">
        <f>name!E$11</f>
        <v>Process, plant and machine operatives</v>
      </c>
      <c r="B543" s="302">
        <v>0.7106660721273893</v>
      </c>
      <c r="C543" s="302">
        <v>3.9937533708357296</v>
      </c>
      <c r="D543" s="302">
        <f t="shared" si="202"/>
        <v>4.7044194429631192</v>
      </c>
      <c r="E543" s="303"/>
      <c r="F543" s="302">
        <v>0.70485176848757058</v>
      </c>
      <c r="G543" s="302">
        <v>3.3793682631193742</v>
      </c>
      <c r="H543" s="302">
        <f t="shared" si="203"/>
        <v>4.0842200316069448</v>
      </c>
      <c r="I543" s="303"/>
      <c r="J543" s="302">
        <v>1.3692207751849401</v>
      </c>
      <c r="K543" s="302">
        <v>4.1852895668167998</v>
      </c>
      <c r="L543" s="302">
        <f t="shared" si="204"/>
        <v>5.5545103420017394</v>
      </c>
      <c r="M543" s="236"/>
      <c r="N543" s="236"/>
    </row>
    <row r="544" spans="1:14" x14ac:dyDescent="0.3">
      <c r="A544" s="237" t="str">
        <f>name!E$12</f>
        <v>Elementary occupations</v>
      </c>
      <c r="B544" s="302">
        <v>0.47019119187057706</v>
      </c>
      <c r="C544" s="302">
        <v>2.7552031116629361</v>
      </c>
      <c r="D544" s="302">
        <f t="shared" si="202"/>
        <v>3.2253943035335131</v>
      </c>
      <c r="E544" s="303"/>
      <c r="F544" s="302">
        <v>0.56374618930515186</v>
      </c>
      <c r="G544" s="302">
        <v>2.4183041062190029</v>
      </c>
      <c r="H544" s="302">
        <f t="shared" si="203"/>
        <v>2.9820502955241546</v>
      </c>
      <c r="I544" s="303"/>
      <c r="J544" s="302">
        <v>0.48207449317376544</v>
      </c>
      <c r="K544" s="302">
        <v>2.3416311674626367</v>
      </c>
      <c r="L544" s="302">
        <f t="shared" si="204"/>
        <v>2.8237056606364019</v>
      </c>
      <c r="M544" s="236"/>
      <c r="N544" s="236"/>
    </row>
    <row r="545" spans="1:14" x14ac:dyDescent="0.3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  <c r="N545" s="236"/>
    </row>
    <row r="546" spans="1:14" x14ac:dyDescent="0.3">
      <c r="A546" s="244" t="s">
        <v>32</v>
      </c>
      <c r="B546" s="311">
        <f>SUM(B536:B544)</f>
        <v>12.950000000168465</v>
      </c>
      <c r="C546" s="311">
        <f t="shared" ref="C546:D546" si="205">SUM(C536:C544)</f>
        <v>60.098000000150108</v>
      </c>
      <c r="D546" s="311">
        <f t="shared" si="205"/>
        <v>73.048000000318581</v>
      </c>
      <c r="E546" s="311"/>
      <c r="F546" s="311">
        <f t="shared" ref="F546:H546" si="206">SUM(F536:F544)</f>
        <v>15.34299999981455</v>
      </c>
      <c r="G546" s="311">
        <f t="shared" si="206"/>
        <v>54.872000000316696</v>
      </c>
      <c r="H546" s="311">
        <f t="shared" si="206"/>
        <v>70.215000000131255</v>
      </c>
      <c r="I546" s="311"/>
      <c r="J546" s="311">
        <f t="shared" ref="J546:L546" si="207">SUM(J536:J544)</f>
        <v>17.470999999811561</v>
      </c>
      <c r="K546" s="311">
        <f t="shared" si="207"/>
        <v>63.499000000772938</v>
      </c>
      <c r="L546" s="311">
        <f t="shared" si="207"/>
        <v>80.970000000584491</v>
      </c>
      <c r="M546" s="236"/>
      <c r="N546" s="236"/>
    </row>
    <row r="547" spans="1:14" x14ac:dyDescent="0.3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  <c r="N547" s="236"/>
    </row>
    <row r="548" spans="1:14" x14ac:dyDescent="0.3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56" t="s">
        <v>35</v>
      </c>
      <c r="M548" s="236"/>
      <c r="N548" s="236"/>
    </row>
    <row r="549" spans="1:14" x14ac:dyDescent="0.3">
      <c r="A549" s="242"/>
      <c r="B549" s="250"/>
      <c r="C549" s="250"/>
      <c r="D549" s="250"/>
      <c r="E549" s="250"/>
      <c r="F549" s="250"/>
      <c r="G549" s="250"/>
      <c r="H549" s="250"/>
      <c r="I549" s="250"/>
      <c r="J549" s="250"/>
      <c r="K549" s="250"/>
      <c r="L549" s="236"/>
      <c r="M549" s="236"/>
      <c r="N549" s="236"/>
    </row>
    <row r="550" spans="1:14" x14ac:dyDescent="0.3">
      <c r="A550" s="241" t="str">
        <f>name!A35</f>
        <v>Wholesale trade</v>
      </c>
      <c r="B550" s="373">
        <f>B$6</f>
        <v>2015</v>
      </c>
      <c r="C550" s="373"/>
      <c r="D550" s="373"/>
      <c r="E550" s="253"/>
      <c r="F550" s="373">
        <f>F533</f>
        <v>2020</v>
      </c>
      <c r="G550" s="373"/>
      <c r="H550" s="373"/>
      <c r="I550" s="253"/>
      <c r="J550" s="373">
        <f>J533</f>
        <v>2035</v>
      </c>
      <c r="K550" s="373"/>
      <c r="L550" s="373"/>
      <c r="M550" s="236"/>
      <c r="N550" s="236"/>
    </row>
    <row r="551" spans="1:14" x14ac:dyDescent="0.3">
      <c r="A551" s="254"/>
      <c r="B551" s="255" t="s">
        <v>352</v>
      </c>
      <c r="C551" s="255" t="s">
        <v>353</v>
      </c>
      <c r="D551" s="255" t="s">
        <v>32</v>
      </c>
      <c r="E551" s="255"/>
      <c r="F551" s="255" t="s">
        <v>352</v>
      </c>
      <c r="G551" s="255" t="s">
        <v>353</v>
      </c>
      <c r="H551" s="255" t="s">
        <v>32</v>
      </c>
      <c r="I551" s="255"/>
      <c r="J551" s="255" t="s">
        <v>352</v>
      </c>
      <c r="K551" s="255" t="s">
        <v>353</v>
      </c>
      <c r="L551" s="255" t="s">
        <v>32</v>
      </c>
      <c r="M551" s="236"/>
      <c r="N551" s="236"/>
    </row>
    <row r="552" spans="1:14" x14ac:dyDescent="0.3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  <c r="N552" s="236"/>
    </row>
    <row r="553" spans="1:14" x14ac:dyDescent="0.3">
      <c r="A553" s="237" t="str">
        <f>name!E$4</f>
        <v>Managers, directors and senior officials</v>
      </c>
      <c r="B553" s="302">
        <v>3.7996674391435272</v>
      </c>
      <c r="C553" s="302">
        <v>18.575187505877143</v>
      </c>
      <c r="D553" s="302">
        <f>SUM(B553:C553)</f>
        <v>22.374854945020669</v>
      </c>
      <c r="E553" s="303"/>
      <c r="F553" s="302">
        <v>5.4711527844490302</v>
      </c>
      <c r="G553" s="302">
        <v>20.154847311804271</v>
      </c>
      <c r="H553" s="302">
        <f>SUM(F553:G553)</f>
        <v>25.6260000962533</v>
      </c>
      <c r="I553" s="303"/>
      <c r="J553" s="302">
        <v>7.6176459397880638</v>
      </c>
      <c r="K553" s="302">
        <v>20.013347156493232</v>
      </c>
      <c r="L553" s="302">
        <f>SUM(J553:K553)</f>
        <v>27.630993096281294</v>
      </c>
      <c r="M553" s="236"/>
      <c r="N553" s="236"/>
    </row>
    <row r="554" spans="1:14" x14ac:dyDescent="0.3">
      <c r="A554" s="237" t="str">
        <f>name!E$5</f>
        <v>Professional occupations</v>
      </c>
      <c r="B554" s="302">
        <v>2.9866883871334826</v>
      </c>
      <c r="C554" s="302">
        <v>9.8926543877250985</v>
      </c>
      <c r="D554" s="302">
        <f t="shared" ref="D554:D561" si="208">SUM(B554:C554)</f>
        <v>12.879342774858582</v>
      </c>
      <c r="E554" s="303"/>
      <c r="F554" s="302">
        <v>4.9814037511040761</v>
      </c>
      <c r="G554" s="302">
        <v>12.065176929756539</v>
      </c>
      <c r="H554" s="302">
        <f t="shared" ref="H554:H561" si="209">SUM(F554:G554)</f>
        <v>17.046580680860615</v>
      </c>
      <c r="I554" s="303"/>
      <c r="J554" s="302">
        <v>7.2693939186786327</v>
      </c>
      <c r="K554" s="302">
        <v>14.144150546824836</v>
      </c>
      <c r="L554" s="302">
        <f t="shared" ref="L554:L561" si="210">SUM(J554:K554)</f>
        <v>21.41354446550347</v>
      </c>
      <c r="M554" s="236"/>
      <c r="N554" s="236"/>
    </row>
    <row r="555" spans="1:14" x14ac:dyDescent="0.3">
      <c r="A555" s="237" t="str">
        <f>name!E$6</f>
        <v>Associate professional occupations</v>
      </c>
      <c r="B555" s="302">
        <v>5.1896335054431857</v>
      </c>
      <c r="C555" s="302">
        <v>11.029090210504268</v>
      </c>
      <c r="D555" s="302">
        <f t="shared" si="208"/>
        <v>16.218723715947455</v>
      </c>
      <c r="E555" s="303"/>
      <c r="F555" s="302">
        <v>6.9441047285961668</v>
      </c>
      <c r="G555" s="302">
        <v>12.040143551019883</v>
      </c>
      <c r="H555" s="302">
        <f t="shared" si="209"/>
        <v>18.98424827961605</v>
      </c>
      <c r="I555" s="303"/>
      <c r="J555" s="302">
        <v>8.1546229179630938</v>
      </c>
      <c r="K555" s="302">
        <v>11.592900442383469</v>
      </c>
      <c r="L555" s="302">
        <f t="shared" si="210"/>
        <v>19.747523360346563</v>
      </c>
      <c r="M555" s="236"/>
      <c r="N555" s="236"/>
    </row>
    <row r="556" spans="1:14" x14ac:dyDescent="0.3">
      <c r="A556" s="237" t="str">
        <f>name!E$7</f>
        <v>Administrative and secretarial occupations</v>
      </c>
      <c r="B556" s="302">
        <v>11.312607314851913</v>
      </c>
      <c r="C556" s="302">
        <v>5.7672094302560204</v>
      </c>
      <c r="D556" s="302">
        <f t="shared" si="208"/>
        <v>17.079816745107934</v>
      </c>
      <c r="E556" s="303"/>
      <c r="F556" s="302">
        <v>12.56864422153172</v>
      </c>
      <c r="G556" s="302">
        <v>6.313434067016197</v>
      </c>
      <c r="H556" s="302">
        <f t="shared" si="209"/>
        <v>18.882078288547916</v>
      </c>
      <c r="I556" s="303"/>
      <c r="J556" s="302">
        <v>10.587095328358341</v>
      </c>
      <c r="K556" s="302">
        <v>6.576195246162083</v>
      </c>
      <c r="L556" s="302">
        <f t="shared" si="210"/>
        <v>17.163290574520424</v>
      </c>
      <c r="M556" s="236"/>
      <c r="N556" s="236"/>
    </row>
    <row r="557" spans="1:14" x14ac:dyDescent="0.3">
      <c r="A557" s="237" t="str">
        <f>name!E$8</f>
        <v>Skilled trades occupations</v>
      </c>
      <c r="B557" s="302">
        <v>0.62507961784380817</v>
      </c>
      <c r="C557" s="302">
        <v>7.2190211983127535</v>
      </c>
      <c r="D557" s="302">
        <f t="shared" si="208"/>
        <v>7.844100816156562</v>
      </c>
      <c r="E557" s="303"/>
      <c r="F557" s="302">
        <v>0.64478302235132856</v>
      </c>
      <c r="G557" s="302">
        <v>5.4496269543339606</v>
      </c>
      <c r="H557" s="302">
        <f t="shared" si="209"/>
        <v>6.0944099766852888</v>
      </c>
      <c r="I557" s="303"/>
      <c r="J557" s="302">
        <v>1.0147727942220206</v>
      </c>
      <c r="K557" s="302">
        <v>5.0764918367351726</v>
      </c>
      <c r="L557" s="302">
        <f t="shared" si="210"/>
        <v>6.0912646309571929</v>
      </c>
      <c r="M557" s="236"/>
      <c r="N557" s="236"/>
    </row>
    <row r="558" spans="1:14" x14ac:dyDescent="0.3">
      <c r="A558" s="237" t="str">
        <f>name!E$9</f>
        <v>Caring, leisure and other service occupations</v>
      </c>
      <c r="B558" s="302">
        <v>0.34592595179889224</v>
      </c>
      <c r="C558" s="302">
        <v>0.20254195538402572</v>
      </c>
      <c r="D558" s="302">
        <f t="shared" si="208"/>
        <v>0.54846790718291794</v>
      </c>
      <c r="E558" s="303"/>
      <c r="F558" s="302">
        <v>0.36828967602266288</v>
      </c>
      <c r="G558" s="302">
        <v>0.21046608592958729</v>
      </c>
      <c r="H558" s="302">
        <f t="shared" si="209"/>
        <v>0.5787557619522502</v>
      </c>
      <c r="I558" s="303"/>
      <c r="J558" s="302">
        <v>0.46598090700579226</v>
      </c>
      <c r="K558" s="302">
        <v>0.21827419396404454</v>
      </c>
      <c r="L558" s="302">
        <f t="shared" si="210"/>
        <v>0.68425510096983677</v>
      </c>
      <c r="M558" s="236"/>
      <c r="N558" s="236"/>
    </row>
    <row r="559" spans="1:14" x14ac:dyDescent="0.3">
      <c r="A559" s="237" t="str">
        <f>name!E$10</f>
        <v>Sales and customer service occupations</v>
      </c>
      <c r="B559" s="302">
        <v>4.4075140719925399</v>
      </c>
      <c r="C559" s="302">
        <v>7.5165090289723793</v>
      </c>
      <c r="D559" s="302">
        <f t="shared" si="208"/>
        <v>11.92402310096492</v>
      </c>
      <c r="E559" s="303"/>
      <c r="F559" s="302">
        <v>4.5531194791934775</v>
      </c>
      <c r="G559" s="302">
        <v>6.8654772882217943</v>
      </c>
      <c r="H559" s="302">
        <f t="shared" si="209"/>
        <v>11.418596767415272</v>
      </c>
      <c r="I559" s="303"/>
      <c r="J559" s="302">
        <v>4.5844304833042271</v>
      </c>
      <c r="K559" s="302">
        <v>6.7660282655165291</v>
      </c>
      <c r="L559" s="302">
        <f t="shared" si="210"/>
        <v>11.350458748820756</v>
      </c>
      <c r="M559" s="236"/>
      <c r="N559" s="236"/>
    </row>
    <row r="560" spans="1:14" x14ac:dyDescent="0.3">
      <c r="A560" s="237" t="str">
        <f>name!E$11</f>
        <v>Process, plant and machine operatives</v>
      </c>
      <c r="B560" s="302">
        <v>4.0695205633170337</v>
      </c>
      <c r="C560" s="302">
        <v>14.223640094573122</v>
      </c>
      <c r="D560" s="302">
        <f t="shared" si="208"/>
        <v>18.293160657890155</v>
      </c>
      <c r="E560" s="303"/>
      <c r="F560" s="302">
        <v>3.6534879188976355</v>
      </c>
      <c r="G560" s="302">
        <v>11.419011907310999</v>
      </c>
      <c r="H560" s="302">
        <f t="shared" si="209"/>
        <v>15.072499826208634</v>
      </c>
      <c r="I560" s="303"/>
      <c r="J560" s="302">
        <v>4.3530086686419489</v>
      </c>
      <c r="K560" s="302">
        <v>11.900922641657324</v>
      </c>
      <c r="L560" s="302">
        <f t="shared" si="210"/>
        <v>16.253931310299272</v>
      </c>
      <c r="M560" s="236"/>
      <c r="N560" s="236"/>
    </row>
    <row r="561" spans="1:14" x14ac:dyDescent="0.3">
      <c r="A561" s="237" t="str">
        <f>name!E$12</f>
        <v>Elementary occupations</v>
      </c>
      <c r="B561" s="302">
        <v>4.3603631488114747</v>
      </c>
      <c r="C561" s="302">
        <v>10.004146188670424</v>
      </c>
      <c r="D561" s="302">
        <f t="shared" si="208"/>
        <v>14.364509337481898</v>
      </c>
      <c r="E561" s="303"/>
      <c r="F561" s="302">
        <v>3.8090144169627513</v>
      </c>
      <c r="G561" s="302">
        <v>7.6318159051141397</v>
      </c>
      <c r="H561" s="302">
        <f t="shared" si="209"/>
        <v>11.440830322076891</v>
      </c>
      <c r="I561" s="303"/>
      <c r="J561" s="302">
        <v>3.963049041409481</v>
      </c>
      <c r="K561" s="302">
        <v>4.7976896711438108</v>
      </c>
      <c r="L561" s="302">
        <f t="shared" si="210"/>
        <v>8.760738712553291</v>
      </c>
      <c r="M561" s="236"/>
      <c r="N561" s="236"/>
    </row>
    <row r="562" spans="1:14" x14ac:dyDescent="0.3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  <c r="N562" s="236"/>
    </row>
    <row r="563" spans="1:14" x14ac:dyDescent="0.3">
      <c r="A563" s="244" t="s">
        <v>32</v>
      </c>
      <c r="B563" s="311">
        <f>SUM(B553:B561)</f>
        <v>37.097000000335861</v>
      </c>
      <c r="C563" s="311">
        <f t="shared" ref="C563:D563" si="211">SUM(C553:C561)</f>
        <v>84.430000000275228</v>
      </c>
      <c r="D563" s="311">
        <f t="shared" si="211"/>
        <v>121.52700000061111</v>
      </c>
      <c r="E563" s="311"/>
      <c r="F563" s="311">
        <f t="shared" ref="F563:H563" si="212">SUM(F553:F561)</f>
        <v>42.993999999108851</v>
      </c>
      <c r="G563" s="311">
        <f t="shared" si="212"/>
        <v>82.150000000507362</v>
      </c>
      <c r="H563" s="311">
        <f t="shared" si="212"/>
        <v>125.1439999996162</v>
      </c>
      <c r="I563" s="311"/>
      <c r="J563" s="311">
        <f t="shared" ref="J563:L563" si="213">SUM(J553:J561)</f>
        <v>48.009999999371601</v>
      </c>
      <c r="K563" s="311">
        <f t="shared" si="213"/>
        <v>81.086000000880517</v>
      </c>
      <c r="L563" s="311">
        <f t="shared" si="213"/>
        <v>129.0960000002521</v>
      </c>
      <c r="M563" s="236"/>
      <c r="N563" s="236"/>
    </row>
    <row r="564" spans="1:14" x14ac:dyDescent="0.3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  <c r="N564" s="236"/>
    </row>
    <row r="565" spans="1:14" x14ac:dyDescent="0.3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56" t="s">
        <v>35</v>
      </c>
      <c r="M565" s="236"/>
      <c r="N565" s="236"/>
    </row>
    <row r="566" spans="1:14" x14ac:dyDescent="0.3">
      <c r="A566" s="242"/>
      <c r="B566" s="250"/>
      <c r="C566" s="250"/>
      <c r="D566" s="250"/>
      <c r="E566" s="250"/>
      <c r="F566" s="250"/>
      <c r="G566" s="250"/>
      <c r="H566" s="250"/>
      <c r="I566" s="250"/>
      <c r="J566" s="250"/>
      <c r="K566" s="250"/>
      <c r="L566" s="236"/>
      <c r="M566" s="236"/>
      <c r="N566" s="236"/>
    </row>
    <row r="567" spans="1:14" x14ac:dyDescent="0.3">
      <c r="A567" s="241" t="str">
        <f>name!A36</f>
        <v>Retail trade</v>
      </c>
      <c r="B567" s="373">
        <f>B$6</f>
        <v>2015</v>
      </c>
      <c r="C567" s="373"/>
      <c r="D567" s="373"/>
      <c r="E567" s="253"/>
      <c r="F567" s="373">
        <f>F550</f>
        <v>2020</v>
      </c>
      <c r="G567" s="373"/>
      <c r="H567" s="373"/>
      <c r="I567" s="253"/>
      <c r="J567" s="373">
        <f>J550</f>
        <v>2035</v>
      </c>
      <c r="K567" s="373"/>
      <c r="L567" s="373"/>
      <c r="M567" s="236"/>
      <c r="N567" s="236"/>
    </row>
    <row r="568" spans="1:14" x14ac:dyDescent="0.3">
      <c r="A568" s="254"/>
      <c r="B568" s="255" t="s">
        <v>352</v>
      </c>
      <c r="C568" s="255" t="s">
        <v>353</v>
      </c>
      <c r="D568" s="255" t="s">
        <v>32</v>
      </c>
      <c r="E568" s="255"/>
      <c r="F568" s="255" t="s">
        <v>352</v>
      </c>
      <c r="G568" s="255" t="s">
        <v>353</v>
      </c>
      <c r="H568" s="255" t="s">
        <v>32</v>
      </c>
      <c r="I568" s="255"/>
      <c r="J568" s="255" t="s">
        <v>352</v>
      </c>
      <c r="K568" s="255" t="s">
        <v>353</v>
      </c>
      <c r="L568" s="255" t="s">
        <v>32</v>
      </c>
      <c r="M568" s="236"/>
      <c r="N568" s="236"/>
    </row>
    <row r="569" spans="1:14" x14ac:dyDescent="0.3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  <c r="N569" s="236"/>
    </row>
    <row r="570" spans="1:14" x14ac:dyDescent="0.3">
      <c r="A570" s="237" t="str">
        <f>name!E$4</f>
        <v>Managers, directors and senior officials</v>
      </c>
      <c r="B570" s="302">
        <v>13.226742105718156</v>
      </c>
      <c r="C570" s="302">
        <v>20.087406246858318</v>
      </c>
      <c r="D570" s="302">
        <f>SUM(B570:C570)</f>
        <v>33.314148352576474</v>
      </c>
      <c r="E570" s="303"/>
      <c r="F570" s="302">
        <v>16.058398576489299</v>
      </c>
      <c r="G570" s="302">
        <v>18.473571056871478</v>
      </c>
      <c r="H570" s="302">
        <f>SUM(F570:G570)</f>
        <v>34.531969633360774</v>
      </c>
      <c r="I570" s="303"/>
      <c r="J570" s="302">
        <v>20.367771799920892</v>
      </c>
      <c r="K570" s="302">
        <v>21.710105457508739</v>
      </c>
      <c r="L570" s="302">
        <f>SUM(J570:K570)</f>
        <v>42.077877257429634</v>
      </c>
      <c r="M570" s="236"/>
      <c r="N570" s="236"/>
    </row>
    <row r="571" spans="1:14" x14ac:dyDescent="0.3">
      <c r="A571" s="237" t="str">
        <f>name!E$5</f>
        <v>Professional occupations</v>
      </c>
      <c r="B571" s="302">
        <v>11.432700527731107</v>
      </c>
      <c r="C571" s="302">
        <v>11.148296827103161</v>
      </c>
      <c r="D571" s="302">
        <f t="shared" ref="D571:D578" si="214">SUM(B571:C571)</f>
        <v>22.580997354834267</v>
      </c>
      <c r="E571" s="303"/>
      <c r="F571" s="302">
        <v>14.401576869496235</v>
      </c>
      <c r="G571" s="302">
        <v>12.192771463399669</v>
      </c>
      <c r="H571" s="302">
        <f t="shared" ref="H571:H578" si="215">SUM(F571:G571)</f>
        <v>26.594348332895905</v>
      </c>
      <c r="I571" s="303"/>
      <c r="J571" s="302">
        <v>18.016158107564618</v>
      </c>
      <c r="K571" s="302">
        <v>16.212642002630837</v>
      </c>
      <c r="L571" s="302">
        <f t="shared" ref="L571:L578" si="216">SUM(J571:K571)</f>
        <v>34.228800110195451</v>
      </c>
      <c r="M571" s="236"/>
      <c r="N571" s="236"/>
    </row>
    <row r="572" spans="1:14" x14ac:dyDescent="0.3">
      <c r="A572" s="237" t="str">
        <f>name!E$6</f>
        <v>Associate professional occupations</v>
      </c>
      <c r="B572" s="302">
        <v>11.462403621053127</v>
      </c>
      <c r="C572" s="302">
        <v>8.3431749817021021</v>
      </c>
      <c r="D572" s="302">
        <f t="shared" si="214"/>
        <v>19.805578602755229</v>
      </c>
      <c r="E572" s="303"/>
      <c r="F572" s="302">
        <v>12.721413604850877</v>
      </c>
      <c r="G572" s="302">
        <v>8.5218527283169472</v>
      </c>
      <c r="H572" s="302">
        <f t="shared" si="215"/>
        <v>21.243266333167824</v>
      </c>
      <c r="I572" s="303"/>
      <c r="J572" s="302">
        <v>14.182867709783372</v>
      </c>
      <c r="K572" s="302">
        <v>8.9464776403331605</v>
      </c>
      <c r="L572" s="302">
        <f t="shared" si="216"/>
        <v>23.12934535011653</v>
      </c>
      <c r="M572" s="236"/>
      <c r="N572" s="236"/>
    </row>
    <row r="573" spans="1:14" x14ac:dyDescent="0.3">
      <c r="A573" s="237" t="str">
        <f>name!E$7</f>
        <v>Administrative and secretarial occupations</v>
      </c>
      <c r="B573" s="302">
        <v>13.901189496468627</v>
      </c>
      <c r="C573" s="302">
        <v>5.3759468541584292</v>
      </c>
      <c r="D573" s="302">
        <f t="shared" si="214"/>
        <v>19.277136350627057</v>
      </c>
      <c r="E573" s="303"/>
      <c r="F573" s="302">
        <v>13.387811188277816</v>
      </c>
      <c r="G573" s="302">
        <v>5.6853824573238789</v>
      </c>
      <c r="H573" s="302">
        <f t="shared" si="215"/>
        <v>19.073193645601695</v>
      </c>
      <c r="I573" s="303"/>
      <c r="J573" s="302">
        <v>12.162788547462997</v>
      </c>
      <c r="K573" s="302">
        <v>6.7127795577742502</v>
      </c>
      <c r="L573" s="302">
        <f t="shared" si="216"/>
        <v>18.875568105237246</v>
      </c>
      <c r="M573" s="236"/>
      <c r="N573" s="236"/>
    </row>
    <row r="574" spans="1:14" x14ac:dyDescent="0.3">
      <c r="A574" s="237" t="str">
        <f>name!E$8</f>
        <v>Skilled trades occupations</v>
      </c>
      <c r="B574" s="302">
        <v>5.5720466284054648</v>
      </c>
      <c r="C574" s="302">
        <v>9.3235883212250581</v>
      </c>
      <c r="D574" s="302">
        <f t="shared" si="214"/>
        <v>14.895634949630523</v>
      </c>
      <c r="E574" s="303"/>
      <c r="F574" s="302">
        <v>4.7638837804449503</v>
      </c>
      <c r="G574" s="302">
        <v>5.9615944513324655</v>
      </c>
      <c r="H574" s="302">
        <f t="shared" si="215"/>
        <v>10.725478231777416</v>
      </c>
      <c r="I574" s="303"/>
      <c r="J574" s="302">
        <v>5.5507271190734659</v>
      </c>
      <c r="K574" s="302">
        <v>6.2771774314217197</v>
      </c>
      <c r="L574" s="302">
        <f t="shared" si="216"/>
        <v>11.827904550495186</v>
      </c>
      <c r="M574" s="236"/>
      <c r="N574" s="236"/>
    </row>
    <row r="575" spans="1:14" x14ac:dyDescent="0.3">
      <c r="A575" s="237" t="str">
        <f>name!E$9</f>
        <v>Caring, leisure and other service occupations</v>
      </c>
      <c r="B575" s="302">
        <v>1.5437109281324903</v>
      </c>
      <c r="C575" s="302">
        <v>0.60610861893168655</v>
      </c>
      <c r="D575" s="302">
        <f t="shared" si="214"/>
        <v>2.149819547064177</v>
      </c>
      <c r="E575" s="303"/>
      <c r="F575" s="302">
        <v>1.3189130397212283</v>
      </c>
      <c r="G575" s="302">
        <v>0.57551031317607748</v>
      </c>
      <c r="H575" s="302">
        <f t="shared" si="215"/>
        <v>1.8944233528973058</v>
      </c>
      <c r="I575" s="303"/>
      <c r="J575" s="302">
        <v>1.467346531255497</v>
      </c>
      <c r="K575" s="302">
        <v>0.73038098644530447</v>
      </c>
      <c r="L575" s="302">
        <f t="shared" si="216"/>
        <v>2.1977275177008013</v>
      </c>
      <c r="M575" s="236"/>
      <c r="N575" s="236"/>
    </row>
    <row r="576" spans="1:14" x14ac:dyDescent="0.3">
      <c r="A576" s="237" t="str">
        <f>name!E$10</f>
        <v>Sales and customer service occupations</v>
      </c>
      <c r="B576" s="302">
        <v>93.924418824176328</v>
      </c>
      <c r="C576" s="302">
        <v>50.286510819222094</v>
      </c>
      <c r="D576" s="302">
        <f t="shared" si="214"/>
        <v>144.21092964339843</v>
      </c>
      <c r="E576" s="303"/>
      <c r="F576" s="302">
        <v>80.654634525506054</v>
      </c>
      <c r="G576" s="302">
        <v>44.742286323463823</v>
      </c>
      <c r="H576" s="302">
        <f t="shared" si="215"/>
        <v>125.39692084896987</v>
      </c>
      <c r="I576" s="303"/>
      <c r="J576" s="302">
        <v>66.376197378372524</v>
      </c>
      <c r="K576" s="302">
        <v>42.041617734216388</v>
      </c>
      <c r="L576" s="302">
        <f t="shared" si="216"/>
        <v>108.41781511258891</v>
      </c>
      <c r="M576" s="236"/>
      <c r="N576" s="236"/>
    </row>
    <row r="577" spans="1:14" x14ac:dyDescent="0.3">
      <c r="A577" s="237" t="str">
        <f>name!E$11</f>
        <v>Process, plant and machine operatives</v>
      </c>
      <c r="B577" s="302">
        <v>3.7253791799955858</v>
      </c>
      <c r="C577" s="302">
        <v>8.8756273271062494</v>
      </c>
      <c r="D577" s="302">
        <f t="shared" si="214"/>
        <v>12.601006507101836</v>
      </c>
      <c r="E577" s="303"/>
      <c r="F577" s="302">
        <v>3.3647584106258863</v>
      </c>
      <c r="G577" s="302">
        <v>6.9774136000900002</v>
      </c>
      <c r="H577" s="302">
        <f t="shared" si="215"/>
        <v>10.342172010715887</v>
      </c>
      <c r="I577" s="303"/>
      <c r="J577" s="302">
        <v>5.9064339107453918</v>
      </c>
      <c r="K577" s="302">
        <v>8.0032602689844303</v>
      </c>
      <c r="L577" s="302">
        <f t="shared" si="216"/>
        <v>13.909694179729822</v>
      </c>
      <c r="M577" s="236"/>
      <c r="N577" s="236"/>
    </row>
    <row r="578" spans="1:14" x14ac:dyDescent="0.3">
      <c r="A578" s="237" t="str">
        <f>name!E$12</f>
        <v>Elementary occupations</v>
      </c>
      <c r="B578" s="302">
        <v>18.852408694923536</v>
      </c>
      <c r="C578" s="302">
        <v>16.181340004772416</v>
      </c>
      <c r="D578" s="302">
        <f t="shared" si="214"/>
        <v>35.033748699695948</v>
      </c>
      <c r="E578" s="303"/>
      <c r="F578" s="302">
        <v>14.677610004977563</v>
      </c>
      <c r="G578" s="302">
        <v>12.064617606541804</v>
      </c>
      <c r="H578" s="302">
        <f t="shared" si="215"/>
        <v>26.742227611519368</v>
      </c>
      <c r="I578" s="303"/>
      <c r="J578" s="302">
        <v>12.005708893568796</v>
      </c>
      <c r="K578" s="302">
        <v>10.396558921828523</v>
      </c>
      <c r="L578" s="302">
        <f t="shared" si="216"/>
        <v>22.40226781539732</v>
      </c>
      <c r="M578" s="236"/>
      <c r="N578" s="236"/>
    </row>
    <row r="579" spans="1:14" x14ac:dyDescent="0.3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  <c r="N579" s="236"/>
    </row>
    <row r="580" spans="1:14" x14ac:dyDescent="0.3">
      <c r="A580" s="244" t="s">
        <v>32</v>
      </c>
      <c r="B580" s="311">
        <f>SUM(B570:B578)</f>
        <v>173.64100000660443</v>
      </c>
      <c r="C580" s="311">
        <f t="shared" ref="C580:D580" si="217">SUM(C570:C578)</f>
        <v>130.22800000107952</v>
      </c>
      <c r="D580" s="311">
        <f t="shared" si="217"/>
        <v>303.86900000768389</v>
      </c>
      <c r="E580" s="311"/>
      <c r="F580" s="311">
        <f t="shared" ref="F580:H580" si="218">SUM(F570:F578)</f>
        <v>161.34900000038991</v>
      </c>
      <c r="G580" s="311">
        <f t="shared" si="218"/>
        <v>115.19500000051613</v>
      </c>
      <c r="H580" s="311">
        <f t="shared" si="218"/>
        <v>276.54400000090607</v>
      </c>
      <c r="I580" s="311"/>
      <c r="J580" s="311">
        <f t="shared" ref="J580:L580" si="219">SUM(J570:J578)</f>
        <v>156.03599999774755</v>
      </c>
      <c r="K580" s="311">
        <f t="shared" si="219"/>
        <v>121.03100000114335</v>
      </c>
      <c r="L580" s="311">
        <f t="shared" si="219"/>
        <v>277.06699999889094</v>
      </c>
      <c r="M580" s="236"/>
      <c r="N580" s="236"/>
    </row>
    <row r="581" spans="1:14" x14ac:dyDescent="0.3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  <c r="N581" s="236"/>
    </row>
    <row r="582" spans="1:14" x14ac:dyDescent="0.3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56" t="s">
        <v>35</v>
      </c>
      <c r="M582" s="236"/>
      <c r="N582" s="236"/>
    </row>
    <row r="583" spans="1:14" x14ac:dyDescent="0.3">
      <c r="A583" s="242"/>
      <c r="B583" s="250"/>
      <c r="C583" s="250"/>
      <c r="D583" s="250"/>
      <c r="E583" s="250"/>
      <c r="F583" s="250"/>
      <c r="G583" s="250"/>
      <c r="H583" s="250"/>
      <c r="I583" s="250"/>
      <c r="J583" s="250"/>
      <c r="K583" s="250"/>
      <c r="L583" s="236"/>
      <c r="M583" s="236"/>
      <c r="N583" s="236"/>
    </row>
    <row r="584" spans="1:14" x14ac:dyDescent="0.3">
      <c r="A584" s="241" t="str">
        <f>name!A37</f>
        <v>Land transport, etc</v>
      </c>
      <c r="B584" s="373">
        <f>B$6</f>
        <v>2015</v>
      </c>
      <c r="C584" s="373"/>
      <c r="D584" s="373"/>
      <c r="E584" s="253"/>
      <c r="F584" s="373">
        <f>F567</f>
        <v>2020</v>
      </c>
      <c r="G584" s="373"/>
      <c r="H584" s="373"/>
      <c r="I584" s="253"/>
      <c r="J584" s="373">
        <f>J567</f>
        <v>2035</v>
      </c>
      <c r="K584" s="373"/>
      <c r="L584" s="373"/>
      <c r="M584" s="236"/>
      <c r="N584" s="236"/>
    </row>
    <row r="585" spans="1:14" x14ac:dyDescent="0.3">
      <c r="A585" s="254"/>
      <c r="B585" s="255" t="s">
        <v>352</v>
      </c>
      <c r="C585" s="255" t="s">
        <v>353</v>
      </c>
      <c r="D585" s="255" t="s">
        <v>32</v>
      </c>
      <c r="E585" s="255"/>
      <c r="F585" s="255" t="s">
        <v>352</v>
      </c>
      <c r="G585" s="255" t="s">
        <v>353</v>
      </c>
      <c r="H585" s="255" t="s">
        <v>32</v>
      </c>
      <c r="I585" s="255"/>
      <c r="J585" s="255" t="s">
        <v>352</v>
      </c>
      <c r="K585" s="255" t="s">
        <v>353</v>
      </c>
      <c r="L585" s="255" t="s">
        <v>32</v>
      </c>
      <c r="M585" s="236"/>
      <c r="N585" s="236"/>
    </row>
    <row r="586" spans="1:14" x14ac:dyDescent="0.3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  <c r="N586" s="236"/>
    </row>
    <row r="587" spans="1:14" x14ac:dyDescent="0.3">
      <c r="A587" s="237" t="str">
        <f>name!E$4</f>
        <v>Managers, directors and senior officials</v>
      </c>
      <c r="B587" s="302">
        <v>0.52135487562460892</v>
      </c>
      <c r="C587" s="302">
        <v>3.2227969929048941</v>
      </c>
      <c r="D587" s="302">
        <f>SUM(B587:C587)</f>
        <v>3.744151868529503</v>
      </c>
      <c r="E587" s="303"/>
      <c r="F587" s="302">
        <v>1.4009634763103294</v>
      </c>
      <c r="G587" s="302">
        <v>4.100945894017106</v>
      </c>
      <c r="H587" s="302">
        <f>SUM(F587:G587)</f>
        <v>5.5019093703274358</v>
      </c>
      <c r="I587" s="303"/>
      <c r="J587" s="302">
        <v>1.8047936100899571</v>
      </c>
      <c r="K587" s="302">
        <v>4.8484873036739646</v>
      </c>
      <c r="L587" s="302">
        <f>SUM(J587:K587)</f>
        <v>6.6532809137639219</v>
      </c>
      <c r="M587" s="236"/>
      <c r="N587" s="236"/>
    </row>
    <row r="588" spans="1:14" x14ac:dyDescent="0.3">
      <c r="A588" s="237" t="str">
        <f>name!E$5</f>
        <v>Professional occupations</v>
      </c>
      <c r="B588" s="302">
        <v>0.72595829410112056</v>
      </c>
      <c r="C588" s="302">
        <v>2.0978483479929517</v>
      </c>
      <c r="D588" s="302">
        <f t="shared" ref="D588:D595" si="220">SUM(B588:C588)</f>
        <v>2.8238066420940724</v>
      </c>
      <c r="E588" s="303"/>
      <c r="F588" s="302">
        <v>1.6272737177929044</v>
      </c>
      <c r="G588" s="302">
        <v>3.0170665481360155</v>
      </c>
      <c r="H588" s="302">
        <f t="shared" ref="H588:H595" si="221">SUM(F588:G588)</f>
        <v>4.6443402659289195</v>
      </c>
      <c r="I588" s="303"/>
      <c r="J588" s="302">
        <v>2.5511742711412491</v>
      </c>
      <c r="K588" s="302">
        <v>3.9814142554425205</v>
      </c>
      <c r="L588" s="302">
        <f t="shared" ref="L588:L595" si="222">SUM(J588:K588)</f>
        <v>6.5325885265837691</v>
      </c>
      <c r="M588" s="236"/>
      <c r="N588" s="236"/>
    </row>
    <row r="589" spans="1:14" x14ac:dyDescent="0.3">
      <c r="A589" s="237" t="str">
        <f>name!E$6</f>
        <v>Associate professional occupations</v>
      </c>
      <c r="B589" s="302">
        <v>0.69135382160162739</v>
      </c>
      <c r="C589" s="302">
        <v>2.0232785857583306</v>
      </c>
      <c r="D589" s="302">
        <f t="shared" si="220"/>
        <v>2.7146324073599581</v>
      </c>
      <c r="E589" s="303"/>
      <c r="F589" s="302">
        <v>1.2490016744591013</v>
      </c>
      <c r="G589" s="302">
        <v>2.8103099452793034</v>
      </c>
      <c r="H589" s="302">
        <f t="shared" si="221"/>
        <v>4.0593116197384047</v>
      </c>
      <c r="I589" s="303"/>
      <c r="J589" s="302">
        <v>1.4897119893742965</v>
      </c>
      <c r="K589" s="302">
        <v>3.0208364096024578</v>
      </c>
      <c r="L589" s="302">
        <f t="shared" si="222"/>
        <v>4.5105483989767539</v>
      </c>
      <c r="M589" s="236"/>
      <c r="N589" s="236"/>
    </row>
    <row r="590" spans="1:14" x14ac:dyDescent="0.3">
      <c r="A590" s="237" t="str">
        <f>name!E$7</f>
        <v>Administrative and secretarial occupations</v>
      </c>
      <c r="B590" s="302">
        <v>2.3340764625138202</v>
      </c>
      <c r="C590" s="302">
        <v>2.3312900327383925</v>
      </c>
      <c r="D590" s="302">
        <f t="shared" si="220"/>
        <v>4.6653664952522131</v>
      </c>
      <c r="E590" s="303"/>
      <c r="F590" s="302">
        <v>3.2489678799879886</v>
      </c>
      <c r="G590" s="302">
        <v>3.0588912344101367</v>
      </c>
      <c r="H590" s="302">
        <f t="shared" si="221"/>
        <v>6.3078591143981253</v>
      </c>
      <c r="I590" s="303"/>
      <c r="J590" s="302">
        <v>2.2671807591459667</v>
      </c>
      <c r="K590" s="302">
        <v>3.3280025883731801</v>
      </c>
      <c r="L590" s="302">
        <f t="shared" si="222"/>
        <v>5.5951833475191464</v>
      </c>
      <c r="M590" s="236"/>
      <c r="N590" s="236"/>
    </row>
    <row r="591" spans="1:14" x14ac:dyDescent="0.3">
      <c r="A591" s="237" t="str">
        <f>name!E$8</f>
        <v>Skilled trades occupations</v>
      </c>
      <c r="B591" s="302">
        <v>0.14139858158327587</v>
      </c>
      <c r="C591" s="302">
        <v>5.1111518231319035</v>
      </c>
      <c r="D591" s="302">
        <f t="shared" si="220"/>
        <v>5.252550404715179</v>
      </c>
      <c r="E591" s="303"/>
      <c r="F591" s="302">
        <v>0.24438338956082883</v>
      </c>
      <c r="G591" s="302">
        <v>4.4936772631942379</v>
      </c>
      <c r="H591" s="302">
        <f t="shared" si="221"/>
        <v>4.7380606527550668</v>
      </c>
      <c r="I591" s="303"/>
      <c r="J591" s="302">
        <v>0.49351599088361686</v>
      </c>
      <c r="K591" s="302">
        <v>4.132532702690888</v>
      </c>
      <c r="L591" s="302">
        <f t="shared" si="222"/>
        <v>4.6260486935745053</v>
      </c>
      <c r="M591" s="236"/>
      <c r="N591" s="236"/>
    </row>
    <row r="592" spans="1:14" x14ac:dyDescent="0.3">
      <c r="A592" s="237" t="str">
        <f>name!E$9</f>
        <v>Caring, leisure and other service occupations</v>
      </c>
      <c r="B592" s="302">
        <v>1.058310065990391</v>
      </c>
      <c r="C592" s="302">
        <v>0.81032605803541158</v>
      </c>
      <c r="D592" s="302">
        <f t="shared" si="220"/>
        <v>1.8686361240258025</v>
      </c>
      <c r="E592" s="303"/>
      <c r="F592" s="302">
        <v>1.4689893473220093</v>
      </c>
      <c r="G592" s="302">
        <v>1.0499467040922761</v>
      </c>
      <c r="H592" s="302">
        <f t="shared" si="221"/>
        <v>2.5189360514142853</v>
      </c>
      <c r="I592" s="303"/>
      <c r="J592" s="302">
        <v>1.4549900698289147</v>
      </c>
      <c r="K592" s="302">
        <v>1.3971538623525626</v>
      </c>
      <c r="L592" s="302">
        <f t="shared" si="222"/>
        <v>2.8521439321814772</v>
      </c>
      <c r="M592" s="236"/>
      <c r="N592" s="236"/>
    </row>
    <row r="593" spans="1:14" x14ac:dyDescent="0.3">
      <c r="A593" s="237" t="str">
        <f>name!E$10</f>
        <v>Sales and customer service occupations</v>
      </c>
      <c r="B593" s="302">
        <v>0.39493663503609061</v>
      </c>
      <c r="C593" s="302">
        <v>0.57466299383344288</v>
      </c>
      <c r="D593" s="302">
        <f t="shared" si="220"/>
        <v>0.96959962886953344</v>
      </c>
      <c r="E593" s="303"/>
      <c r="F593" s="302">
        <v>0.62907580402906427</v>
      </c>
      <c r="G593" s="302">
        <v>0.70954905315453998</v>
      </c>
      <c r="H593" s="302">
        <f t="shared" si="221"/>
        <v>1.3386248571836044</v>
      </c>
      <c r="I593" s="303"/>
      <c r="J593" s="302">
        <v>0.75770514875191253</v>
      </c>
      <c r="K593" s="302">
        <v>1.1407944963310448</v>
      </c>
      <c r="L593" s="302">
        <f t="shared" si="222"/>
        <v>1.8984996450829574</v>
      </c>
      <c r="M593" s="236"/>
      <c r="N593" s="236"/>
    </row>
    <row r="594" spans="1:14" x14ac:dyDescent="0.3">
      <c r="A594" s="237" t="str">
        <f>name!E$11</f>
        <v>Process, plant and machine operatives</v>
      </c>
      <c r="B594" s="302">
        <v>2.5930029582351874</v>
      </c>
      <c r="C594" s="302">
        <v>36.274770355730915</v>
      </c>
      <c r="D594" s="302">
        <f t="shared" si="220"/>
        <v>38.867773313966104</v>
      </c>
      <c r="E594" s="303"/>
      <c r="F594" s="302">
        <v>3.8632439348441867</v>
      </c>
      <c r="G594" s="302">
        <v>41.435556837692403</v>
      </c>
      <c r="H594" s="302">
        <f t="shared" si="221"/>
        <v>45.298800772536588</v>
      </c>
      <c r="I594" s="303"/>
      <c r="J594" s="302">
        <v>5.84016425943671</v>
      </c>
      <c r="K594" s="302">
        <v>47.290418554352705</v>
      </c>
      <c r="L594" s="302">
        <f t="shared" si="222"/>
        <v>53.130582813789417</v>
      </c>
      <c r="M594" s="236"/>
      <c r="N594" s="236"/>
    </row>
    <row r="595" spans="1:14" x14ac:dyDescent="0.3">
      <c r="A595" s="237" t="str">
        <f>name!E$12</f>
        <v>Elementary occupations</v>
      </c>
      <c r="B595" s="302">
        <v>0.51460830539968927</v>
      </c>
      <c r="C595" s="302">
        <v>2.4098748100694518</v>
      </c>
      <c r="D595" s="302">
        <f t="shared" si="220"/>
        <v>2.9244831154691413</v>
      </c>
      <c r="E595" s="303"/>
      <c r="F595" s="302">
        <v>0.68010077544052705</v>
      </c>
      <c r="G595" s="302">
        <v>2.2340565210729726</v>
      </c>
      <c r="H595" s="302">
        <f t="shared" si="221"/>
        <v>2.9141572965134994</v>
      </c>
      <c r="I595" s="303"/>
      <c r="J595" s="302">
        <v>0.83776390118473021</v>
      </c>
      <c r="K595" s="302">
        <v>1.8783598299353379</v>
      </c>
      <c r="L595" s="302">
        <f t="shared" si="222"/>
        <v>2.7161237311200681</v>
      </c>
      <c r="M595" s="236"/>
      <c r="N595" s="236"/>
    </row>
    <row r="596" spans="1:14" x14ac:dyDescent="0.3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  <c r="N596" s="236"/>
    </row>
    <row r="597" spans="1:14" x14ac:dyDescent="0.3">
      <c r="A597" s="244" t="s">
        <v>32</v>
      </c>
      <c r="B597" s="311">
        <f>SUM(B587:B595)</f>
        <v>8.9750000000858101</v>
      </c>
      <c r="C597" s="311">
        <f t="shared" ref="C597:D597" si="223">SUM(C587:C595)</f>
        <v>54.856000000195692</v>
      </c>
      <c r="D597" s="311">
        <f t="shared" si="223"/>
        <v>63.831000000281506</v>
      </c>
      <c r="E597" s="311"/>
      <c r="F597" s="311">
        <f t="shared" ref="F597:H597" si="224">SUM(F587:F595)</f>
        <v>14.411999999746941</v>
      </c>
      <c r="G597" s="311">
        <f t="shared" si="224"/>
        <v>62.910000001048985</v>
      </c>
      <c r="H597" s="311">
        <f t="shared" si="224"/>
        <v>77.322000000795924</v>
      </c>
      <c r="I597" s="311"/>
      <c r="J597" s="311">
        <f t="shared" ref="J597:L597" si="225">SUM(J587:J595)</f>
        <v>17.496999999837353</v>
      </c>
      <c r="K597" s="311">
        <f t="shared" si="225"/>
        <v>71.018000002754661</v>
      </c>
      <c r="L597" s="311">
        <f t="shared" si="225"/>
        <v>88.515000002592018</v>
      </c>
      <c r="M597" s="236"/>
      <c r="N597" s="236"/>
    </row>
    <row r="598" spans="1:14" x14ac:dyDescent="0.3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  <c r="N598" s="236"/>
    </row>
    <row r="599" spans="1:14" x14ac:dyDescent="0.3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56" t="s">
        <v>35</v>
      </c>
      <c r="M599" s="236"/>
      <c r="N599" s="236"/>
    </row>
    <row r="600" spans="1:14" x14ac:dyDescent="0.3">
      <c r="A600" s="242"/>
      <c r="B600" s="250"/>
      <c r="C600" s="250"/>
      <c r="D600" s="250"/>
      <c r="E600" s="250"/>
      <c r="F600" s="250"/>
      <c r="G600" s="250"/>
      <c r="H600" s="250"/>
      <c r="I600" s="250"/>
      <c r="J600" s="250"/>
      <c r="K600" s="250"/>
      <c r="L600" s="236"/>
      <c r="M600" s="236"/>
      <c r="N600" s="236"/>
    </row>
    <row r="601" spans="1:14" x14ac:dyDescent="0.3">
      <c r="A601" s="241" t="str">
        <f>name!A38</f>
        <v>Water transport</v>
      </c>
      <c r="B601" s="373">
        <f>B$6</f>
        <v>2015</v>
      </c>
      <c r="C601" s="373"/>
      <c r="D601" s="373"/>
      <c r="E601" s="253"/>
      <c r="F601" s="373">
        <f>F584</f>
        <v>2020</v>
      </c>
      <c r="G601" s="373"/>
      <c r="H601" s="373"/>
      <c r="I601" s="253"/>
      <c r="J601" s="373">
        <f>J584</f>
        <v>2035</v>
      </c>
      <c r="K601" s="373"/>
      <c r="L601" s="373"/>
      <c r="M601" s="236"/>
      <c r="N601" s="236"/>
    </row>
    <row r="602" spans="1:14" x14ac:dyDescent="0.3">
      <c r="A602" s="254"/>
      <c r="B602" s="255" t="s">
        <v>352</v>
      </c>
      <c r="C602" s="255" t="s">
        <v>353</v>
      </c>
      <c r="D602" s="255" t="s">
        <v>32</v>
      </c>
      <c r="E602" s="255"/>
      <c r="F602" s="255" t="s">
        <v>352</v>
      </c>
      <c r="G602" s="255" t="s">
        <v>353</v>
      </c>
      <c r="H602" s="255" t="s">
        <v>32</v>
      </c>
      <c r="I602" s="255"/>
      <c r="J602" s="255" t="s">
        <v>352</v>
      </c>
      <c r="K602" s="255" t="s">
        <v>353</v>
      </c>
      <c r="L602" s="255" t="s">
        <v>32</v>
      </c>
      <c r="M602" s="236"/>
      <c r="N602" s="236"/>
    </row>
    <row r="603" spans="1:14" x14ac:dyDescent="0.3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  <c r="N603" s="236"/>
    </row>
    <row r="604" spans="1:14" x14ac:dyDescent="0.3">
      <c r="A604" s="237" t="str">
        <f>name!E$4</f>
        <v>Managers, directors and senior officials</v>
      </c>
      <c r="B604" s="302">
        <v>2.2206571854478028E-2</v>
      </c>
      <c r="C604" s="302">
        <v>7.2356835397552235E-2</v>
      </c>
      <c r="D604" s="302">
        <f>SUM(B604:C604)</f>
        <v>9.456340725203026E-2</v>
      </c>
      <c r="E604" s="303"/>
      <c r="F604" s="302">
        <v>2.3926094956946597E-2</v>
      </c>
      <c r="G604" s="302">
        <v>0.15821974886517173</v>
      </c>
      <c r="H604" s="302">
        <f>SUM(F604:G604)</f>
        <v>0.18214584382211832</v>
      </c>
      <c r="I604" s="303"/>
      <c r="J604" s="302">
        <v>2.4308235784842338E-2</v>
      </c>
      <c r="K604" s="302">
        <v>0.13959006319044773</v>
      </c>
      <c r="L604" s="302">
        <f>SUM(J604:K604)</f>
        <v>0.16389829897529007</v>
      </c>
      <c r="M604" s="236"/>
      <c r="N604" s="236"/>
    </row>
    <row r="605" spans="1:14" x14ac:dyDescent="0.3">
      <c r="A605" s="237" t="str">
        <f>name!E$5</f>
        <v>Professional occupations</v>
      </c>
      <c r="B605" s="302">
        <v>4.0873346114035855E-2</v>
      </c>
      <c r="C605" s="302">
        <v>9.7735850058710994E-2</v>
      </c>
      <c r="D605" s="302">
        <f t="shared" ref="D605:D612" si="226">SUM(B605:C605)</f>
        <v>0.13860919617274686</v>
      </c>
      <c r="E605" s="303"/>
      <c r="F605" s="302">
        <v>3.9991238774398481E-2</v>
      </c>
      <c r="G605" s="302">
        <v>0.15938409407801113</v>
      </c>
      <c r="H605" s="302">
        <f t="shared" ref="H605:H612" si="227">SUM(F605:G605)</f>
        <v>0.1993753328524096</v>
      </c>
      <c r="I605" s="303"/>
      <c r="J605" s="302">
        <v>4.0754809778577983E-2</v>
      </c>
      <c r="K605" s="302">
        <v>0.14940552560046139</v>
      </c>
      <c r="L605" s="302">
        <f t="shared" ref="L605:L612" si="228">SUM(J605:K605)</f>
        <v>0.19016033537903937</v>
      </c>
      <c r="M605" s="236"/>
      <c r="N605" s="236"/>
    </row>
    <row r="606" spans="1:14" x14ac:dyDescent="0.3">
      <c r="A606" s="237" t="str">
        <f>name!E$6</f>
        <v>Associate professional occupations</v>
      </c>
      <c r="B606" s="302">
        <v>3.7010438212048614E-2</v>
      </c>
      <c r="C606" s="302">
        <v>0.12067111096213652</v>
      </c>
      <c r="D606" s="302">
        <f t="shared" si="226"/>
        <v>0.15768154917418514</v>
      </c>
      <c r="E606" s="303"/>
      <c r="F606" s="302">
        <v>3.4795894633227166E-2</v>
      </c>
      <c r="G606" s="302">
        <v>0.17358919853396348</v>
      </c>
      <c r="H606" s="302">
        <f t="shared" si="227"/>
        <v>0.20838509316719064</v>
      </c>
      <c r="I606" s="303"/>
      <c r="J606" s="302">
        <v>3.1223571800495179E-2</v>
      </c>
      <c r="K606" s="302">
        <v>0.13711119943496916</v>
      </c>
      <c r="L606" s="302">
        <f t="shared" si="228"/>
        <v>0.16833477123546434</v>
      </c>
      <c r="M606" s="236"/>
      <c r="N606" s="236"/>
    </row>
    <row r="607" spans="1:14" x14ac:dyDescent="0.3">
      <c r="A607" s="237" t="str">
        <f>name!E$7</f>
        <v>Administrative and secretarial occupations</v>
      </c>
      <c r="B607" s="302">
        <v>0.12871711137902392</v>
      </c>
      <c r="C607" s="302">
        <v>4.7317284810282877E-2</v>
      </c>
      <c r="D607" s="302">
        <f t="shared" si="226"/>
        <v>0.1760343961893068</v>
      </c>
      <c r="E607" s="303"/>
      <c r="F607" s="302">
        <v>8.0844323276628868E-2</v>
      </c>
      <c r="G607" s="302">
        <v>5.2932053606020366E-2</v>
      </c>
      <c r="H607" s="302">
        <f t="shared" si="227"/>
        <v>0.13377637688264923</v>
      </c>
      <c r="I607" s="303"/>
      <c r="J607" s="302">
        <v>4.7314281248812394E-2</v>
      </c>
      <c r="K607" s="302">
        <v>5.0677327583226031E-2</v>
      </c>
      <c r="L607" s="302">
        <f t="shared" si="228"/>
        <v>9.7991608832038418E-2</v>
      </c>
      <c r="M607" s="236"/>
      <c r="N607" s="236"/>
    </row>
    <row r="608" spans="1:14" x14ac:dyDescent="0.3">
      <c r="A608" s="237" t="str">
        <f>name!E$8</f>
        <v>Skilled trades occupations</v>
      </c>
      <c r="B608" s="302">
        <v>7.6001307420402037E-3</v>
      </c>
      <c r="C608" s="302">
        <v>2.1266901297151173E-2</v>
      </c>
      <c r="D608" s="302">
        <f t="shared" si="226"/>
        <v>2.8867032039191377E-2</v>
      </c>
      <c r="E608" s="303"/>
      <c r="F608" s="302">
        <v>7.0937920563600336E-3</v>
      </c>
      <c r="G608" s="302">
        <v>2.7913889367689633E-2</v>
      </c>
      <c r="H608" s="302">
        <f t="shared" si="227"/>
        <v>3.5007681424049669E-2</v>
      </c>
      <c r="I608" s="303"/>
      <c r="J608" s="302">
        <v>6.7955672682948488E-3</v>
      </c>
      <c r="K608" s="302">
        <v>1.0193853710411347E-2</v>
      </c>
      <c r="L608" s="302">
        <f t="shared" si="228"/>
        <v>1.6989420978706198E-2</v>
      </c>
      <c r="M608" s="236"/>
      <c r="N608" s="236"/>
    </row>
    <row r="609" spans="1:14" x14ac:dyDescent="0.3">
      <c r="A609" s="237" t="str">
        <f>name!E$9</f>
        <v>Caring, leisure and other service occupations</v>
      </c>
      <c r="B609" s="302">
        <v>4.5915396868603971E-2</v>
      </c>
      <c r="C609" s="302">
        <v>1.1866903741278492E-2</v>
      </c>
      <c r="D609" s="302">
        <f t="shared" si="226"/>
        <v>5.7782300609882459E-2</v>
      </c>
      <c r="E609" s="303"/>
      <c r="F609" s="302">
        <v>2.4645493283128778E-2</v>
      </c>
      <c r="G609" s="302">
        <v>1.2281346948909923E-2</v>
      </c>
      <c r="H609" s="302">
        <f t="shared" si="227"/>
        <v>3.6926840232038703E-2</v>
      </c>
      <c r="I609" s="303"/>
      <c r="J609" s="302">
        <v>2.0084896203442427E-2</v>
      </c>
      <c r="K609" s="302">
        <v>1.1335510621987659E-2</v>
      </c>
      <c r="L609" s="302">
        <f t="shared" si="228"/>
        <v>3.1420406825430083E-2</v>
      </c>
      <c r="M609" s="236"/>
      <c r="N609" s="236"/>
    </row>
    <row r="610" spans="1:14" x14ac:dyDescent="0.3">
      <c r="A610" s="237" t="str">
        <f>name!E$10</f>
        <v>Sales and customer service occupations</v>
      </c>
      <c r="B610" s="302">
        <v>2.7323691104572275E-2</v>
      </c>
      <c r="C610" s="302">
        <v>1.7506088135215991E-2</v>
      </c>
      <c r="D610" s="302">
        <f t="shared" si="226"/>
        <v>4.4829779239788266E-2</v>
      </c>
      <c r="E610" s="303"/>
      <c r="F610" s="302">
        <v>1.8070176000458401E-2</v>
      </c>
      <c r="G610" s="302">
        <v>1.939142946770803E-2</v>
      </c>
      <c r="H610" s="302">
        <f t="shared" si="227"/>
        <v>3.7461605468166431E-2</v>
      </c>
      <c r="I610" s="303"/>
      <c r="J610" s="302">
        <v>1.5119273330761117E-2</v>
      </c>
      <c r="K610" s="302">
        <v>1.8978936453313233E-2</v>
      </c>
      <c r="L610" s="302">
        <f t="shared" si="228"/>
        <v>3.4098209784074351E-2</v>
      </c>
      <c r="M610" s="236"/>
      <c r="N610" s="236"/>
    </row>
    <row r="611" spans="1:14" x14ac:dyDescent="0.3">
      <c r="A611" s="237" t="str">
        <f>name!E$11</f>
        <v>Process, plant and machine operatives</v>
      </c>
      <c r="B611" s="302">
        <v>1.6749390733440363E-2</v>
      </c>
      <c r="C611" s="302">
        <v>3.1120352213279332E-2</v>
      </c>
      <c r="D611" s="302">
        <f t="shared" si="226"/>
        <v>4.7869742946719696E-2</v>
      </c>
      <c r="E611" s="303"/>
      <c r="F611" s="302">
        <v>1.1270498085356743E-2</v>
      </c>
      <c r="G611" s="302">
        <v>3.4793247897773383E-2</v>
      </c>
      <c r="H611" s="302">
        <f t="shared" si="227"/>
        <v>4.6063745983130122E-2</v>
      </c>
      <c r="I611" s="303"/>
      <c r="J611" s="302">
        <v>1.5439775778992094E-2</v>
      </c>
      <c r="K611" s="302">
        <v>1.4578643680804294E-2</v>
      </c>
      <c r="L611" s="302">
        <f t="shared" si="228"/>
        <v>3.0018419459796386E-2</v>
      </c>
      <c r="M611" s="236"/>
      <c r="N611" s="236"/>
    </row>
    <row r="612" spans="1:14" x14ac:dyDescent="0.3">
      <c r="A612" s="237" t="str">
        <f>name!E$12</f>
        <v>Elementary occupations</v>
      </c>
      <c r="B612" s="302">
        <v>1.9603922994777954E-2</v>
      </c>
      <c r="C612" s="302">
        <v>3.7158673384646165E-2</v>
      </c>
      <c r="D612" s="302">
        <f t="shared" si="226"/>
        <v>5.6762596379424116E-2</v>
      </c>
      <c r="E612" s="303"/>
      <c r="F612" s="302">
        <v>1.1362488930331822E-2</v>
      </c>
      <c r="G612" s="302">
        <v>3.6494991240038334E-2</v>
      </c>
      <c r="H612" s="302">
        <f t="shared" si="227"/>
        <v>4.7857480170370156E-2</v>
      </c>
      <c r="I612" s="303"/>
      <c r="J612" s="302">
        <v>8.9595888044282646E-3</v>
      </c>
      <c r="K612" s="302">
        <v>2.0128939730712558E-2</v>
      </c>
      <c r="L612" s="302">
        <f t="shared" si="228"/>
        <v>2.9088528535140823E-2</v>
      </c>
      <c r="M612" s="236"/>
      <c r="N612" s="236"/>
    </row>
    <row r="613" spans="1:14" x14ac:dyDescent="0.3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  <c r="N613" s="236"/>
    </row>
    <row r="614" spans="1:14" x14ac:dyDescent="0.3">
      <c r="A614" s="244" t="s">
        <v>32</v>
      </c>
      <c r="B614" s="311">
        <f>SUM(B604:B612)</f>
        <v>0.34600000000302117</v>
      </c>
      <c r="C614" s="311">
        <f t="shared" ref="C614:D614" si="229">SUM(C604:C612)</f>
        <v>0.45700000000025376</v>
      </c>
      <c r="D614" s="311">
        <f t="shared" si="229"/>
        <v>0.80300000000327498</v>
      </c>
      <c r="E614" s="311"/>
      <c r="F614" s="311">
        <f t="shared" ref="F614:H614" si="230">SUM(F604:F612)</f>
        <v>0.25199999999683692</v>
      </c>
      <c r="G614" s="311">
        <f t="shared" si="230"/>
        <v>0.67500000000528604</v>
      </c>
      <c r="H614" s="311">
        <f t="shared" si="230"/>
        <v>0.9270000000021229</v>
      </c>
      <c r="I614" s="311"/>
      <c r="J614" s="311">
        <f t="shared" ref="J614:L614" si="231">SUM(J604:J612)</f>
        <v>0.20999999999864666</v>
      </c>
      <c r="K614" s="311">
        <f t="shared" si="231"/>
        <v>0.55200000000633342</v>
      </c>
      <c r="L614" s="311">
        <f t="shared" si="231"/>
        <v>0.76200000000497981</v>
      </c>
      <c r="M614" s="236"/>
      <c r="N614" s="236"/>
    </row>
    <row r="615" spans="1:14" x14ac:dyDescent="0.3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  <c r="N615" s="236"/>
    </row>
    <row r="616" spans="1:14" x14ac:dyDescent="0.3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56" t="s">
        <v>35</v>
      </c>
      <c r="M616" s="236"/>
      <c r="N616" s="236"/>
    </row>
    <row r="617" spans="1:14" x14ac:dyDescent="0.3">
      <c r="A617" s="242"/>
      <c r="B617" s="250"/>
      <c r="C617" s="250"/>
      <c r="D617" s="250"/>
      <c r="E617" s="250"/>
      <c r="F617" s="250"/>
      <c r="G617" s="250"/>
      <c r="H617" s="250"/>
      <c r="I617" s="250"/>
      <c r="J617" s="250"/>
      <c r="K617" s="250"/>
      <c r="L617" s="236"/>
      <c r="M617" s="236"/>
      <c r="N617" s="236"/>
    </row>
    <row r="618" spans="1:14" x14ac:dyDescent="0.3">
      <c r="A618" s="241" t="str">
        <f>name!A39</f>
        <v>Air transport</v>
      </c>
      <c r="B618" s="373">
        <f>B$6</f>
        <v>2015</v>
      </c>
      <c r="C618" s="373"/>
      <c r="D618" s="373"/>
      <c r="E618" s="253"/>
      <c r="F618" s="373">
        <f>F601</f>
        <v>2020</v>
      </c>
      <c r="G618" s="373"/>
      <c r="H618" s="373"/>
      <c r="I618" s="253"/>
      <c r="J618" s="373">
        <f>J601</f>
        <v>2035</v>
      </c>
      <c r="K618" s="373"/>
      <c r="L618" s="373"/>
      <c r="M618" s="236"/>
      <c r="N618" s="236"/>
    </row>
    <row r="619" spans="1:14" x14ac:dyDescent="0.3">
      <c r="A619" s="254"/>
      <c r="B619" s="255" t="s">
        <v>352</v>
      </c>
      <c r="C619" s="255" t="s">
        <v>353</v>
      </c>
      <c r="D619" s="255" t="s">
        <v>32</v>
      </c>
      <c r="E619" s="255"/>
      <c r="F619" s="255" t="s">
        <v>352</v>
      </c>
      <c r="G619" s="255" t="s">
        <v>353</v>
      </c>
      <c r="H619" s="255" t="s">
        <v>32</v>
      </c>
      <c r="I619" s="255"/>
      <c r="J619" s="255" t="s">
        <v>352</v>
      </c>
      <c r="K619" s="255" t="s">
        <v>353</v>
      </c>
      <c r="L619" s="255" t="s">
        <v>32</v>
      </c>
      <c r="M619" s="236"/>
      <c r="N619" s="236"/>
    </row>
    <row r="620" spans="1:14" x14ac:dyDescent="0.3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  <c r="N620" s="236"/>
    </row>
    <row r="621" spans="1:14" x14ac:dyDescent="0.3">
      <c r="A621" s="237" t="str">
        <f>name!E$4</f>
        <v>Managers, directors and senior officials</v>
      </c>
      <c r="B621" s="302">
        <v>7.2813763005393828E-2</v>
      </c>
      <c r="C621" s="302">
        <v>0.2591965685671192</v>
      </c>
      <c r="D621" s="302">
        <f>SUM(B621:C621)</f>
        <v>0.33201033157251303</v>
      </c>
      <c r="E621" s="303"/>
      <c r="F621" s="302">
        <v>0.11579623073748337</v>
      </c>
      <c r="G621" s="302">
        <v>0.37976458782759592</v>
      </c>
      <c r="H621" s="302">
        <f>SUM(F621:G621)</f>
        <v>0.49556081856507928</v>
      </c>
      <c r="I621" s="303"/>
      <c r="J621" s="302">
        <v>0.2061060374787218</v>
      </c>
      <c r="K621" s="302">
        <v>0.53969858111559099</v>
      </c>
      <c r="L621" s="302">
        <f>SUM(J621:K621)</f>
        <v>0.7458046185943128</v>
      </c>
      <c r="M621" s="236"/>
      <c r="N621" s="236"/>
    </row>
    <row r="622" spans="1:14" x14ac:dyDescent="0.3">
      <c r="A622" s="237" t="str">
        <f>name!E$5</f>
        <v>Professional occupations</v>
      </c>
      <c r="B622" s="302">
        <v>0.12844373395351077</v>
      </c>
      <c r="C622" s="302">
        <v>0.41321442518701196</v>
      </c>
      <c r="D622" s="302">
        <f t="shared" ref="D622:D629" si="232">SUM(B622:C622)</f>
        <v>0.54165815914052273</v>
      </c>
      <c r="E622" s="303"/>
      <c r="F622" s="302">
        <v>0.23743829862321977</v>
      </c>
      <c r="G622" s="302">
        <v>0.58664591526919996</v>
      </c>
      <c r="H622" s="302">
        <f t="shared" ref="H622:H629" si="233">SUM(F622:G622)</f>
        <v>0.8240842138924197</v>
      </c>
      <c r="I622" s="303"/>
      <c r="J622" s="302">
        <v>0.41351185630279957</v>
      </c>
      <c r="K622" s="302">
        <v>0.91094781118081924</v>
      </c>
      <c r="L622" s="302">
        <f t="shared" ref="L622:L629" si="234">SUM(J622:K622)</f>
        <v>1.3244596674836189</v>
      </c>
      <c r="M622" s="236"/>
      <c r="N622" s="236"/>
    </row>
    <row r="623" spans="1:14" x14ac:dyDescent="0.3">
      <c r="A623" s="237" t="str">
        <f>name!E$6</f>
        <v>Associate professional occupations</v>
      </c>
      <c r="B623" s="302">
        <v>0.20312958093377895</v>
      </c>
      <c r="C623" s="302">
        <v>0.38679164082285789</v>
      </c>
      <c r="D623" s="302">
        <f t="shared" si="232"/>
        <v>0.58992122175663686</v>
      </c>
      <c r="E623" s="303"/>
      <c r="F623" s="302">
        <v>0.33307019940330035</v>
      </c>
      <c r="G623" s="302">
        <v>0.5303519186754625</v>
      </c>
      <c r="H623" s="302">
        <f t="shared" si="233"/>
        <v>0.8634221180787629</v>
      </c>
      <c r="I623" s="303"/>
      <c r="J623" s="302">
        <v>0.55990949208314533</v>
      </c>
      <c r="K623" s="302">
        <v>0.69001691572984059</v>
      </c>
      <c r="L623" s="302">
        <f t="shared" si="234"/>
        <v>1.2499264078129859</v>
      </c>
      <c r="M623" s="236"/>
      <c r="N623" s="236"/>
    </row>
    <row r="624" spans="1:14" x14ac:dyDescent="0.3">
      <c r="A624" s="237" t="str">
        <f>name!E$7</f>
        <v>Administrative and secretarial occupations</v>
      </c>
      <c r="B624" s="302">
        <v>0.23984319761479686</v>
      </c>
      <c r="C624" s="302">
        <v>0.18439821102784143</v>
      </c>
      <c r="D624" s="302">
        <f t="shared" si="232"/>
        <v>0.42424140864263826</v>
      </c>
      <c r="E624" s="303"/>
      <c r="F624" s="302">
        <v>0.31135931687793883</v>
      </c>
      <c r="G624" s="302">
        <v>0.23447841135227601</v>
      </c>
      <c r="H624" s="302">
        <f t="shared" si="233"/>
        <v>0.54583772823021481</v>
      </c>
      <c r="I624" s="303"/>
      <c r="J624" s="302">
        <v>0.3692282306061403</v>
      </c>
      <c r="K624" s="302">
        <v>0.35985389736260009</v>
      </c>
      <c r="L624" s="302">
        <f t="shared" si="234"/>
        <v>0.72908212796874039</v>
      </c>
      <c r="M624" s="236"/>
      <c r="N624" s="236"/>
    </row>
    <row r="625" spans="1:14" x14ac:dyDescent="0.3">
      <c r="A625" s="237" t="str">
        <f>name!E$8</f>
        <v>Skilled trades occupations</v>
      </c>
      <c r="B625" s="302">
        <v>1.7011916280040756E-2</v>
      </c>
      <c r="C625" s="302">
        <v>0.34056942698806908</v>
      </c>
      <c r="D625" s="302">
        <f t="shared" si="232"/>
        <v>0.35758134326810986</v>
      </c>
      <c r="E625" s="303"/>
      <c r="F625" s="302">
        <v>3.418658210686789E-2</v>
      </c>
      <c r="G625" s="302">
        <v>0.30850938031090502</v>
      </c>
      <c r="H625" s="302">
        <f t="shared" si="233"/>
        <v>0.34269596241777289</v>
      </c>
      <c r="I625" s="303"/>
      <c r="J625" s="302">
        <v>9.7366914092776702E-2</v>
      </c>
      <c r="K625" s="302">
        <v>0.35243900625350688</v>
      </c>
      <c r="L625" s="302">
        <f t="shared" si="234"/>
        <v>0.44980592034628358</v>
      </c>
      <c r="M625" s="236"/>
      <c r="N625" s="236"/>
    </row>
    <row r="626" spans="1:14" x14ac:dyDescent="0.3">
      <c r="A626" s="237" t="str">
        <f>name!E$9</f>
        <v>Caring, leisure and other service occupations</v>
      </c>
      <c r="B626" s="302">
        <v>1.1767962812004886</v>
      </c>
      <c r="C626" s="302">
        <v>0.29613482197692914</v>
      </c>
      <c r="D626" s="302">
        <f t="shared" si="232"/>
        <v>1.4729311031774177</v>
      </c>
      <c r="E626" s="303"/>
      <c r="F626" s="302">
        <v>1.2189940206784573</v>
      </c>
      <c r="G626" s="302">
        <v>0.35557354792629348</v>
      </c>
      <c r="H626" s="302">
        <f t="shared" si="233"/>
        <v>1.5745675686047509</v>
      </c>
      <c r="I626" s="303"/>
      <c r="J626" s="302">
        <v>1.7555304422136269</v>
      </c>
      <c r="K626" s="302">
        <v>0.52719536534746858</v>
      </c>
      <c r="L626" s="302">
        <f t="shared" si="234"/>
        <v>2.2827258075610954</v>
      </c>
      <c r="M626" s="236"/>
      <c r="N626" s="236"/>
    </row>
    <row r="627" spans="1:14" x14ac:dyDescent="0.3">
      <c r="A627" s="237" t="str">
        <f>name!E$10</f>
        <v>Sales and customer service occupations</v>
      </c>
      <c r="B627" s="302">
        <v>9.3263358754200457E-2</v>
      </c>
      <c r="C627" s="302">
        <v>7.5961535541885672E-2</v>
      </c>
      <c r="D627" s="302">
        <f t="shared" si="232"/>
        <v>0.16922489429608611</v>
      </c>
      <c r="E627" s="303"/>
      <c r="F627" s="302">
        <v>0.13742850854332475</v>
      </c>
      <c r="G627" s="302">
        <v>0.10740532630492786</v>
      </c>
      <c r="H627" s="302">
        <f t="shared" si="233"/>
        <v>0.24483383484825261</v>
      </c>
      <c r="I627" s="303"/>
      <c r="J627" s="302">
        <v>0.23657812847424542</v>
      </c>
      <c r="K627" s="302">
        <v>0.20144123948183076</v>
      </c>
      <c r="L627" s="302">
        <f t="shared" si="234"/>
        <v>0.43801936795607621</v>
      </c>
      <c r="M627" s="236"/>
      <c r="N627" s="236"/>
    </row>
    <row r="628" spans="1:14" x14ac:dyDescent="0.3">
      <c r="A628" s="237" t="str">
        <f>name!E$11</f>
        <v>Process, plant and machine operatives</v>
      </c>
      <c r="B628" s="302">
        <v>5.6694508024161747E-2</v>
      </c>
      <c r="C628" s="302">
        <v>0.37242503945476524</v>
      </c>
      <c r="D628" s="302">
        <f t="shared" si="232"/>
        <v>0.429119547478927</v>
      </c>
      <c r="E628" s="303"/>
      <c r="F628" s="302">
        <v>6.6714673147746012E-2</v>
      </c>
      <c r="G628" s="302">
        <v>0.36048347156870686</v>
      </c>
      <c r="H628" s="302">
        <f t="shared" si="233"/>
        <v>0.4271981447164529</v>
      </c>
      <c r="I628" s="303"/>
      <c r="J628" s="302">
        <v>0.13404558755611792</v>
      </c>
      <c r="K628" s="302">
        <v>0.52474593362284105</v>
      </c>
      <c r="L628" s="302">
        <f t="shared" si="234"/>
        <v>0.65879152117895901</v>
      </c>
      <c r="M628" s="236"/>
      <c r="N628" s="236"/>
    </row>
    <row r="629" spans="1:14" x14ac:dyDescent="0.3">
      <c r="A629" s="237" t="str">
        <f>name!E$12</f>
        <v>Elementary occupations</v>
      </c>
      <c r="B629" s="302">
        <v>0.14500366022895705</v>
      </c>
      <c r="C629" s="302">
        <v>0.11830833043635097</v>
      </c>
      <c r="D629" s="302">
        <f t="shared" si="232"/>
        <v>0.26331199066530803</v>
      </c>
      <c r="E629" s="303"/>
      <c r="F629" s="302">
        <v>0.16501216985376116</v>
      </c>
      <c r="G629" s="302">
        <v>0.11878744077715266</v>
      </c>
      <c r="H629" s="302">
        <f t="shared" si="233"/>
        <v>0.2837996106309138</v>
      </c>
      <c r="I629" s="303"/>
      <c r="J629" s="302">
        <v>0.21972331117433785</v>
      </c>
      <c r="K629" s="302">
        <v>0.14766124993478774</v>
      </c>
      <c r="L629" s="302">
        <f t="shared" si="234"/>
        <v>0.3673845611091256</v>
      </c>
      <c r="M629" s="236"/>
      <c r="N629" s="236"/>
    </row>
    <row r="630" spans="1:14" x14ac:dyDescent="0.3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  <c r="N630" s="236"/>
    </row>
    <row r="631" spans="1:14" x14ac:dyDescent="0.3">
      <c r="A631" s="244" t="s">
        <v>32</v>
      </c>
      <c r="B631" s="311">
        <f>SUM(B621:B629)</f>
        <v>2.1329999999953291</v>
      </c>
      <c r="C631" s="311">
        <f t="shared" ref="C631:D631" si="235">SUM(C621:C629)</f>
        <v>2.4470000000028307</v>
      </c>
      <c r="D631" s="311">
        <f t="shared" si="235"/>
        <v>4.5799999999981598</v>
      </c>
      <c r="E631" s="311"/>
      <c r="F631" s="311">
        <f t="shared" ref="F631:H631" si="236">SUM(F621:F629)</f>
        <v>2.6199999999720993</v>
      </c>
      <c r="G631" s="311">
        <f t="shared" si="236"/>
        <v>2.98200000001252</v>
      </c>
      <c r="H631" s="311">
        <f t="shared" si="236"/>
        <v>5.6019999999846197</v>
      </c>
      <c r="I631" s="311"/>
      <c r="J631" s="311">
        <f t="shared" ref="J631:L631" si="237">SUM(J621:J629)</f>
        <v>3.9919999999819114</v>
      </c>
      <c r="K631" s="311">
        <f t="shared" si="237"/>
        <v>4.2540000000292855</v>
      </c>
      <c r="L631" s="311">
        <f t="shared" si="237"/>
        <v>8.2460000000111968</v>
      </c>
      <c r="M631" s="236"/>
      <c r="N631" s="236"/>
    </row>
    <row r="632" spans="1:14" x14ac:dyDescent="0.3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  <c r="N632" s="236"/>
    </row>
    <row r="633" spans="1:14" x14ac:dyDescent="0.3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56" t="s">
        <v>35</v>
      </c>
      <c r="M633" s="236"/>
      <c r="N633" s="236"/>
    </row>
    <row r="634" spans="1:14" x14ac:dyDescent="0.3">
      <c r="A634" s="242"/>
      <c r="B634" s="250"/>
      <c r="C634" s="250"/>
      <c r="D634" s="250"/>
      <c r="E634" s="250"/>
      <c r="F634" s="250"/>
      <c r="G634" s="250"/>
      <c r="H634" s="250"/>
      <c r="I634" s="250"/>
      <c r="J634" s="250"/>
      <c r="K634" s="250"/>
      <c r="L634" s="236"/>
      <c r="M634" s="236"/>
      <c r="N634" s="236"/>
    </row>
    <row r="635" spans="1:14" x14ac:dyDescent="0.3">
      <c r="A635" s="241" t="str">
        <f>name!A40</f>
        <v>Warehousing, etc</v>
      </c>
      <c r="B635" s="373">
        <f>B$6</f>
        <v>2015</v>
      </c>
      <c r="C635" s="373"/>
      <c r="D635" s="373"/>
      <c r="E635" s="253"/>
      <c r="F635" s="373">
        <f>F618</f>
        <v>2020</v>
      </c>
      <c r="G635" s="373"/>
      <c r="H635" s="373"/>
      <c r="I635" s="253"/>
      <c r="J635" s="373">
        <f>J618</f>
        <v>2035</v>
      </c>
      <c r="K635" s="373"/>
      <c r="L635" s="373"/>
      <c r="M635" s="236"/>
      <c r="N635" s="236"/>
    </row>
    <row r="636" spans="1:14" x14ac:dyDescent="0.3">
      <c r="A636" s="254"/>
      <c r="B636" s="255" t="s">
        <v>352</v>
      </c>
      <c r="C636" s="255" t="s">
        <v>353</v>
      </c>
      <c r="D636" s="255" t="s">
        <v>32</v>
      </c>
      <c r="E636" s="255"/>
      <c r="F636" s="255" t="s">
        <v>352</v>
      </c>
      <c r="G636" s="255" t="s">
        <v>353</v>
      </c>
      <c r="H636" s="255" t="s">
        <v>32</v>
      </c>
      <c r="I636" s="255"/>
      <c r="J636" s="255" t="s">
        <v>352</v>
      </c>
      <c r="K636" s="255" t="s">
        <v>353</v>
      </c>
      <c r="L636" s="255" t="s">
        <v>32</v>
      </c>
      <c r="M636" s="236"/>
      <c r="N636" s="236"/>
    </row>
    <row r="637" spans="1:14" x14ac:dyDescent="0.3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  <c r="N637" s="236"/>
    </row>
    <row r="638" spans="1:14" x14ac:dyDescent="0.3">
      <c r="A638" s="237" t="str">
        <f>name!E$4</f>
        <v>Managers, directors and senior officials</v>
      </c>
      <c r="B638" s="302">
        <v>0.38339541874011762</v>
      </c>
      <c r="C638" s="302">
        <v>4.9158212489656199</v>
      </c>
      <c r="D638" s="302">
        <f>SUM(B638:C638)</f>
        <v>5.2992166677057373</v>
      </c>
      <c r="E638" s="303"/>
      <c r="F638" s="302">
        <v>0.73700914476806967</v>
      </c>
      <c r="G638" s="302">
        <v>7.4487286697029091</v>
      </c>
      <c r="H638" s="302">
        <f>SUM(F638:G638)</f>
        <v>8.1857378144709791</v>
      </c>
      <c r="I638" s="303"/>
      <c r="J638" s="302">
        <v>1.0421628743722224</v>
      </c>
      <c r="K638" s="302">
        <v>7.7358000337222927</v>
      </c>
      <c r="L638" s="302">
        <f>SUM(J638:K638)</f>
        <v>8.7779629080945156</v>
      </c>
      <c r="M638" s="236"/>
      <c r="N638" s="236"/>
    </row>
    <row r="639" spans="1:14" x14ac:dyDescent="0.3">
      <c r="A639" s="237" t="str">
        <f>name!E$5</f>
        <v>Professional occupations</v>
      </c>
      <c r="B639" s="302">
        <v>0.33231380887934936</v>
      </c>
      <c r="C639" s="302">
        <v>3.4655041636223922</v>
      </c>
      <c r="D639" s="302">
        <f t="shared" ref="D639:D646" si="238">SUM(B639:C639)</f>
        <v>3.7978179725017416</v>
      </c>
      <c r="E639" s="303"/>
      <c r="F639" s="302">
        <v>0.74142490208443523</v>
      </c>
      <c r="G639" s="302">
        <v>5.6157086127641493</v>
      </c>
      <c r="H639" s="302">
        <f t="shared" ref="H639:H646" si="239">SUM(F639:G639)</f>
        <v>6.3571335148485844</v>
      </c>
      <c r="I639" s="303"/>
      <c r="J639" s="302">
        <v>1.0970590645333296</v>
      </c>
      <c r="K639" s="302">
        <v>7.2209629375052975</v>
      </c>
      <c r="L639" s="302">
        <f t="shared" ref="L639:L646" si="240">SUM(J639:K639)</f>
        <v>8.318022002038628</v>
      </c>
      <c r="M639" s="236"/>
      <c r="N639" s="236"/>
    </row>
    <row r="640" spans="1:14" x14ac:dyDescent="0.3">
      <c r="A640" s="237" t="str">
        <f>name!E$6</f>
        <v>Associate professional occupations</v>
      </c>
      <c r="B640" s="302">
        <v>0.36298399768350575</v>
      </c>
      <c r="C640" s="302">
        <v>2.8435913251921225</v>
      </c>
      <c r="D640" s="302">
        <f t="shared" si="238"/>
        <v>3.2065753228756284</v>
      </c>
      <c r="E640" s="303"/>
      <c r="F640" s="302">
        <v>0.66859248924512737</v>
      </c>
      <c r="G640" s="302">
        <v>4.2984574863310296</v>
      </c>
      <c r="H640" s="302">
        <f t="shared" si="239"/>
        <v>4.967049975576157</v>
      </c>
      <c r="I640" s="303"/>
      <c r="J640" s="302">
        <v>0.8578002248131279</v>
      </c>
      <c r="K640" s="302">
        <v>4.4444544753591861</v>
      </c>
      <c r="L640" s="302">
        <f t="shared" si="240"/>
        <v>5.3022547001723144</v>
      </c>
      <c r="M640" s="236"/>
      <c r="N640" s="236"/>
    </row>
    <row r="641" spans="1:14" x14ac:dyDescent="0.3">
      <c r="A641" s="237" t="str">
        <f>name!E$7</f>
        <v>Administrative and secretarial occupations</v>
      </c>
      <c r="B641" s="302">
        <v>1.4849531437018977</v>
      </c>
      <c r="C641" s="302">
        <v>2.9533129348672764</v>
      </c>
      <c r="D641" s="302">
        <f t="shared" si="238"/>
        <v>4.4382660785691739</v>
      </c>
      <c r="E641" s="303"/>
      <c r="F641" s="302">
        <v>2.1248741911819486</v>
      </c>
      <c r="G641" s="302">
        <v>4.2685306123219</v>
      </c>
      <c r="H641" s="302">
        <f t="shared" si="239"/>
        <v>6.3934048035038487</v>
      </c>
      <c r="I641" s="303"/>
      <c r="J641" s="302">
        <v>1.7808596906515028</v>
      </c>
      <c r="K641" s="302">
        <v>4.5434326538214487</v>
      </c>
      <c r="L641" s="302">
        <f t="shared" si="240"/>
        <v>6.3242923444729513</v>
      </c>
      <c r="M641" s="236"/>
      <c r="N641" s="236"/>
    </row>
    <row r="642" spans="1:14" x14ac:dyDescent="0.3">
      <c r="A642" s="237" t="str">
        <f>name!E$8</f>
        <v>Skilled trades occupations</v>
      </c>
      <c r="B642" s="302">
        <v>6.0834125253193816E-2</v>
      </c>
      <c r="C642" s="302">
        <v>1.4687314074409021</v>
      </c>
      <c r="D642" s="302">
        <f t="shared" si="238"/>
        <v>1.529565532694096</v>
      </c>
      <c r="E642" s="303"/>
      <c r="F642" s="302">
        <v>7.6124074331351904E-2</v>
      </c>
      <c r="G642" s="302">
        <v>1.5753786541985724</v>
      </c>
      <c r="H642" s="302">
        <f t="shared" si="239"/>
        <v>1.6515027285299242</v>
      </c>
      <c r="I642" s="303"/>
      <c r="J642" s="302">
        <v>0.1481479690047037</v>
      </c>
      <c r="K642" s="302">
        <v>1.6528621784637112</v>
      </c>
      <c r="L642" s="302">
        <f t="shared" si="240"/>
        <v>1.8010101474684148</v>
      </c>
      <c r="M642" s="236"/>
      <c r="N642" s="236"/>
    </row>
    <row r="643" spans="1:14" x14ac:dyDescent="0.3">
      <c r="A643" s="237" t="str">
        <f>name!E$9</f>
        <v>Caring, leisure and other service occupations</v>
      </c>
      <c r="B643" s="302">
        <v>2.5008267783177667</v>
      </c>
      <c r="C643" s="302">
        <v>1.8560647862729081</v>
      </c>
      <c r="D643" s="302">
        <f t="shared" si="238"/>
        <v>4.3568915645906747</v>
      </c>
      <c r="E643" s="303"/>
      <c r="F643" s="302">
        <v>2.6258406107323653</v>
      </c>
      <c r="G643" s="302">
        <v>2.7699460376814202</v>
      </c>
      <c r="H643" s="302">
        <f t="shared" si="239"/>
        <v>5.395786648413786</v>
      </c>
      <c r="I643" s="303"/>
      <c r="J643" s="302">
        <v>2.6614214228949584</v>
      </c>
      <c r="K643" s="302">
        <v>3.1848993332298194</v>
      </c>
      <c r="L643" s="302">
        <f t="shared" si="240"/>
        <v>5.8463207561247774</v>
      </c>
      <c r="M643" s="236"/>
      <c r="N643" s="236"/>
    </row>
    <row r="644" spans="1:14" x14ac:dyDescent="0.3">
      <c r="A644" s="237" t="str">
        <f>name!E$10</f>
        <v>Sales and customer service occupations</v>
      </c>
      <c r="B644" s="302">
        <v>0.46334835142466391</v>
      </c>
      <c r="C644" s="302">
        <v>1.6708797202303627</v>
      </c>
      <c r="D644" s="302">
        <f t="shared" si="238"/>
        <v>2.1342280716550266</v>
      </c>
      <c r="E644" s="303"/>
      <c r="F644" s="302">
        <v>0.71036733055071655</v>
      </c>
      <c r="G644" s="302">
        <v>2.1657075414050646</v>
      </c>
      <c r="H644" s="302">
        <f t="shared" si="239"/>
        <v>2.8760748719557814</v>
      </c>
      <c r="I644" s="303"/>
      <c r="J644" s="302">
        <v>0.81395053463332168</v>
      </c>
      <c r="K644" s="302">
        <v>2.617300471524445</v>
      </c>
      <c r="L644" s="302">
        <f t="shared" si="240"/>
        <v>3.4312510061577668</v>
      </c>
      <c r="M644" s="236"/>
      <c r="N644" s="236"/>
    </row>
    <row r="645" spans="1:14" x14ac:dyDescent="0.3">
      <c r="A645" s="237" t="str">
        <f>name!E$11</f>
        <v>Process, plant and machine operatives</v>
      </c>
      <c r="B645" s="302">
        <v>0.31113420839343142</v>
      </c>
      <c r="C645" s="302">
        <v>8.5941827040355196</v>
      </c>
      <c r="D645" s="302">
        <f t="shared" si="238"/>
        <v>8.9053169124289511</v>
      </c>
      <c r="E645" s="303"/>
      <c r="F645" s="302">
        <v>0.38716724462376229</v>
      </c>
      <c r="G645" s="302">
        <v>9.723115705367734</v>
      </c>
      <c r="H645" s="302">
        <f t="shared" si="239"/>
        <v>10.110282949991497</v>
      </c>
      <c r="I645" s="303"/>
      <c r="J645" s="302">
        <v>0.84892175700006922</v>
      </c>
      <c r="K645" s="302">
        <v>10.623232606313653</v>
      </c>
      <c r="L645" s="302">
        <f t="shared" si="240"/>
        <v>11.472154363313722</v>
      </c>
      <c r="M645" s="236"/>
      <c r="N645" s="236"/>
    </row>
    <row r="646" spans="1:14" x14ac:dyDescent="0.3">
      <c r="A646" s="237" t="str">
        <f>name!E$12</f>
        <v>Elementary occupations</v>
      </c>
      <c r="B646" s="302">
        <v>0.84921016765949597</v>
      </c>
      <c r="C646" s="302">
        <v>9.1729117094939507</v>
      </c>
      <c r="D646" s="302">
        <f t="shared" si="238"/>
        <v>10.022121877153447</v>
      </c>
      <c r="E646" s="303"/>
      <c r="F646" s="302">
        <v>1.0136000123479634</v>
      </c>
      <c r="G646" s="302">
        <v>8.8964266805826124</v>
      </c>
      <c r="H646" s="302">
        <f t="shared" si="239"/>
        <v>9.9100266929305754</v>
      </c>
      <c r="I646" s="303"/>
      <c r="J646" s="302">
        <v>1.1376764620009163</v>
      </c>
      <c r="K646" s="302">
        <v>6.2850553107665732</v>
      </c>
      <c r="L646" s="302">
        <f t="shared" si="240"/>
        <v>7.4227317727674897</v>
      </c>
      <c r="M646" s="236"/>
      <c r="N646" s="236"/>
    </row>
    <row r="647" spans="1:14" x14ac:dyDescent="0.3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  <c r="N647" s="236"/>
    </row>
    <row r="648" spans="1:14" x14ac:dyDescent="0.3">
      <c r="A648" s="244" t="s">
        <v>32</v>
      </c>
      <c r="B648" s="311">
        <f>SUM(B638:B646)</f>
        <v>6.7490000000534227</v>
      </c>
      <c r="C648" s="311">
        <f t="shared" ref="C648:D648" si="241">SUM(C638:C646)</f>
        <v>36.941000000121058</v>
      </c>
      <c r="D648" s="311">
        <f t="shared" si="241"/>
        <v>43.690000000174479</v>
      </c>
      <c r="E648" s="311"/>
      <c r="F648" s="311">
        <f t="shared" ref="F648:H648" si="242">SUM(F638:F646)</f>
        <v>9.0849999998657403</v>
      </c>
      <c r="G648" s="311">
        <f t="shared" si="242"/>
        <v>46.762000000355393</v>
      </c>
      <c r="H648" s="311">
        <f t="shared" si="242"/>
        <v>55.847000000221129</v>
      </c>
      <c r="I648" s="311"/>
      <c r="J648" s="311">
        <f t="shared" ref="J648:L648" si="243">SUM(J638:J646)</f>
        <v>10.387999999904151</v>
      </c>
      <c r="K648" s="311">
        <f t="shared" si="243"/>
        <v>48.308000000706421</v>
      </c>
      <c r="L648" s="311">
        <f t="shared" si="243"/>
        <v>58.696000000610582</v>
      </c>
      <c r="M648" s="236"/>
      <c r="N648" s="236"/>
    </row>
    <row r="649" spans="1:14" x14ac:dyDescent="0.3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  <c r="N649" s="236"/>
    </row>
    <row r="650" spans="1:14" x14ac:dyDescent="0.3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56" t="s">
        <v>35</v>
      </c>
      <c r="M650" s="236"/>
      <c r="N650" s="236"/>
    </row>
    <row r="651" spans="1:14" x14ac:dyDescent="0.3">
      <c r="A651" s="242"/>
      <c r="B651" s="250"/>
      <c r="C651" s="250"/>
      <c r="D651" s="250"/>
      <c r="E651" s="250"/>
      <c r="F651" s="250"/>
      <c r="G651" s="250"/>
      <c r="H651" s="250"/>
      <c r="I651" s="250"/>
      <c r="J651" s="250"/>
      <c r="K651" s="250"/>
      <c r="L651" s="236"/>
      <c r="M651" s="236"/>
      <c r="N651" s="236"/>
    </row>
    <row r="652" spans="1:14" x14ac:dyDescent="0.3">
      <c r="A652" s="241" t="str">
        <f>name!A41</f>
        <v>Postal and courier</v>
      </c>
      <c r="B652" s="373">
        <f>B$6</f>
        <v>2015</v>
      </c>
      <c r="C652" s="373"/>
      <c r="D652" s="373"/>
      <c r="E652" s="253"/>
      <c r="F652" s="373">
        <f>F635</f>
        <v>2020</v>
      </c>
      <c r="G652" s="373"/>
      <c r="H652" s="373"/>
      <c r="I652" s="253"/>
      <c r="J652" s="373">
        <f>J635</f>
        <v>2035</v>
      </c>
      <c r="K652" s="373"/>
      <c r="L652" s="373"/>
      <c r="M652" s="236"/>
      <c r="N652" s="236"/>
    </row>
    <row r="653" spans="1:14" x14ac:dyDescent="0.3">
      <c r="A653" s="254"/>
      <c r="B653" s="255" t="s">
        <v>352</v>
      </c>
      <c r="C653" s="255" t="s">
        <v>353</v>
      </c>
      <c r="D653" s="255" t="s">
        <v>32</v>
      </c>
      <c r="E653" s="255"/>
      <c r="F653" s="255" t="s">
        <v>352</v>
      </c>
      <c r="G653" s="255" t="s">
        <v>353</v>
      </c>
      <c r="H653" s="255" t="s">
        <v>32</v>
      </c>
      <c r="I653" s="255"/>
      <c r="J653" s="255" t="s">
        <v>352</v>
      </c>
      <c r="K653" s="255" t="s">
        <v>353</v>
      </c>
      <c r="L653" s="255" t="s">
        <v>32</v>
      </c>
      <c r="M653" s="236"/>
      <c r="N653" s="236"/>
    </row>
    <row r="654" spans="1:14" x14ac:dyDescent="0.3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  <c r="N654" s="236"/>
    </row>
    <row r="655" spans="1:14" x14ac:dyDescent="0.3">
      <c r="A655" s="237" t="str">
        <f>name!E$4</f>
        <v>Managers, directors and senior officials</v>
      </c>
      <c r="B655" s="302">
        <v>0.88034902167449891</v>
      </c>
      <c r="C655" s="302">
        <v>1.0405717265417584</v>
      </c>
      <c r="D655" s="302">
        <f>SUM(B655:C655)</f>
        <v>1.9209207482162574</v>
      </c>
      <c r="E655" s="303"/>
      <c r="F655" s="302">
        <v>1.6212706089903182</v>
      </c>
      <c r="G655" s="302">
        <v>1.240778411216682</v>
      </c>
      <c r="H655" s="302">
        <f>SUM(F655:G655)</f>
        <v>2.8620490202070004</v>
      </c>
      <c r="I655" s="303"/>
      <c r="J655" s="302">
        <v>2.015942621745614</v>
      </c>
      <c r="K655" s="302">
        <v>1.2237639754705616</v>
      </c>
      <c r="L655" s="302">
        <f>SUM(J655:K655)</f>
        <v>3.2397065972161756</v>
      </c>
      <c r="M655" s="236"/>
      <c r="N655" s="236"/>
    </row>
    <row r="656" spans="1:14" x14ac:dyDescent="0.3">
      <c r="A656" s="237" t="str">
        <f>name!E$5</f>
        <v>Professional occupations</v>
      </c>
      <c r="B656" s="302">
        <v>0.57820806681856651</v>
      </c>
      <c r="C656" s="302">
        <v>0.56825222308418777</v>
      </c>
      <c r="D656" s="302">
        <f t="shared" ref="D656:D663" si="244">SUM(B656:C656)</f>
        <v>1.1464602899027543</v>
      </c>
      <c r="E656" s="303"/>
      <c r="F656" s="302">
        <v>1.0275430432790045</v>
      </c>
      <c r="G656" s="302">
        <v>0.72444724627329915</v>
      </c>
      <c r="H656" s="302">
        <f t="shared" ref="H656:H663" si="245">SUM(F656:G656)</f>
        <v>1.7519902895523036</v>
      </c>
      <c r="I656" s="303"/>
      <c r="J656" s="302">
        <v>1.3230190932724291</v>
      </c>
      <c r="K656" s="302">
        <v>0.83494229376676099</v>
      </c>
      <c r="L656" s="302">
        <f t="shared" ref="L656:L663" si="246">SUM(J656:K656)</f>
        <v>2.1579613870391903</v>
      </c>
      <c r="M656" s="236"/>
      <c r="N656" s="236"/>
    </row>
    <row r="657" spans="1:14" x14ac:dyDescent="0.3">
      <c r="A657" s="237" t="str">
        <f>name!E$6</f>
        <v>Associate professional occupations</v>
      </c>
      <c r="B657" s="302">
        <v>0.68788005602331947</v>
      </c>
      <c r="C657" s="302">
        <v>0.68913377077301585</v>
      </c>
      <c r="D657" s="302">
        <f t="shared" si="244"/>
        <v>1.3770138267963352</v>
      </c>
      <c r="E657" s="303"/>
      <c r="F657" s="302">
        <v>0.99835890088762635</v>
      </c>
      <c r="G657" s="302">
        <v>0.77083838823430628</v>
      </c>
      <c r="H657" s="302">
        <f t="shared" si="245"/>
        <v>1.7691972891219327</v>
      </c>
      <c r="I657" s="303"/>
      <c r="J657" s="302">
        <v>1.1482790293685128</v>
      </c>
      <c r="K657" s="302">
        <v>0.78451682328396621</v>
      </c>
      <c r="L657" s="302">
        <f t="shared" si="246"/>
        <v>1.9327958526524789</v>
      </c>
      <c r="M657" s="236"/>
      <c r="N657" s="236"/>
    </row>
    <row r="658" spans="1:14" x14ac:dyDescent="0.3">
      <c r="A658" s="237" t="str">
        <f>name!E$7</f>
        <v>Administrative and secretarial occupations</v>
      </c>
      <c r="B658" s="302">
        <v>3.2264285463473406</v>
      </c>
      <c r="C658" s="302">
        <v>0.68404554553405517</v>
      </c>
      <c r="D658" s="302">
        <f t="shared" si="244"/>
        <v>3.9104740918813956</v>
      </c>
      <c r="E658" s="303"/>
      <c r="F658" s="302">
        <v>3.3905743238485528</v>
      </c>
      <c r="G658" s="302">
        <v>0.7596578603598747</v>
      </c>
      <c r="H658" s="302">
        <f t="shared" si="245"/>
        <v>4.1502321842084271</v>
      </c>
      <c r="I658" s="303"/>
      <c r="J658" s="302">
        <v>3.2439324698345406</v>
      </c>
      <c r="K658" s="302">
        <v>0.76518141864471934</v>
      </c>
      <c r="L658" s="302">
        <f t="shared" si="246"/>
        <v>4.0091138884792601</v>
      </c>
      <c r="M658" s="236"/>
      <c r="N658" s="236"/>
    </row>
    <row r="659" spans="1:14" x14ac:dyDescent="0.3">
      <c r="A659" s="237" t="str">
        <f>name!E$8</f>
        <v>Skilled trades occupations</v>
      </c>
      <c r="B659" s="302">
        <v>0.10284352411841227</v>
      </c>
      <c r="C659" s="302">
        <v>0.98626751689569392</v>
      </c>
      <c r="D659" s="302">
        <f t="shared" si="244"/>
        <v>1.0891110410141063</v>
      </c>
      <c r="E659" s="303"/>
      <c r="F659" s="302">
        <v>0.1391542300181976</v>
      </c>
      <c r="G659" s="302">
        <v>0.95319966883701868</v>
      </c>
      <c r="H659" s="302">
        <f t="shared" si="245"/>
        <v>1.0923538988552162</v>
      </c>
      <c r="I659" s="303"/>
      <c r="J659" s="302">
        <v>0.31708990355992678</v>
      </c>
      <c r="K659" s="302">
        <v>0.89461233146658192</v>
      </c>
      <c r="L659" s="302">
        <f t="shared" si="246"/>
        <v>1.2117022350265088</v>
      </c>
      <c r="M659" s="236"/>
      <c r="N659" s="236"/>
    </row>
    <row r="660" spans="1:14" x14ac:dyDescent="0.3">
      <c r="A660" s="237" t="str">
        <f>name!E$9</f>
        <v>Caring, leisure and other service occupations</v>
      </c>
      <c r="B660" s="302">
        <v>0.3578235859402909</v>
      </c>
      <c r="C660" s="302">
        <v>0.39021991036433562</v>
      </c>
      <c r="D660" s="302">
        <f t="shared" si="244"/>
        <v>0.74804349630462652</v>
      </c>
      <c r="E660" s="303"/>
      <c r="F660" s="302">
        <v>0.43510386817657098</v>
      </c>
      <c r="G660" s="302">
        <v>0.42606693967861525</v>
      </c>
      <c r="H660" s="302">
        <f t="shared" si="245"/>
        <v>0.86117080785518629</v>
      </c>
      <c r="I660" s="303"/>
      <c r="J660" s="302">
        <v>0.46744652619130173</v>
      </c>
      <c r="K660" s="302">
        <v>0.58419783367899447</v>
      </c>
      <c r="L660" s="302">
        <f t="shared" si="246"/>
        <v>1.0516443598702963</v>
      </c>
      <c r="M660" s="236"/>
      <c r="N660" s="236"/>
    </row>
    <row r="661" spans="1:14" x14ac:dyDescent="0.3">
      <c r="A661" s="237" t="str">
        <f>name!E$10</f>
        <v>Sales and customer service occupations</v>
      </c>
      <c r="B661" s="302">
        <v>0.98958191342345136</v>
      </c>
      <c r="C661" s="302">
        <v>0.38921997375272349</v>
      </c>
      <c r="D661" s="302">
        <f t="shared" si="244"/>
        <v>1.3788018871761749</v>
      </c>
      <c r="E661" s="303"/>
      <c r="F661" s="302">
        <v>1.067383222987534</v>
      </c>
      <c r="G661" s="302">
        <v>0.40237925290545329</v>
      </c>
      <c r="H661" s="302">
        <f t="shared" si="245"/>
        <v>1.4697624758929873</v>
      </c>
      <c r="I661" s="303"/>
      <c r="J661" s="302">
        <v>1.2787622867520116</v>
      </c>
      <c r="K661" s="302">
        <v>0.53252825749498256</v>
      </c>
      <c r="L661" s="302">
        <f t="shared" si="246"/>
        <v>1.8112905442469942</v>
      </c>
      <c r="M661" s="236"/>
      <c r="N661" s="236"/>
    </row>
    <row r="662" spans="1:14" x14ac:dyDescent="0.3">
      <c r="A662" s="237" t="str">
        <f>name!E$11</f>
        <v>Process, plant and machine operatives</v>
      </c>
      <c r="B662" s="302">
        <v>0.44629346922509228</v>
      </c>
      <c r="C662" s="302">
        <v>2.6501269370889977</v>
      </c>
      <c r="D662" s="302">
        <f t="shared" si="244"/>
        <v>3.0964204063140901</v>
      </c>
      <c r="E662" s="303"/>
      <c r="F662" s="302">
        <v>0.58644855390389805</v>
      </c>
      <c r="G662" s="302">
        <v>2.5623485676485389</v>
      </c>
      <c r="H662" s="302">
        <f t="shared" si="245"/>
        <v>3.1487971215524371</v>
      </c>
      <c r="I662" s="303"/>
      <c r="J662" s="302">
        <v>0.95301569223545957</v>
      </c>
      <c r="K662" s="302">
        <v>2.6534678484297745</v>
      </c>
      <c r="L662" s="302">
        <f t="shared" si="246"/>
        <v>3.6064835406652342</v>
      </c>
      <c r="M662" s="236"/>
      <c r="N662" s="236"/>
    </row>
    <row r="663" spans="1:14" x14ac:dyDescent="0.3">
      <c r="A663" s="237" t="str">
        <f>name!E$12</f>
        <v>Elementary occupations</v>
      </c>
      <c r="B663" s="302">
        <v>3.3195918165370455</v>
      </c>
      <c r="C663" s="302">
        <v>6.8111623960332635</v>
      </c>
      <c r="D663" s="302">
        <f t="shared" si="244"/>
        <v>10.130754212570309</v>
      </c>
      <c r="E663" s="303"/>
      <c r="F663" s="302">
        <v>3.2241632476706221</v>
      </c>
      <c r="G663" s="302">
        <v>5.9442836649971218</v>
      </c>
      <c r="H663" s="302">
        <f t="shared" si="245"/>
        <v>9.1684469126677435</v>
      </c>
      <c r="I663" s="303"/>
      <c r="J663" s="302">
        <v>3.1285123768830188</v>
      </c>
      <c r="K663" s="302">
        <v>5.9397892180851777</v>
      </c>
      <c r="L663" s="302">
        <f t="shared" si="246"/>
        <v>9.0683015949681973</v>
      </c>
      <c r="M663" s="236"/>
      <c r="N663" s="236"/>
    </row>
    <row r="664" spans="1:14" x14ac:dyDescent="0.3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  <c r="N664" s="236"/>
    </row>
    <row r="665" spans="1:14" x14ac:dyDescent="0.3">
      <c r="A665" s="244" t="s">
        <v>32</v>
      </c>
      <c r="B665" s="311">
        <f>SUM(B655:B663)</f>
        <v>10.589000000108019</v>
      </c>
      <c r="C665" s="311">
        <f t="shared" ref="C665:D665" si="247">SUM(C655:C663)</f>
        <v>14.209000000068031</v>
      </c>
      <c r="D665" s="311">
        <f t="shared" si="247"/>
        <v>24.798000000176053</v>
      </c>
      <c r="E665" s="311"/>
      <c r="F665" s="311">
        <f t="shared" ref="F665:H665" si="248">SUM(F655:F663)</f>
        <v>12.489999999762325</v>
      </c>
      <c r="G665" s="311">
        <f t="shared" si="248"/>
        <v>13.784000000150909</v>
      </c>
      <c r="H665" s="311">
        <f t="shared" si="248"/>
        <v>26.273999999913233</v>
      </c>
      <c r="I665" s="311"/>
      <c r="J665" s="311">
        <f t="shared" ref="J665:L665" si="249">SUM(J655:J663)</f>
        <v>13.875999999842811</v>
      </c>
      <c r="K665" s="311">
        <f t="shared" si="249"/>
        <v>14.21300000032152</v>
      </c>
      <c r="L665" s="311">
        <f t="shared" si="249"/>
        <v>28.089000000164337</v>
      </c>
      <c r="M665" s="236"/>
      <c r="N665" s="236"/>
    </row>
    <row r="666" spans="1:14" x14ac:dyDescent="0.3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  <c r="N666" s="236"/>
    </row>
    <row r="667" spans="1:14" x14ac:dyDescent="0.3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56" t="s">
        <v>35</v>
      </c>
      <c r="M667" s="236"/>
      <c r="N667" s="236"/>
    </row>
    <row r="668" spans="1:14" x14ac:dyDescent="0.3">
      <c r="A668" s="242"/>
      <c r="B668" s="250"/>
      <c r="C668" s="250"/>
      <c r="D668" s="250"/>
      <c r="E668" s="250"/>
      <c r="F668" s="250"/>
      <c r="G668" s="250"/>
      <c r="H668" s="250"/>
      <c r="I668" s="250"/>
      <c r="J668" s="250"/>
      <c r="K668" s="250"/>
      <c r="L668" s="236"/>
      <c r="M668" s="236"/>
      <c r="N668" s="236"/>
    </row>
    <row r="669" spans="1:14" x14ac:dyDescent="0.3">
      <c r="A669" s="241" t="str">
        <f>name!A42</f>
        <v>Accommodation</v>
      </c>
      <c r="B669" s="373">
        <f>B$6</f>
        <v>2015</v>
      </c>
      <c r="C669" s="373"/>
      <c r="D669" s="373"/>
      <c r="E669" s="253"/>
      <c r="F669" s="373">
        <f>F652</f>
        <v>2020</v>
      </c>
      <c r="G669" s="373"/>
      <c r="H669" s="373"/>
      <c r="I669" s="253"/>
      <c r="J669" s="373">
        <f>J652</f>
        <v>2035</v>
      </c>
      <c r="K669" s="373"/>
      <c r="L669" s="373"/>
      <c r="M669" s="236"/>
      <c r="N669" s="236"/>
    </row>
    <row r="670" spans="1:14" x14ac:dyDescent="0.3">
      <c r="A670" s="254"/>
      <c r="B670" s="255" t="s">
        <v>352</v>
      </c>
      <c r="C670" s="255" t="s">
        <v>353</v>
      </c>
      <c r="D670" s="255" t="s">
        <v>32</v>
      </c>
      <c r="E670" s="255"/>
      <c r="F670" s="255" t="s">
        <v>352</v>
      </c>
      <c r="G670" s="255" t="s">
        <v>353</v>
      </c>
      <c r="H670" s="255" t="s">
        <v>32</v>
      </c>
      <c r="I670" s="255"/>
      <c r="J670" s="255" t="s">
        <v>352</v>
      </c>
      <c r="K670" s="255" t="s">
        <v>353</v>
      </c>
      <c r="L670" s="255" t="s">
        <v>32</v>
      </c>
      <c r="M670" s="236"/>
      <c r="N670" s="236"/>
    </row>
    <row r="671" spans="1:14" x14ac:dyDescent="0.3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  <c r="N671" s="236"/>
    </row>
    <row r="672" spans="1:14" x14ac:dyDescent="0.3">
      <c r="A672" s="237" t="str">
        <f>name!E$4</f>
        <v>Managers, directors and senior officials</v>
      </c>
      <c r="B672" s="302">
        <v>1.1125210350368462</v>
      </c>
      <c r="C672" s="302">
        <v>2.277251716813836</v>
      </c>
      <c r="D672" s="302">
        <f>SUM(B672:C672)</f>
        <v>3.3897727518506819</v>
      </c>
      <c r="E672" s="303"/>
      <c r="F672" s="302">
        <v>2.0048882228943743</v>
      </c>
      <c r="G672" s="302">
        <v>2.5340416459242161</v>
      </c>
      <c r="H672" s="302">
        <f>SUM(F672:G672)</f>
        <v>4.53892986881859</v>
      </c>
      <c r="I672" s="303"/>
      <c r="J672" s="302">
        <v>2.7640702091901526</v>
      </c>
      <c r="K672" s="302">
        <v>3.6438591787893975</v>
      </c>
      <c r="L672" s="302">
        <f>SUM(J672:K672)</f>
        <v>6.40792938797955</v>
      </c>
      <c r="M672" s="236"/>
      <c r="N672" s="236"/>
    </row>
    <row r="673" spans="1:14" x14ac:dyDescent="0.3">
      <c r="A673" s="237" t="str">
        <f>name!E$5</f>
        <v>Professional occupations</v>
      </c>
      <c r="B673" s="302">
        <v>0.4580289137112703</v>
      </c>
      <c r="C673" s="302">
        <v>0.51133092408427083</v>
      </c>
      <c r="D673" s="302">
        <f t="shared" ref="D673:D680" si="250">SUM(B673:C673)</f>
        <v>0.96935983779554113</v>
      </c>
      <c r="E673" s="303"/>
      <c r="F673" s="302">
        <v>0.61899416147686093</v>
      </c>
      <c r="G673" s="302">
        <v>0.58014624423584837</v>
      </c>
      <c r="H673" s="302">
        <f t="shared" ref="H673:H680" si="251">SUM(F673:G673)</f>
        <v>1.1991404057127093</v>
      </c>
      <c r="I673" s="303"/>
      <c r="J673" s="302">
        <v>0.80439296347209777</v>
      </c>
      <c r="K673" s="302">
        <v>0.71633581045373285</v>
      </c>
      <c r="L673" s="302">
        <f t="shared" ref="L673:L680" si="252">SUM(J673:K673)</f>
        <v>1.5207287739258306</v>
      </c>
      <c r="M673" s="236"/>
      <c r="N673" s="236"/>
    </row>
    <row r="674" spans="1:14" x14ac:dyDescent="0.3">
      <c r="A674" s="237" t="str">
        <f>name!E$6</f>
        <v>Associate professional occupations</v>
      </c>
      <c r="B674" s="302">
        <v>0.67844577632729874</v>
      </c>
      <c r="C674" s="302">
        <v>0.4238539474245463</v>
      </c>
      <c r="D674" s="302">
        <f t="shared" si="250"/>
        <v>1.102299723751845</v>
      </c>
      <c r="E674" s="303"/>
      <c r="F674" s="302">
        <v>0.86433615475801606</v>
      </c>
      <c r="G674" s="302">
        <v>0.4420082849363221</v>
      </c>
      <c r="H674" s="302">
        <f t="shared" si="251"/>
        <v>1.3063444396943382</v>
      </c>
      <c r="I674" s="303"/>
      <c r="J674" s="302">
        <v>1.2016382145245463</v>
      </c>
      <c r="K674" s="302">
        <v>0.47822140802201146</v>
      </c>
      <c r="L674" s="302">
        <f t="shared" si="252"/>
        <v>1.6798596225465579</v>
      </c>
      <c r="M674" s="236"/>
      <c r="N674" s="236"/>
    </row>
    <row r="675" spans="1:14" x14ac:dyDescent="0.3">
      <c r="A675" s="237" t="str">
        <f>name!E$7</f>
        <v>Administrative and secretarial occupations</v>
      </c>
      <c r="B675" s="302">
        <v>1.6076324201252363</v>
      </c>
      <c r="C675" s="302">
        <v>0.34888496506270728</v>
      </c>
      <c r="D675" s="302">
        <f t="shared" si="250"/>
        <v>1.9565173851879436</v>
      </c>
      <c r="E675" s="303"/>
      <c r="F675" s="302">
        <v>1.4255495798419666</v>
      </c>
      <c r="G675" s="302">
        <v>0.36689686023006063</v>
      </c>
      <c r="H675" s="302">
        <f t="shared" si="251"/>
        <v>1.7924464400720272</v>
      </c>
      <c r="I675" s="303"/>
      <c r="J675" s="302">
        <v>1.6159907780008813</v>
      </c>
      <c r="K675" s="302">
        <v>0.51395824859989581</v>
      </c>
      <c r="L675" s="302">
        <f t="shared" si="252"/>
        <v>2.129949026600777</v>
      </c>
      <c r="M675" s="236"/>
      <c r="N675" s="236"/>
    </row>
    <row r="676" spans="1:14" x14ac:dyDescent="0.3">
      <c r="A676" s="237" t="str">
        <f>name!E$8</f>
        <v>Skilled trades occupations</v>
      </c>
      <c r="B676" s="302">
        <v>1.8465203355459383</v>
      </c>
      <c r="C676" s="302">
        <v>4.9964491269886029</v>
      </c>
      <c r="D676" s="302">
        <f t="shared" si="250"/>
        <v>6.8429694625345414</v>
      </c>
      <c r="E676" s="303"/>
      <c r="F676" s="302">
        <v>1.9713261633718933</v>
      </c>
      <c r="G676" s="302">
        <v>3.177270660015469</v>
      </c>
      <c r="H676" s="302">
        <f t="shared" si="251"/>
        <v>5.1485968233873622</v>
      </c>
      <c r="I676" s="303"/>
      <c r="J676" s="302">
        <v>1.9140594614022606</v>
      </c>
      <c r="K676" s="302">
        <v>3.2574778827219477</v>
      </c>
      <c r="L676" s="302">
        <f t="shared" si="252"/>
        <v>5.1715373441242081</v>
      </c>
      <c r="M676" s="236"/>
      <c r="N676" s="236"/>
    </row>
    <row r="677" spans="1:14" x14ac:dyDescent="0.3">
      <c r="A677" s="237" t="str">
        <f>name!E$9</f>
        <v>Caring, leisure and other service occupations</v>
      </c>
      <c r="B677" s="302">
        <v>1.3927790328370713</v>
      </c>
      <c r="C677" s="302">
        <v>0.24352101785074445</v>
      </c>
      <c r="D677" s="302">
        <f t="shared" si="250"/>
        <v>1.6363000506878158</v>
      </c>
      <c r="E677" s="303"/>
      <c r="F677" s="302">
        <v>1.4576834102189435</v>
      </c>
      <c r="G677" s="302">
        <v>0.28545410617458455</v>
      </c>
      <c r="H677" s="302">
        <f t="shared" si="251"/>
        <v>1.7431375163935281</v>
      </c>
      <c r="I677" s="303"/>
      <c r="J677" s="302">
        <v>1.8498833646964394</v>
      </c>
      <c r="K677" s="302">
        <v>0.35137631174601208</v>
      </c>
      <c r="L677" s="302">
        <f t="shared" si="252"/>
        <v>2.2012596764424517</v>
      </c>
      <c r="M677" s="236"/>
      <c r="N677" s="236"/>
    </row>
    <row r="678" spans="1:14" x14ac:dyDescent="0.3">
      <c r="A678" s="237" t="str">
        <f>name!E$10</f>
        <v>Sales and customer service occupations</v>
      </c>
      <c r="B678" s="302">
        <v>1.2762729880452068</v>
      </c>
      <c r="C678" s="302">
        <v>0.89022777536604547</v>
      </c>
      <c r="D678" s="302">
        <f t="shared" si="250"/>
        <v>2.1665007634112525</v>
      </c>
      <c r="E678" s="303"/>
      <c r="F678" s="302">
        <v>1.7303547011510387</v>
      </c>
      <c r="G678" s="302">
        <v>1.1586934379364042</v>
      </c>
      <c r="H678" s="302">
        <f t="shared" si="251"/>
        <v>2.8890481390874427</v>
      </c>
      <c r="I678" s="303"/>
      <c r="J678" s="302">
        <v>2.3674177128872835</v>
      </c>
      <c r="K678" s="302">
        <v>1.3544357738100521</v>
      </c>
      <c r="L678" s="302">
        <f t="shared" si="252"/>
        <v>3.7218534866973356</v>
      </c>
      <c r="M678" s="236"/>
      <c r="N678" s="236"/>
    </row>
    <row r="679" spans="1:14" x14ac:dyDescent="0.3">
      <c r="A679" s="237" t="str">
        <f>name!E$11</f>
        <v>Process, plant and machine operatives</v>
      </c>
      <c r="B679" s="302">
        <v>0.2512704446528834</v>
      </c>
      <c r="C679" s="302">
        <v>0.66225319800115656</v>
      </c>
      <c r="D679" s="302">
        <f t="shared" si="250"/>
        <v>0.91352364265403996</v>
      </c>
      <c r="E679" s="303"/>
      <c r="F679" s="302">
        <v>0.20401169693254245</v>
      </c>
      <c r="G679" s="302">
        <v>0.72961954122884254</v>
      </c>
      <c r="H679" s="302">
        <f t="shared" si="251"/>
        <v>0.93363123816138494</v>
      </c>
      <c r="I679" s="303"/>
      <c r="J679" s="302">
        <v>0.47064413008132527</v>
      </c>
      <c r="K679" s="302">
        <v>0.99326378824153894</v>
      </c>
      <c r="L679" s="302">
        <f t="shared" si="252"/>
        <v>1.4639079183228643</v>
      </c>
      <c r="M679" s="236"/>
      <c r="N679" s="236"/>
    </row>
    <row r="680" spans="1:14" x14ac:dyDescent="0.3">
      <c r="A680" s="237" t="str">
        <f>name!E$12</f>
        <v>Elementary occupations</v>
      </c>
      <c r="B680" s="302">
        <v>12.126529054169415</v>
      </c>
      <c r="C680" s="302">
        <v>5.0922273284891144</v>
      </c>
      <c r="D680" s="302">
        <f t="shared" si="250"/>
        <v>17.21875638265853</v>
      </c>
      <c r="E680" s="303"/>
      <c r="F680" s="302">
        <v>13.910855909169502</v>
      </c>
      <c r="G680" s="302">
        <v>5.1258692193790614</v>
      </c>
      <c r="H680" s="302">
        <f t="shared" si="251"/>
        <v>19.036725128548564</v>
      </c>
      <c r="I680" s="303"/>
      <c r="J680" s="302">
        <v>17.094903165357827</v>
      </c>
      <c r="K680" s="302">
        <v>5.7460715976835415</v>
      </c>
      <c r="L680" s="302">
        <f t="shared" si="252"/>
        <v>22.84097476304137</v>
      </c>
      <c r="M680" s="236"/>
      <c r="N680" s="236"/>
    </row>
    <row r="681" spans="1:14" x14ac:dyDescent="0.3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  <c r="N681" s="236"/>
    </row>
    <row r="682" spans="1:14" x14ac:dyDescent="0.3">
      <c r="A682" s="244" t="s">
        <v>32</v>
      </c>
      <c r="B682" s="311">
        <f>SUM(B672:B680)</f>
        <v>20.750000000451166</v>
      </c>
      <c r="C682" s="311">
        <f t="shared" ref="C682:D682" si="253">SUM(C672:C680)</f>
        <v>15.446000000081023</v>
      </c>
      <c r="D682" s="311">
        <f t="shared" si="253"/>
        <v>36.196000000532194</v>
      </c>
      <c r="E682" s="311"/>
      <c r="F682" s="311">
        <f t="shared" ref="F682:H682" si="254">SUM(F672:F680)</f>
        <v>24.18799999981514</v>
      </c>
      <c r="G682" s="311">
        <f t="shared" si="254"/>
        <v>14.40000000006081</v>
      </c>
      <c r="H682" s="311">
        <f t="shared" si="254"/>
        <v>38.587999999875947</v>
      </c>
      <c r="I682" s="311"/>
      <c r="J682" s="311">
        <f t="shared" ref="J682:L682" si="255">SUM(J672:J680)</f>
        <v>30.082999999612817</v>
      </c>
      <c r="K682" s="311">
        <f t="shared" si="255"/>
        <v>17.05500000006813</v>
      </c>
      <c r="L682" s="311">
        <f t="shared" si="255"/>
        <v>47.137999999680943</v>
      </c>
      <c r="M682" s="236"/>
      <c r="N682" s="236"/>
    </row>
    <row r="683" spans="1:14" x14ac:dyDescent="0.3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  <c r="N683" s="236"/>
    </row>
    <row r="684" spans="1:14" x14ac:dyDescent="0.3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56" t="s">
        <v>35</v>
      </c>
      <c r="M684" s="236"/>
      <c r="N684" s="236"/>
    </row>
    <row r="685" spans="1:14" x14ac:dyDescent="0.3">
      <c r="A685" s="242"/>
      <c r="B685" s="250"/>
      <c r="C685" s="250"/>
      <c r="D685" s="250"/>
      <c r="E685" s="250"/>
      <c r="F685" s="250"/>
      <c r="G685" s="250"/>
      <c r="H685" s="250"/>
      <c r="I685" s="250"/>
      <c r="J685" s="250"/>
      <c r="K685" s="250"/>
      <c r="L685" s="236"/>
      <c r="M685" s="236"/>
      <c r="N685" s="236"/>
    </row>
    <row r="686" spans="1:14" x14ac:dyDescent="0.3">
      <c r="A686" s="241" t="str">
        <f>name!A43</f>
        <v>Food and beverage services</v>
      </c>
      <c r="B686" s="373">
        <f>B$6</f>
        <v>2015</v>
      </c>
      <c r="C686" s="373"/>
      <c r="D686" s="373"/>
      <c r="E686" s="253"/>
      <c r="F686" s="373">
        <f>F669</f>
        <v>2020</v>
      </c>
      <c r="G686" s="373"/>
      <c r="H686" s="373"/>
      <c r="I686" s="253"/>
      <c r="J686" s="373">
        <f>J669</f>
        <v>2035</v>
      </c>
      <c r="K686" s="373"/>
      <c r="L686" s="373"/>
      <c r="M686" s="236"/>
      <c r="N686" s="236"/>
    </row>
    <row r="687" spans="1:14" x14ac:dyDescent="0.3">
      <c r="A687" s="254"/>
      <c r="B687" s="255" t="s">
        <v>352</v>
      </c>
      <c r="C687" s="255" t="s">
        <v>353</v>
      </c>
      <c r="D687" s="255" t="s">
        <v>32</v>
      </c>
      <c r="E687" s="255"/>
      <c r="F687" s="255" t="s">
        <v>352</v>
      </c>
      <c r="G687" s="255" t="s">
        <v>353</v>
      </c>
      <c r="H687" s="255" t="s">
        <v>32</v>
      </c>
      <c r="I687" s="255"/>
      <c r="J687" s="255" t="s">
        <v>352</v>
      </c>
      <c r="K687" s="255" t="s">
        <v>353</v>
      </c>
      <c r="L687" s="255" t="s">
        <v>32</v>
      </c>
      <c r="M687" s="236"/>
      <c r="N687" s="236"/>
    </row>
    <row r="688" spans="1:14" x14ac:dyDescent="0.3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  <c r="N688" s="236"/>
    </row>
    <row r="689" spans="1:14" x14ac:dyDescent="0.3">
      <c r="A689" s="237" t="str">
        <f>name!E$4</f>
        <v>Managers, directors and senior officials</v>
      </c>
      <c r="B689" s="302">
        <v>2.9948600142447375</v>
      </c>
      <c r="C689" s="302">
        <v>8.1865148405579173</v>
      </c>
      <c r="D689" s="302">
        <f>SUM(B689:C689)</f>
        <v>11.181374854802655</v>
      </c>
      <c r="E689" s="303"/>
      <c r="F689" s="302">
        <v>5.5279707584169442</v>
      </c>
      <c r="G689" s="302">
        <v>9.0778109929400088</v>
      </c>
      <c r="H689" s="302">
        <f>SUM(F689:G689)</f>
        <v>14.605781751356954</v>
      </c>
      <c r="I689" s="303"/>
      <c r="J689" s="302">
        <v>7.2394318681225425</v>
      </c>
      <c r="K689" s="302">
        <v>13.087303486540122</v>
      </c>
      <c r="L689" s="302">
        <f>SUM(J689:K689)</f>
        <v>20.326735354662667</v>
      </c>
      <c r="M689" s="236"/>
      <c r="N689" s="236"/>
    </row>
    <row r="690" spans="1:14" x14ac:dyDescent="0.3">
      <c r="A690" s="237" t="str">
        <f>name!E$5</f>
        <v>Professional occupations</v>
      </c>
      <c r="B690" s="302">
        <v>1.3653858174761948</v>
      </c>
      <c r="C690" s="302">
        <v>1.7726639755700357</v>
      </c>
      <c r="D690" s="302">
        <f t="shared" ref="D690:D697" si="256">SUM(B690:C690)</f>
        <v>3.1380497930462306</v>
      </c>
      <c r="E690" s="303"/>
      <c r="F690" s="302">
        <v>2.372597372983305</v>
      </c>
      <c r="G690" s="302">
        <v>2.4749512109382841</v>
      </c>
      <c r="H690" s="302">
        <f t="shared" ref="H690:H697" si="257">SUM(F690:G690)</f>
        <v>4.847548583921589</v>
      </c>
      <c r="I690" s="303"/>
      <c r="J690" s="302">
        <v>3.0388958875708054</v>
      </c>
      <c r="K690" s="302">
        <v>3.1950972005955034</v>
      </c>
      <c r="L690" s="302">
        <f t="shared" ref="L690:L697" si="258">SUM(J690:K690)</f>
        <v>6.2339930881663088</v>
      </c>
      <c r="M690" s="236"/>
      <c r="N690" s="236"/>
    </row>
    <row r="691" spans="1:14" x14ac:dyDescent="0.3">
      <c r="A691" s="237" t="str">
        <f>name!E$6</f>
        <v>Associate professional occupations</v>
      </c>
      <c r="B691" s="302">
        <v>2.2755836323975274</v>
      </c>
      <c r="C691" s="302">
        <v>1.6533412510595875</v>
      </c>
      <c r="D691" s="302">
        <f t="shared" si="256"/>
        <v>3.9289248834571149</v>
      </c>
      <c r="E691" s="303"/>
      <c r="F691" s="302">
        <v>3.3895041362234752</v>
      </c>
      <c r="G691" s="302">
        <v>2.1135759864212713</v>
      </c>
      <c r="H691" s="302">
        <f t="shared" si="257"/>
        <v>5.5030801226447466</v>
      </c>
      <c r="I691" s="303"/>
      <c r="J691" s="302">
        <v>4.4198980400393246</v>
      </c>
      <c r="K691" s="302">
        <v>2.3495730781990871</v>
      </c>
      <c r="L691" s="302">
        <f t="shared" si="258"/>
        <v>6.7694711182384122</v>
      </c>
      <c r="M691" s="236"/>
      <c r="N691" s="236"/>
    </row>
    <row r="692" spans="1:14" x14ac:dyDescent="0.3">
      <c r="A692" s="237" t="str">
        <f>name!E$7</f>
        <v>Administrative and secretarial occupations</v>
      </c>
      <c r="B692" s="302">
        <v>4.7709242056867529</v>
      </c>
      <c r="C692" s="302">
        <v>1.5439751628774045</v>
      </c>
      <c r="D692" s="302">
        <f t="shared" si="256"/>
        <v>6.3148993685641575</v>
      </c>
      <c r="E692" s="303"/>
      <c r="F692" s="302">
        <v>5.754543840741011</v>
      </c>
      <c r="G692" s="302">
        <v>2.0148763515120858</v>
      </c>
      <c r="H692" s="302">
        <f t="shared" si="257"/>
        <v>7.7694201922530972</v>
      </c>
      <c r="I692" s="303"/>
      <c r="J692" s="302">
        <v>6.2913296539273968</v>
      </c>
      <c r="K692" s="302">
        <v>2.7124868916706784</v>
      </c>
      <c r="L692" s="302">
        <f t="shared" si="258"/>
        <v>9.0038165455980756</v>
      </c>
      <c r="M692" s="236"/>
      <c r="N692" s="236"/>
    </row>
    <row r="693" spans="1:14" x14ac:dyDescent="0.3">
      <c r="A693" s="237" t="str">
        <f>name!E$8</f>
        <v>Skilled trades occupations</v>
      </c>
      <c r="B693" s="302">
        <v>5.653064792439972</v>
      </c>
      <c r="C693" s="302">
        <v>18.925367769041706</v>
      </c>
      <c r="D693" s="302">
        <f t="shared" si="256"/>
        <v>24.578432561481677</v>
      </c>
      <c r="E693" s="303"/>
      <c r="F693" s="302">
        <v>6.5918206547506744</v>
      </c>
      <c r="G693" s="302">
        <v>14.722419915562869</v>
      </c>
      <c r="H693" s="302">
        <f t="shared" si="257"/>
        <v>21.314240570313544</v>
      </c>
      <c r="I693" s="303"/>
      <c r="J693" s="302">
        <v>5.7365133895290539</v>
      </c>
      <c r="K693" s="302">
        <v>15.156419823948445</v>
      </c>
      <c r="L693" s="302">
        <f t="shared" si="258"/>
        <v>20.892933213477498</v>
      </c>
      <c r="M693" s="236"/>
      <c r="N693" s="236"/>
    </row>
    <row r="694" spans="1:14" x14ac:dyDescent="0.3">
      <c r="A694" s="237" t="str">
        <f>name!E$9</f>
        <v>Caring, leisure and other service occupations</v>
      </c>
      <c r="B694" s="302">
        <v>4.8697778173902151</v>
      </c>
      <c r="C694" s="302">
        <v>1.1891430251182615</v>
      </c>
      <c r="D694" s="302">
        <f t="shared" si="256"/>
        <v>6.0589208425084768</v>
      </c>
      <c r="E694" s="303"/>
      <c r="F694" s="302">
        <v>5.4965467212222308</v>
      </c>
      <c r="G694" s="302">
        <v>1.4785781075738194</v>
      </c>
      <c r="H694" s="302">
        <f t="shared" si="257"/>
        <v>6.9751248287960497</v>
      </c>
      <c r="I694" s="303"/>
      <c r="J694" s="302">
        <v>6.3228105759261481</v>
      </c>
      <c r="K694" s="302">
        <v>1.7007377565586144</v>
      </c>
      <c r="L694" s="302">
        <f t="shared" si="258"/>
        <v>8.0235483324847632</v>
      </c>
      <c r="M694" s="236"/>
      <c r="N694" s="236"/>
    </row>
    <row r="695" spans="1:14" x14ac:dyDescent="0.3">
      <c r="A695" s="237" t="str">
        <f>name!E$10</f>
        <v>Sales and customer service occupations</v>
      </c>
      <c r="B695" s="302">
        <v>4.9427339211582799</v>
      </c>
      <c r="C695" s="302">
        <v>5.1035829733189306</v>
      </c>
      <c r="D695" s="302">
        <f t="shared" si="256"/>
        <v>10.046316894477211</v>
      </c>
      <c r="E695" s="303"/>
      <c r="F695" s="302">
        <v>6.2715905154834939</v>
      </c>
      <c r="G695" s="302">
        <v>5.7838795834537979</v>
      </c>
      <c r="H695" s="302">
        <f t="shared" si="257"/>
        <v>12.055470098937292</v>
      </c>
      <c r="I695" s="303"/>
      <c r="J695" s="302">
        <v>7.9206758352939834</v>
      </c>
      <c r="K695" s="302">
        <v>6.7459916612358883</v>
      </c>
      <c r="L695" s="302">
        <f t="shared" si="258"/>
        <v>14.666667496529872</v>
      </c>
      <c r="M695" s="236"/>
      <c r="N695" s="236"/>
    </row>
    <row r="696" spans="1:14" x14ac:dyDescent="0.3">
      <c r="A696" s="237" t="str">
        <f>name!E$11</f>
        <v>Process, plant and machine operatives</v>
      </c>
      <c r="B696" s="302">
        <v>0.81279197879391785</v>
      </c>
      <c r="C696" s="302">
        <v>3.4145615510642666</v>
      </c>
      <c r="D696" s="302">
        <f t="shared" si="256"/>
        <v>4.2273535298581848</v>
      </c>
      <c r="E696" s="303"/>
      <c r="F696" s="302">
        <v>0.78790686864160453</v>
      </c>
      <c r="G696" s="302">
        <v>4.0191978344365307</v>
      </c>
      <c r="H696" s="302">
        <f t="shared" si="257"/>
        <v>4.8071047030781351</v>
      </c>
      <c r="I696" s="303"/>
      <c r="J696" s="302">
        <v>1.6864939891964663</v>
      </c>
      <c r="K696" s="302">
        <v>5.3844491485370778</v>
      </c>
      <c r="L696" s="302">
        <f t="shared" si="258"/>
        <v>7.0709431377335443</v>
      </c>
      <c r="M696" s="236"/>
      <c r="N696" s="236"/>
    </row>
    <row r="697" spans="1:14" x14ac:dyDescent="0.3">
      <c r="A697" s="237" t="str">
        <f>name!E$12</f>
        <v>Elementary occupations</v>
      </c>
      <c r="B697" s="302">
        <v>50.77687782245475</v>
      </c>
      <c r="C697" s="302">
        <v>30.664849452001366</v>
      </c>
      <c r="D697" s="302">
        <f t="shared" si="256"/>
        <v>81.441727274456113</v>
      </c>
      <c r="E697" s="303"/>
      <c r="F697" s="302">
        <v>55.139519130979252</v>
      </c>
      <c r="G697" s="302">
        <v>31.088710017397595</v>
      </c>
      <c r="H697" s="302">
        <f t="shared" si="257"/>
        <v>86.22822914837684</v>
      </c>
      <c r="I697" s="303"/>
      <c r="J697" s="302">
        <v>60.578950759064782</v>
      </c>
      <c r="K697" s="302">
        <v>33.313940952941458</v>
      </c>
      <c r="L697" s="302">
        <f t="shared" si="258"/>
        <v>93.892891712006247</v>
      </c>
      <c r="M697" s="236"/>
      <c r="N697" s="236"/>
    </row>
    <row r="698" spans="1:14" x14ac:dyDescent="0.3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  <c r="N698" s="236"/>
    </row>
    <row r="699" spans="1:14" x14ac:dyDescent="0.3">
      <c r="A699" s="244" t="s">
        <v>32</v>
      </c>
      <c r="B699" s="311">
        <f>SUM(B689:B697)</f>
        <v>78.462000002042345</v>
      </c>
      <c r="C699" s="311">
        <f t="shared" ref="C699:D699" si="259">SUM(C689:C697)</f>
        <v>72.454000000609469</v>
      </c>
      <c r="D699" s="311">
        <f t="shared" si="259"/>
        <v>150.9160000026518</v>
      </c>
      <c r="E699" s="311"/>
      <c r="F699" s="311">
        <f t="shared" ref="F699:H699" si="260">SUM(F689:F697)</f>
        <v>91.33199999944199</v>
      </c>
      <c r="G699" s="311">
        <f t="shared" si="260"/>
        <v>72.774000000236271</v>
      </c>
      <c r="H699" s="311">
        <f t="shared" si="260"/>
        <v>164.10599999967826</v>
      </c>
      <c r="I699" s="311"/>
      <c r="J699" s="311">
        <f t="shared" ref="J699:L699" si="261">SUM(J689:J697)</f>
        <v>103.2349999986705</v>
      </c>
      <c r="K699" s="311">
        <f t="shared" si="261"/>
        <v>83.646000000226877</v>
      </c>
      <c r="L699" s="311">
        <f t="shared" si="261"/>
        <v>186.88099999889738</v>
      </c>
      <c r="M699" s="236"/>
      <c r="N699" s="236"/>
    </row>
    <row r="700" spans="1:14" x14ac:dyDescent="0.3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  <c r="N700" s="236"/>
    </row>
    <row r="701" spans="1:14" x14ac:dyDescent="0.3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56" t="s">
        <v>35</v>
      </c>
      <c r="M701" s="236"/>
      <c r="N701" s="236"/>
    </row>
    <row r="702" spans="1:14" x14ac:dyDescent="0.3">
      <c r="A702" s="242"/>
      <c r="B702" s="250"/>
      <c r="C702" s="250"/>
      <c r="D702" s="250"/>
      <c r="E702" s="250"/>
      <c r="F702" s="250"/>
      <c r="G702" s="250"/>
      <c r="H702" s="250"/>
      <c r="I702" s="250"/>
      <c r="J702" s="250"/>
      <c r="K702" s="250"/>
      <c r="L702" s="236"/>
      <c r="M702" s="236"/>
      <c r="N702" s="236"/>
    </row>
    <row r="703" spans="1:14" x14ac:dyDescent="0.3">
      <c r="A703" s="241" t="str">
        <f>name!A44</f>
        <v>Publishing activities</v>
      </c>
      <c r="B703" s="373">
        <f>B$6</f>
        <v>2015</v>
      </c>
      <c r="C703" s="373"/>
      <c r="D703" s="373"/>
      <c r="E703" s="253"/>
      <c r="F703" s="373">
        <f>F686</f>
        <v>2020</v>
      </c>
      <c r="G703" s="373"/>
      <c r="H703" s="373"/>
      <c r="I703" s="253"/>
      <c r="J703" s="373">
        <f>J686</f>
        <v>2035</v>
      </c>
      <c r="K703" s="373"/>
      <c r="L703" s="373"/>
      <c r="M703" s="236"/>
      <c r="N703" s="236"/>
    </row>
    <row r="704" spans="1:14" x14ac:dyDescent="0.3">
      <c r="A704" s="254"/>
      <c r="B704" s="255" t="s">
        <v>352</v>
      </c>
      <c r="C704" s="255" t="s">
        <v>353</v>
      </c>
      <c r="D704" s="255" t="s">
        <v>32</v>
      </c>
      <c r="E704" s="255"/>
      <c r="F704" s="255" t="s">
        <v>352</v>
      </c>
      <c r="G704" s="255" t="s">
        <v>353</v>
      </c>
      <c r="H704" s="255" t="s">
        <v>32</v>
      </c>
      <c r="I704" s="255"/>
      <c r="J704" s="255" t="s">
        <v>352</v>
      </c>
      <c r="K704" s="255" t="s">
        <v>353</v>
      </c>
      <c r="L704" s="255" t="s">
        <v>32</v>
      </c>
      <c r="M704" s="236"/>
      <c r="N704" s="236"/>
    </row>
    <row r="705" spans="1:14" x14ac:dyDescent="0.3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  <c r="N705" s="236"/>
    </row>
    <row r="706" spans="1:14" x14ac:dyDescent="0.3">
      <c r="A706" s="237" t="str">
        <f>name!E$4</f>
        <v>Managers, directors and senior officials</v>
      </c>
      <c r="B706" s="302">
        <v>1.0533012019051631</v>
      </c>
      <c r="C706" s="302">
        <v>2.4566221403872799</v>
      </c>
      <c r="D706" s="302">
        <f>SUM(B706:C706)</f>
        <v>3.509923342292443</v>
      </c>
      <c r="E706" s="303"/>
      <c r="F706" s="302">
        <v>1.1465372967641032</v>
      </c>
      <c r="G706" s="302">
        <v>2.4693966803970611</v>
      </c>
      <c r="H706" s="302">
        <f>SUM(F706:G706)</f>
        <v>3.6159339771611645</v>
      </c>
      <c r="I706" s="303"/>
      <c r="J706" s="302">
        <v>1.1522295747457401</v>
      </c>
      <c r="K706" s="302">
        <v>2.4643779913649513</v>
      </c>
      <c r="L706" s="302">
        <f>SUM(J706:K706)</f>
        <v>3.6166075661106913</v>
      </c>
      <c r="M706" s="236"/>
      <c r="N706" s="236"/>
    </row>
    <row r="707" spans="1:14" x14ac:dyDescent="0.3">
      <c r="A707" s="237" t="str">
        <f>name!E$5</f>
        <v>Professional occupations</v>
      </c>
      <c r="B707" s="302">
        <v>1.5782197483737992</v>
      </c>
      <c r="C707" s="302">
        <v>3.5742646654614472</v>
      </c>
      <c r="D707" s="302">
        <f t="shared" ref="D707:D714" si="262">SUM(B707:C707)</f>
        <v>5.1524844138352464</v>
      </c>
      <c r="E707" s="303"/>
      <c r="F707" s="302">
        <v>1.8086209609079207</v>
      </c>
      <c r="G707" s="302">
        <v>3.8902976319182918</v>
      </c>
      <c r="H707" s="302">
        <f t="shared" ref="H707:H714" si="263">SUM(F707:G707)</f>
        <v>5.698918592826212</v>
      </c>
      <c r="I707" s="303"/>
      <c r="J707" s="302">
        <v>1.9360871970761151</v>
      </c>
      <c r="K707" s="302">
        <v>3.9266430407417992</v>
      </c>
      <c r="L707" s="302">
        <f t="shared" ref="L707:L714" si="264">SUM(J707:K707)</f>
        <v>5.8627302378179138</v>
      </c>
      <c r="M707" s="236"/>
      <c r="N707" s="236"/>
    </row>
    <row r="708" spans="1:14" x14ac:dyDescent="0.3">
      <c r="A708" s="237" t="str">
        <f>name!E$6</f>
        <v>Associate professional occupations</v>
      </c>
      <c r="B708" s="302">
        <v>3.1578200906891154</v>
      </c>
      <c r="C708" s="302">
        <v>2.4581927644437909</v>
      </c>
      <c r="D708" s="302">
        <f t="shared" si="262"/>
        <v>5.6160128551329063</v>
      </c>
      <c r="E708" s="303"/>
      <c r="F708" s="302">
        <v>2.8672008756658407</v>
      </c>
      <c r="G708" s="302">
        <v>2.4812133373002716</v>
      </c>
      <c r="H708" s="302">
        <f t="shared" si="263"/>
        <v>5.3484142129661123</v>
      </c>
      <c r="I708" s="303"/>
      <c r="J708" s="302">
        <v>2.9584966432073481</v>
      </c>
      <c r="K708" s="302">
        <v>2.3245728835059372</v>
      </c>
      <c r="L708" s="302">
        <f t="shared" si="264"/>
        <v>5.2830695267132857</v>
      </c>
      <c r="M708" s="236"/>
      <c r="N708" s="236"/>
    </row>
    <row r="709" spans="1:14" x14ac:dyDescent="0.3">
      <c r="A709" s="237" t="str">
        <f>name!E$7</f>
        <v>Administrative and secretarial occupations</v>
      </c>
      <c r="B709" s="302">
        <v>1.4662776062237726</v>
      </c>
      <c r="C709" s="302">
        <v>0.32299337544386209</v>
      </c>
      <c r="D709" s="302">
        <f t="shared" si="262"/>
        <v>1.7892709816676347</v>
      </c>
      <c r="E709" s="303"/>
      <c r="F709" s="302">
        <v>1.2796479705483805</v>
      </c>
      <c r="G709" s="302">
        <v>0.29794284950528399</v>
      </c>
      <c r="H709" s="302">
        <f t="shared" si="263"/>
        <v>1.5775908200536646</v>
      </c>
      <c r="I709" s="303"/>
      <c r="J709" s="302">
        <v>0.76879527069634779</v>
      </c>
      <c r="K709" s="302">
        <v>0.23189878042038098</v>
      </c>
      <c r="L709" s="302">
        <f t="shared" si="264"/>
        <v>1.0006940511167288</v>
      </c>
      <c r="M709" s="236"/>
      <c r="N709" s="236"/>
    </row>
    <row r="710" spans="1:14" x14ac:dyDescent="0.3">
      <c r="A710" s="237" t="str">
        <f>name!E$8</f>
        <v>Skilled trades occupations</v>
      </c>
      <c r="B710" s="302">
        <v>0.40227994571081888</v>
      </c>
      <c r="C710" s="302">
        <v>1.5452974852706212</v>
      </c>
      <c r="D710" s="302">
        <f t="shared" si="262"/>
        <v>1.94757743098144</v>
      </c>
      <c r="E710" s="303"/>
      <c r="F710" s="302">
        <v>0.33095084770629796</v>
      </c>
      <c r="G710" s="302">
        <v>1.0766736828198444</v>
      </c>
      <c r="H710" s="302">
        <f t="shared" si="263"/>
        <v>1.4076245305261423</v>
      </c>
      <c r="I710" s="303"/>
      <c r="J710" s="302">
        <v>0.23255779206400104</v>
      </c>
      <c r="K710" s="302">
        <v>0.82281950915867741</v>
      </c>
      <c r="L710" s="302">
        <f t="shared" si="264"/>
        <v>1.0553773012226784</v>
      </c>
      <c r="M710" s="236"/>
      <c r="N710" s="236"/>
    </row>
    <row r="711" spans="1:14" x14ac:dyDescent="0.3">
      <c r="A711" s="237" t="str">
        <f>name!E$9</f>
        <v>Caring, leisure and other service occupations</v>
      </c>
      <c r="B711" s="302">
        <v>0.13082984743641596</v>
      </c>
      <c r="C711" s="302">
        <v>9.8757456691387496E-2</v>
      </c>
      <c r="D711" s="302">
        <f t="shared" si="262"/>
        <v>0.22958730412780345</v>
      </c>
      <c r="E711" s="303"/>
      <c r="F711" s="302">
        <v>9.7829692617729808E-2</v>
      </c>
      <c r="G711" s="302">
        <v>8.7626937816118217E-2</v>
      </c>
      <c r="H711" s="302">
        <f t="shared" si="263"/>
        <v>0.18545663043384802</v>
      </c>
      <c r="I711" s="303"/>
      <c r="J711" s="302">
        <v>9.676705280656922E-2</v>
      </c>
      <c r="K711" s="302">
        <v>0.10722601433444379</v>
      </c>
      <c r="L711" s="302">
        <f t="shared" si="264"/>
        <v>0.20399306714101301</v>
      </c>
      <c r="M711" s="236"/>
      <c r="N711" s="236"/>
    </row>
    <row r="712" spans="1:14" x14ac:dyDescent="0.3">
      <c r="A712" s="237" t="str">
        <f>name!E$10</f>
        <v>Sales and customer service occupations</v>
      </c>
      <c r="B712" s="302">
        <v>0.65619201136005401</v>
      </c>
      <c r="C712" s="302">
        <v>0.36333624841759565</v>
      </c>
      <c r="D712" s="302">
        <f t="shared" si="262"/>
        <v>1.0195282597776496</v>
      </c>
      <c r="E712" s="303"/>
      <c r="F712" s="302">
        <v>0.5865082350093519</v>
      </c>
      <c r="G712" s="302">
        <v>0.29025584285473655</v>
      </c>
      <c r="H712" s="302">
        <f t="shared" si="263"/>
        <v>0.87676407786408839</v>
      </c>
      <c r="I712" s="303"/>
      <c r="J712" s="302">
        <v>0.55238607131128281</v>
      </c>
      <c r="K712" s="302">
        <v>0.30327699982050882</v>
      </c>
      <c r="L712" s="302">
        <f t="shared" si="264"/>
        <v>0.85566307113179163</v>
      </c>
      <c r="M712" s="236"/>
      <c r="N712" s="236"/>
    </row>
    <row r="713" spans="1:14" x14ac:dyDescent="0.3">
      <c r="A713" s="237" t="str">
        <f>name!E$11</f>
        <v>Process, plant and machine operatives</v>
      </c>
      <c r="B713" s="302">
        <v>0.1673397635133117</v>
      </c>
      <c r="C713" s="302">
        <v>0.46910839213913741</v>
      </c>
      <c r="D713" s="302">
        <f t="shared" si="262"/>
        <v>0.63644815565244905</v>
      </c>
      <c r="E713" s="303"/>
      <c r="F713" s="302">
        <v>0.14178142616308251</v>
      </c>
      <c r="G713" s="302">
        <v>0.39971604888791074</v>
      </c>
      <c r="H713" s="302">
        <f t="shared" si="263"/>
        <v>0.54149747505099322</v>
      </c>
      <c r="I713" s="303"/>
      <c r="J713" s="302">
        <v>0.11072700025926227</v>
      </c>
      <c r="K713" s="302">
        <v>0.4402833552994771</v>
      </c>
      <c r="L713" s="302">
        <f t="shared" si="264"/>
        <v>0.55101035555873934</v>
      </c>
      <c r="M713" s="236"/>
      <c r="N713" s="236"/>
    </row>
    <row r="714" spans="1:14" x14ac:dyDescent="0.3">
      <c r="A714" s="237" t="str">
        <f>name!E$12</f>
        <v>Elementary occupations</v>
      </c>
      <c r="B714" s="302">
        <v>0.87873978473509717</v>
      </c>
      <c r="C714" s="302">
        <v>0.76842747173613324</v>
      </c>
      <c r="D714" s="302">
        <f t="shared" si="262"/>
        <v>1.6471672564712305</v>
      </c>
      <c r="E714" s="303"/>
      <c r="F714" s="302">
        <v>0.61092269461891158</v>
      </c>
      <c r="G714" s="302">
        <v>0.50287698844828821</v>
      </c>
      <c r="H714" s="302">
        <f t="shared" si="263"/>
        <v>1.1137996830671999</v>
      </c>
      <c r="I714" s="303"/>
      <c r="J714" s="302">
        <v>0.56695339786810617</v>
      </c>
      <c r="K714" s="302">
        <v>0.37490142530387188</v>
      </c>
      <c r="L714" s="302">
        <f t="shared" si="264"/>
        <v>0.94185482317197811</v>
      </c>
      <c r="M714" s="236"/>
      <c r="N714" s="236"/>
    </row>
    <row r="715" spans="1:14" x14ac:dyDescent="0.3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  <c r="N715" s="236"/>
    </row>
    <row r="716" spans="1:14" x14ac:dyDescent="0.3">
      <c r="A716" s="244" t="s">
        <v>32</v>
      </c>
      <c r="B716" s="311">
        <f>SUM(B706:B714)</f>
        <v>9.4909999999475474</v>
      </c>
      <c r="C716" s="311">
        <f t="shared" ref="C716:D716" si="265">SUM(C706:C714)</f>
        <v>12.056999999991255</v>
      </c>
      <c r="D716" s="311">
        <f t="shared" si="265"/>
        <v>21.547999999938806</v>
      </c>
      <c r="E716" s="311"/>
      <c r="F716" s="311">
        <f t="shared" ref="F716:H716" si="266">SUM(F706:F714)</f>
        <v>8.8700000000016193</v>
      </c>
      <c r="G716" s="311">
        <f t="shared" si="266"/>
        <v>11.495999999947809</v>
      </c>
      <c r="H716" s="311">
        <f t="shared" si="266"/>
        <v>20.365999999949423</v>
      </c>
      <c r="I716" s="311"/>
      <c r="J716" s="311">
        <f t="shared" ref="J716:L716" si="267">SUM(J706:J714)</f>
        <v>8.3750000000347722</v>
      </c>
      <c r="K716" s="311">
        <f t="shared" si="267"/>
        <v>10.995999999950049</v>
      </c>
      <c r="L716" s="311">
        <f t="shared" si="267"/>
        <v>19.370999999984818</v>
      </c>
      <c r="M716" s="236"/>
      <c r="N716" s="236"/>
    </row>
    <row r="717" spans="1:14" x14ac:dyDescent="0.3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  <c r="N717" s="236"/>
    </row>
    <row r="718" spans="1:14" x14ac:dyDescent="0.3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56" t="s">
        <v>35</v>
      </c>
      <c r="M718" s="236"/>
      <c r="N718" s="236"/>
    </row>
    <row r="719" spans="1:14" x14ac:dyDescent="0.3">
      <c r="A719" s="242"/>
      <c r="B719" s="250"/>
      <c r="C719" s="250"/>
      <c r="D719" s="250"/>
      <c r="E719" s="250"/>
      <c r="F719" s="250"/>
      <c r="G719" s="250"/>
      <c r="H719" s="250"/>
      <c r="I719" s="250"/>
      <c r="J719" s="250"/>
      <c r="K719" s="250"/>
      <c r="L719" s="236"/>
      <c r="M719" s="236"/>
      <c r="N719" s="236"/>
    </row>
    <row r="720" spans="1:14" x14ac:dyDescent="0.3">
      <c r="A720" s="241" t="str">
        <f>name!A45</f>
        <v>Film and music</v>
      </c>
      <c r="B720" s="373">
        <f>B$6</f>
        <v>2015</v>
      </c>
      <c r="C720" s="373"/>
      <c r="D720" s="373"/>
      <c r="E720" s="253"/>
      <c r="F720" s="373">
        <f>F703</f>
        <v>2020</v>
      </c>
      <c r="G720" s="373"/>
      <c r="H720" s="373"/>
      <c r="I720" s="253"/>
      <c r="J720" s="373">
        <f>J703</f>
        <v>2035</v>
      </c>
      <c r="K720" s="373"/>
      <c r="L720" s="373"/>
      <c r="M720" s="236"/>
      <c r="N720" s="236"/>
    </row>
    <row r="721" spans="1:14" x14ac:dyDescent="0.3">
      <c r="A721" s="254"/>
      <c r="B721" s="255" t="s">
        <v>352</v>
      </c>
      <c r="C721" s="255" t="s">
        <v>353</v>
      </c>
      <c r="D721" s="255" t="s">
        <v>32</v>
      </c>
      <c r="E721" s="255"/>
      <c r="F721" s="255" t="s">
        <v>352</v>
      </c>
      <c r="G721" s="255" t="s">
        <v>353</v>
      </c>
      <c r="H721" s="255" t="s">
        <v>32</v>
      </c>
      <c r="I721" s="255"/>
      <c r="J721" s="255" t="s">
        <v>352</v>
      </c>
      <c r="K721" s="255" t="s">
        <v>353</v>
      </c>
      <c r="L721" s="255" t="s">
        <v>32</v>
      </c>
      <c r="M721" s="236"/>
      <c r="N721" s="236"/>
    </row>
    <row r="722" spans="1:14" x14ac:dyDescent="0.3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  <c r="N722" s="236"/>
    </row>
    <row r="723" spans="1:14" x14ac:dyDescent="0.3">
      <c r="A723" s="237" t="str">
        <f>name!E$4</f>
        <v>Managers, directors and senior officials</v>
      </c>
      <c r="B723" s="302">
        <v>1.4913663469463085</v>
      </c>
      <c r="C723" s="302">
        <v>0.62623443301926407</v>
      </c>
      <c r="D723" s="302">
        <f>SUM(B723:C723)</f>
        <v>2.1176007799655725</v>
      </c>
      <c r="E723" s="303"/>
      <c r="F723" s="302">
        <v>1.1015071564743939</v>
      </c>
      <c r="G723" s="302">
        <v>0.36390863898291603</v>
      </c>
      <c r="H723" s="302">
        <f>SUM(F723:G723)</f>
        <v>1.4654157954573099</v>
      </c>
      <c r="I723" s="303"/>
      <c r="J723" s="302">
        <v>1.4583961821036497</v>
      </c>
      <c r="K723" s="302">
        <v>0.36802614591513749</v>
      </c>
      <c r="L723" s="302">
        <f>SUM(J723:K723)</f>
        <v>1.8264223280187872</v>
      </c>
      <c r="M723" s="236"/>
      <c r="N723" s="236"/>
    </row>
    <row r="724" spans="1:14" x14ac:dyDescent="0.3">
      <c r="A724" s="237" t="str">
        <f>name!E$5</f>
        <v>Professional occupations</v>
      </c>
      <c r="B724" s="302">
        <v>0.97328414810062747</v>
      </c>
      <c r="C724" s="302">
        <v>0.95807531310729632</v>
      </c>
      <c r="D724" s="302">
        <f t="shared" ref="D724:D731" si="268">SUM(B724:C724)</f>
        <v>1.9313594612079239</v>
      </c>
      <c r="E724" s="303"/>
      <c r="F724" s="302">
        <v>0.65128333552726803</v>
      </c>
      <c r="G724" s="302">
        <v>0.60735389018299002</v>
      </c>
      <c r="H724" s="302">
        <f t="shared" ref="H724:H731" si="269">SUM(F724:G724)</f>
        <v>1.258637225710258</v>
      </c>
      <c r="I724" s="303"/>
      <c r="J724" s="302">
        <v>0.63473037267995502</v>
      </c>
      <c r="K724" s="302">
        <v>0.63207596660449927</v>
      </c>
      <c r="L724" s="302">
        <f t="shared" ref="L724:L731" si="270">SUM(J724:K724)</f>
        <v>1.2668063392844542</v>
      </c>
      <c r="M724" s="236"/>
      <c r="N724" s="236"/>
    </row>
    <row r="725" spans="1:14" x14ac:dyDescent="0.3">
      <c r="A725" s="237" t="str">
        <f>name!E$6</f>
        <v>Associate professional occupations</v>
      </c>
      <c r="B725" s="302">
        <v>1.6060990235457013</v>
      </c>
      <c r="C725" s="302">
        <v>1.9782241567911794</v>
      </c>
      <c r="D725" s="302">
        <f t="shared" si="268"/>
        <v>3.5843231803368809</v>
      </c>
      <c r="E725" s="303"/>
      <c r="F725" s="302">
        <v>0.61798510366395887</v>
      </c>
      <c r="G725" s="302">
        <v>1.181104607214374</v>
      </c>
      <c r="H725" s="302">
        <f t="shared" si="269"/>
        <v>1.799089710878333</v>
      </c>
      <c r="I725" s="303"/>
      <c r="J725" s="302">
        <v>0.52150373656194149</v>
      </c>
      <c r="K725" s="302">
        <v>1.0686503331846453</v>
      </c>
      <c r="L725" s="302">
        <f t="shared" si="270"/>
        <v>1.5901540697465868</v>
      </c>
      <c r="M725" s="236"/>
      <c r="N725" s="236"/>
    </row>
    <row r="726" spans="1:14" x14ac:dyDescent="0.3">
      <c r="A726" s="237" t="str">
        <f>name!E$7</f>
        <v>Administrative and secretarial occupations</v>
      </c>
      <c r="B726" s="302">
        <v>1.3317614010696235</v>
      </c>
      <c r="C726" s="302">
        <v>0.20221794115024688</v>
      </c>
      <c r="D726" s="302">
        <f t="shared" si="268"/>
        <v>1.5339793422198704</v>
      </c>
      <c r="E726" s="303"/>
      <c r="F726" s="302">
        <v>0.74383982698147111</v>
      </c>
      <c r="G726" s="302">
        <v>0.11884467706778372</v>
      </c>
      <c r="H726" s="302">
        <f t="shared" si="269"/>
        <v>0.86268450404925479</v>
      </c>
      <c r="I726" s="303"/>
      <c r="J726" s="302">
        <v>0.41593755888107981</v>
      </c>
      <c r="K726" s="302">
        <v>9.6521750982339768E-2</v>
      </c>
      <c r="L726" s="302">
        <f t="shared" si="270"/>
        <v>0.51245930986341959</v>
      </c>
      <c r="M726" s="236"/>
      <c r="N726" s="236"/>
    </row>
    <row r="727" spans="1:14" x14ac:dyDescent="0.3">
      <c r="A727" s="237" t="str">
        <f>name!E$8</f>
        <v>Skilled trades occupations</v>
      </c>
      <c r="B727" s="302">
        <v>0.39747850911770727</v>
      </c>
      <c r="C727" s="302">
        <v>0.58024454970942263</v>
      </c>
      <c r="D727" s="302">
        <f t="shared" si="268"/>
        <v>0.97772305882712995</v>
      </c>
      <c r="E727" s="303"/>
      <c r="F727" s="302">
        <v>0.21777629899308931</v>
      </c>
      <c r="G727" s="302">
        <v>0.25030274474983666</v>
      </c>
      <c r="H727" s="302">
        <f t="shared" si="269"/>
        <v>0.46807904374292597</v>
      </c>
      <c r="I727" s="303"/>
      <c r="J727" s="302">
        <v>0.36335531302335056</v>
      </c>
      <c r="K727" s="302">
        <v>0.19436496949159557</v>
      </c>
      <c r="L727" s="302">
        <f t="shared" si="270"/>
        <v>0.5577202825149461</v>
      </c>
      <c r="M727" s="236"/>
      <c r="N727" s="236"/>
    </row>
    <row r="728" spans="1:14" x14ac:dyDescent="0.3">
      <c r="A728" s="237" t="str">
        <f>name!E$9</f>
        <v>Caring, leisure and other service occupations</v>
      </c>
      <c r="B728" s="302">
        <v>0.79338729751023307</v>
      </c>
      <c r="C728" s="302">
        <v>0.25748771187476749</v>
      </c>
      <c r="D728" s="302">
        <f t="shared" si="268"/>
        <v>1.0508750093850006</v>
      </c>
      <c r="E728" s="303"/>
      <c r="F728" s="302">
        <v>0.40355712017803663</v>
      </c>
      <c r="G728" s="302">
        <v>0.14592510558970775</v>
      </c>
      <c r="H728" s="302">
        <f t="shared" si="269"/>
        <v>0.54948222576774441</v>
      </c>
      <c r="I728" s="303"/>
      <c r="J728" s="302">
        <v>0.3620212096234196</v>
      </c>
      <c r="K728" s="302">
        <v>0.13922435170998707</v>
      </c>
      <c r="L728" s="302">
        <f t="shared" si="270"/>
        <v>0.5012455613334067</v>
      </c>
      <c r="M728" s="236"/>
      <c r="N728" s="236"/>
    </row>
    <row r="729" spans="1:14" x14ac:dyDescent="0.3">
      <c r="A729" s="237" t="str">
        <f>name!E$10</f>
        <v>Sales and customer service occupations</v>
      </c>
      <c r="B729" s="302">
        <v>0.6163446762860082</v>
      </c>
      <c r="C729" s="302">
        <v>0.22961932836876059</v>
      </c>
      <c r="D729" s="302">
        <f t="shared" si="268"/>
        <v>0.84596400465476873</v>
      </c>
      <c r="E729" s="303"/>
      <c r="F729" s="302">
        <v>0.36229611479352453</v>
      </c>
      <c r="G729" s="302">
        <v>0.1285379827394672</v>
      </c>
      <c r="H729" s="302">
        <f t="shared" si="269"/>
        <v>0.49083409753299173</v>
      </c>
      <c r="I729" s="303"/>
      <c r="J729" s="302">
        <v>0.35917012689930677</v>
      </c>
      <c r="K729" s="302">
        <v>0.14313791468380929</v>
      </c>
      <c r="L729" s="302">
        <f t="shared" si="270"/>
        <v>0.50230804158311604</v>
      </c>
      <c r="M729" s="236"/>
      <c r="N729" s="236"/>
    </row>
    <row r="730" spans="1:14" x14ac:dyDescent="0.3">
      <c r="A730" s="237" t="str">
        <f>name!E$11</f>
        <v>Process, plant and machine operatives</v>
      </c>
      <c r="B730" s="302">
        <v>4.3371582047039128E-2</v>
      </c>
      <c r="C730" s="302">
        <v>0.16751278500805047</v>
      </c>
      <c r="D730" s="302">
        <f t="shared" si="268"/>
        <v>0.21088436705508962</v>
      </c>
      <c r="E730" s="303"/>
      <c r="F730" s="302">
        <v>1.7924574477265212E-2</v>
      </c>
      <c r="G730" s="302">
        <v>9.4014555780313896E-2</v>
      </c>
      <c r="H730" s="302">
        <f t="shared" si="269"/>
        <v>0.11193913025757911</v>
      </c>
      <c r="I730" s="303"/>
      <c r="J730" s="302">
        <v>1.4337944584856028E-2</v>
      </c>
      <c r="K730" s="302">
        <v>0.11074879870731569</v>
      </c>
      <c r="L730" s="302">
        <f t="shared" si="270"/>
        <v>0.1250867432921717</v>
      </c>
      <c r="M730" s="236"/>
      <c r="N730" s="236"/>
    </row>
    <row r="731" spans="1:14" x14ac:dyDescent="0.3">
      <c r="A731" s="237" t="str">
        <f>name!E$12</f>
        <v>Elementary occupations</v>
      </c>
      <c r="B731" s="302">
        <v>1.3359070154009303</v>
      </c>
      <c r="C731" s="302">
        <v>1.239383781037257</v>
      </c>
      <c r="D731" s="302">
        <f t="shared" si="268"/>
        <v>2.5752907964381873</v>
      </c>
      <c r="E731" s="303"/>
      <c r="F731" s="302">
        <v>0.55883046890059473</v>
      </c>
      <c r="G731" s="302">
        <v>0.65400779772172357</v>
      </c>
      <c r="H731" s="302">
        <f t="shared" si="269"/>
        <v>1.2128382666223183</v>
      </c>
      <c r="I731" s="303"/>
      <c r="J731" s="302">
        <v>0.34654755562470213</v>
      </c>
      <c r="K731" s="302">
        <v>0.69724976878843126</v>
      </c>
      <c r="L731" s="302">
        <f t="shared" si="270"/>
        <v>1.0437973244131333</v>
      </c>
      <c r="M731" s="236"/>
      <c r="N731" s="236"/>
    </row>
    <row r="732" spans="1:14" x14ac:dyDescent="0.3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  <c r="N732" s="236"/>
    </row>
    <row r="733" spans="1:14" x14ac:dyDescent="0.3">
      <c r="A733" s="244" t="s">
        <v>32</v>
      </c>
      <c r="B733" s="311">
        <f>SUM(B723:B731)</f>
        <v>8.5890000000241802</v>
      </c>
      <c r="C733" s="311">
        <f t="shared" ref="C733:D733" si="271">SUM(C723:C731)</f>
        <v>6.2390000000662447</v>
      </c>
      <c r="D733" s="311">
        <f t="shared" si="271"/>
        <v>14.828000000090425</v>
      </c>
      <c r="E733" s="311"/>
      <c r="F733" s="311">
        <f t="shared" ref="F733:H733" si="272">SUM(F723:F731)</f>
        <v>4.6749999999896019</v>
      </c>
      <c r="G733" s="311">
        <f t="shared" si="272"/>
        <v>3.5440000000291132</v>
      </c>
      <c r="H733" s="311">
        <f t="shared" si="272"/>
        <v>8.2190000000187151</v>
      </c>
      <c r="I733" s="311"/>
      <c r="J733" s="311">
        <f t="shared" ref="J733:L733" si="273">SUM(J723:J731)</f>
        <v>4.4759999999822604</v>
      </c>
      <c r="K733" s="311">
        <f t="shared" si="273"/>
        <v>3.4500000000677611</v>
      </c>
      <c r="L733" s="311">
        <f t="shared" si="273"/>
        <v>7.9260000000500206</v>
      </c>
      <c r="M733" s="236"/>
      <c r="N733" s="236"/>
    </row>
    <row r="734" spans="1:14" x14ac:dyDescent="0.3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  <c r="N734" s="236"/>
    </row>
    <row r="735" spans="1:14" x14ac:dyDescent="0.3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56" t="s">
        <v>35</v>
      </c>
      <c r="M735" s="236"/>
      <c r="N735" s="236"/>
    </row>
    <row r="736" spans="1:14" x14ac:dyDescent="0.3">
      <c r="A736" s="242"/>
      <c r="B736" s="250"/>
      <c r="C736" s="250"/>
      <c r="D736" s="250"/>
      <c r="E736" s="250"/>
      <c r="F736" s="250"/>
      <c r="G736" s="250"/>
      <c r="H736" s="250"/>
      <c r="I736" s="250"/>
      <c r="J736" s="250"/>
      <c r="K736" s="250"/>
      <c r="L736" s="236"/>
      <c r="M736" s="236"/>
      <c r="N736" s="236"/>
    </row>
    <row r="737" spans="1:14" x14ac:dyDescent="0.3">
      <c r="A737" s="241" t="str">
        <f>name!A46</f>
        <v>Broadcasting</v>
      </c>
      <c r="B737" s="373">
        <f>B$6</f>
        <v>2015</v>
      </c>
      <c r="C737" s="373"/>
      <c r="D737" s="373"/>
      <c r="E737" s="253"/>
      <c r="F737" s="373">
        <f>F720</f>
        <v>2020</v>
      </c>
      <c r="G737" s="373"/>
      <c r="H737" s="373"/>
      <c r="I737" s="253"/>
      <c r="J737" s="373">
        <f>J720</f>
        <v>2035</v>
      </c>
      <c r="K737" s="373"/>
      <c r="L737" s="373"/>
      <c r="M737" s="236"/>
      <c r="N737" s="236"/>
    </row>
    <row r="738" spans="1:14" x14ac:dyDescent="0.3">
      <c r="A738" s="254"/>
      <c r="B738" s="255" t="s">
        <v>352</v>
      </c>
      <c r="C738" s="255" t="s">
        <v>353</v>
      </c>
      <c r="D738" s="255" t="s">
        <v>32</v>
      </c>
      <c r="E738" s="255"/>
      <c r="F738" s="255" t="s">
        <v>352</v>
      </c>
      <c r="G738" s="255" t="s">
        <v>353</v>
      </c>
      <c r="H738" s="255" t="s">
        <v>32</v>
      </c>
      <c r="I738" s="255"/>
      <c r="J738" s="255" t="s">
        <v>352</v>
      </c>
      <c r="K738" s="255" t="s">
        <v>353</v>
      </c>
      <c r="L738" s="255" t="s">
        <v>32</v>
      </c>
      <c r="M738" s="236"/>
      <c r="N738" s="236"/>
    </row>
    <row r="739" spans="1:14" x14ac:dyDescent="0.3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  <c r="N739" s="236"/>
    </row>
    <row r="740" spans="1:14" x14ac:dyDescent="0.3">
      <c r="A740" s="237" t="str">
        <f>name!E$4</f>
        <v>Managers, directors and senior officials</v>
      </c>
      <c r="B740" s="302">
        <v>2.9755690762361181E-3</v>
      </c>
      <c r="C740" s="302">
        <v>2.4561446223644787E-2</v>
      </c>
      <c r="D740" s="302">
        <f>SUM(B740:C740)</f>
        <v>2.7537015299880906E-2</v>
      </c>
      <c r="E740" s="303"/>
      <c r="F740" s="302">
        <v>5.8573345807819747E-2</v>
      </c>
      <c r="G740" s="302">
        <v>0.34469942214650667</v>
      </c>
      <c r="H740" s="302">
        <f>SUM(F740:G740)</f>
        <v>0.40327276795432643</v>
      </c>
      <c r="I740" s="303"/>
      <c r="J740" s="302">
        <v>6.7538875765024847E-2</v>
      </c>
      <c r="K740" s="302">
        <v>0.32584043503068177</v>
      </c>
      <c r="L740" s="302">
        <f>SUM(J740:K740)</f>
        <v>0.39337931079570665</v>
      </c>
      <c r="M740" s="236"/>
      <c r="N740" s="236"/>
    </row>
    <row r="741" spans="1:14" x14ac:dyDescent="0.3">
      <c r="A741" s="237" t="str">
        <f>name!E$5</f>
        <v>Professional occupations</v>
      </c>
      <c r="B741" s="302">
        <v>3.969271308811001E-3</v>
      </c>
      <c r="C741" s="302">
        <v>4.0760705895997833E-2</v>
      </c>
      <c r="D741" s="302">
        <f t="shared" ref="D741:D748" si="274">SUM(B741:C741)</f>
        <v>4.4729977204808834E-2</v>
      </c>
      <c r="E741" s="303"/>
      <c r="F741" s="302">
        <v>8.0723007103923203E-2</v>
      </c>
      <c r="G741" s="302">
        <v>0.64739762096539211</v>
      </c>
      <c r="H741" s="302">
        <f t="shared" ref="H741:H748" si="275">SUM(F741:G741)</f>
        <v>0.72812062806931532</v>
      </c>
      <c r="I741" s="303"/>
      <c r="J741" s="302">
        <v>6.4853057266345257E-2</v>
      </c>
      <c r="K741" s="302">
        <v>0.69074174400186616</v>
      </c>
      <c r="L741" s="302">
        <f t="shared" ref="L741:L748" si="276">SUM(J741:K741)</f>
        <v>0.75559480126821144</v>
      </c>
      <c r="M741" s="236"/>
      <c r="N741" s="236"/>
    </row>
    <row r="742" spans="1:14" x14ac:dyDescent="0.3">
      <c r="A742" s="237" t="str">
        <f>name!E$6</f>
        <v>Associate professional occupations</v>
      </c>
      <c r="B742" s="302">
        <v>1.1036887272540607E-2</v>
      </c>
      <c r="C742" s="302">
        <v>4.0727532572009097E-2</v>
      </c>
      <c r="D742" s="302">
        <f t="shared" si="274"/>
        <v>5.17644198445497E-2</v>
      </c>
      <c r="E742" s="303"/>
      <c r="F742" s="302">
        <v>0.21513074582336397</v>
      </c>
      <c r="G742" s="302">
        <v>0.5925427198767238</v>
      </c>
      <c r="H742" s="302">
        <f t="shared" si="275"/>
        <v>0.8076734657000878</v>
      </c>
      <c r="I742" s="303"/>
      <c r="J742" s="302">
        <v>0.18204345640937042</v>
      </c>
      <c r="K742" s="302">
        <v>0.48539122907765175</v>
      </c>
      <c r="L742" s="302">
        <f t="shared" si="276"/>
        <v>0.66743468548702212</v>
      </c>
      <c r="M742" s="236"/>
      <c r="N742" s="236"/>
    </row>
    <row r="743" spans="1:14" x14ac:dyDescent="0.3">
      <c r="A743" s="237" t="str">
        <f>name!E$7</f>
        <v>Administrative and secretarial occupations</v>
      </c>
      <c r="B743" s="302">
        <v>1.9688081211458475E-3</v>
      </c>
      <c r="C743" s="302">
        <v>4.5159980638500002E-3</v>
      </c>
      <c r="D743" s="302">
        <f t="shared" si="274"/>
        <v>6.4848061849958477E-3</v>
      </c>
      <c r="E743" s="303"/>
      <c r="F743" s="302">
        <v>3.2525709873532684E-2</v>
      </c>
      <c r="G743" s="302">
        <v>6.4188580326136585E-2</v>
      </c>
      <c r="H743" s="302">
        <f t="shared" si="275"/>
        <v>9.6714290199669262E-2</v>
      </c>
      <c r="I743" s="303"/>
      <c r="J743" s="302">
        <v>1.8050219987188525E-2</v>
      </c>
      <c r="K743" s="302">
        <v>5.6075529311884149E-2</v>
      </c>
      <c r="L743" s="302">
        <f t="shared" si="276"/>
        <v>7.4125749299072674E-2</v>
      </c>
      <c r="M743" s="236"/>
      <c r="N743" s="236"/>
    </row>
    <row r="744" spans="1:14" x14ac:dyDescent="0.3">
      <c r="A744" s="237" t="str">
        <f>name!E$8</f>
        <v>Skilled trades occupations</v>
      </c>
      <c r="B744" s="302">
        <v>1.7528145074094325E-3</v>
      </c>
      <c r="C744" s="302">
        <v>2.265244255089666E-2</v>
      </c>
      <c r="D744" s="302">
        <f t="shared" si="274"/>
        <v>2.4405257058306092E-2</v>
      </c>
      <c r="E744" s="303"/>
      <c r="F744" s="302">
        <v>3.7604845900995339E-2</v>
      </c>
      <c r="G744" s="302">
        <v>0.23882040254533085</v>
      </c>
      <c r="H744" s="302">
        <f t="shared" si="275"/>
        <v>0.27642524844632621</v>
      </c>
      <c r="I744" s="303"/>
      <c r="J744" s="302">
        <v>4.3494316009643381E-2</v>
      </c>
      <c r="K744" s="302">
        <v>0.19909669264116564</v>
      </c>
      <c r="L744" s="302">
        <f t="shared" si="276"/>
        <v>0.24259100865080901</v>
      </c>
      <c r="M744" s="236"/>
      <c r="N744" s="236"/>
    </row>
    <row r="745" spans="1:14" x14ac:dyDescent="0.3">
      <c r="A745" s="237" t="str">
        <f>name!E$9</f>
        <v>Caring, leisure and other service occupations</v>
      </c>
      <c r="B745" s="302">
        <v>1.2675780606397943E-3</v>
      </c>
      <c r="C745" s="302">
        <v>5.1080098172556062E-3</v>
      </c>
      <c r="D745" s="302">
        <f t="shared" si="274"/>
        <v>6.3755878778954007E-3</v>
      </c>
      <c r="E745" s="303"/>
      <c r="F745" s="302">
        <v>2.2150239122888001E-2</v>
      </c>
      <c r="G745" s="302">
        <v>6.3057205618242657E-2</v>
      </c>
      <c r="H745" s="302">
        <f t="shared" si="275"/>
        <v>8.520744474113065E-2</v>
      </c>
      <c r="I745" s="303"/>
      <c r="J745" s="302">
        <v>1.9108342786064388E-2</v>
      </c>
      <c r="K745" s="302">
        <v>6.8356521417129112E-2</v>
      </c>
      <c r="L745" s="302">
        <f t="shared" si="276"/>
        <v>8.7464864203193493E-2</v>
      </c>
      <c r="M745" s="236"/>
      <c r="N745" s="236"/>
    </row>
    <row r="746" spans="1:14" x14ac:dyDescent="0.3">
      <c r="A746" s="237" t="str">
        <f>name!E$10</f>
        <v>Sales and customer service occupations</v>
      </c>
      <c r="B746" s="302">
        <v>1.1251229260494213E-3</v>
      </c>
      <c r="C746" s="302">
        <v>6.1951008218200229E-3</v>
      </c>
      <c r="D746" s="302">
        <f t="shared" si="274"/>
        <v>7.3202237478694442E-3</v>
      </c>
      <c r="E746" s="303"/>
      <c r="F746" s="302">
        <v>1.7672846444282391E-2</v>
      </c>
      <c r="G746" s="302">
        <v>8.128696253172793E-2</v>
      </c>
      <c r="H746" s="302">
        <f t="shared" si="275"/>
        <v>9.8959808976010324E-2</v>
      </c>
      <c r="I746" s="303"/>
      <c r="J746" s="302">
        <v>1.5516532785589999E-2</v>
      </c>
      <c r="K746" s="302">
        <v>9.9405675356708939E-2</v>
      </c>
      <c r="L746" s="302">
        <f t="shared" si="276"/>
        <v>0.11492220814229893</v>
      </c>
      <c r="M746" s="236"/>
      <c r="N746" s="236"/>
    </row>
    <row r="747" spans="1:14" x14ac:dyDescent="0.3">
      <c r="A747" s="237" t="str">
        <f>name!E$11</f>
        <v>Process, plant and machine operatives</v>
      </c>
      <c r="B747" s="302">
        <v>1.2395210368156784E-4</v>
      </c>
      <c r="C747" s="302">
        <v>1.7241684890525297E-3</v>
      </c>
      <c r="D747" s="302">
        <f t="shared" si="274"/>
        <v>1.8481205927340975E-3</v>
      </c>
      <c r="E747" s="303"/>
      <c r="F747" s="302">
        <v>2.4893608516467834E-3</v>
      </c>
      <c r="G747" s="302">
        <v>1.8297812550889775E-2</v>
      </c>
      <c r="H747" s="302">
        <f t="shared" si="275"/>
        <v>2.0787173402536559E-2</v>
      </c>
      <c r="I747" s="303"/>
      <c r="J747" s="302">
        <v>2.3940173591901304E-3</v>
      </c>
      <c r="K747" s="302">
        <v>1.6605924937195669E-2</v>
      </c>
      <c r="L747" s="302">
        <f t="shared" si="276"/>
        <v>1.89999422963858E-2</v>
      </c>
      <c r="M747" s="236"/>
      <c r="N747" s="236"/>
    </row>
    <row r="748" spans="1:14" x14ac:dyDescent="0.3">
      <c r="A748" s="237" t="str">
        <f>name!E$12</f>
        <v>Elementary occupations</v>
      </c>
      <c r="B748" s="302">
        <v>7.7999662338280147E-4</v>
      </c>
      <c r="C748" s="302">
        <v>4.7545955657464067E-3</v>
      </c>
      <c r="D748" s="302">
        <f t="shared" si="274"/>
        <v>5.5345921891292085E-3</v>
      </c>
      <c r="E748" s="303"/>
      <c r="F748" s="302">
        <v>9.1298990737266605E-3</v>
      </c>
      <c r="G748" s="302">
        <v>5.2709273435002812E-2</v>
      </c>
      <c r="H748" s="302">
        <f t="shared" si="275"/>
        <v>6.1839172508729473E-2</v>
      </c>
      <c r="I748" s="303"/>
      <c r="J748" s="302">
        <v>6.0011816365049802E-3</v>
      </c>
      <c r="K748" s="302">
        <v>4.1486248225558776E-2</v>
      </c>
      <c r="L748" s="302">
        <f t="shared" si="276"/>
        <v>4.7487429862063758E-2</v>
      </c>
      <c r="M748" s="236"/>
      <c r="N748" s="236"/>
    </row>
    <row r="749" spans="1:14" x14ac:dyDescent="0.3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  <c r="N749" s="236"/>
    </row>
    <row r="750" spans="1:14" x14ac:dyDescent="0.3">
      <c r="A750" s="244" t="s">
        <v>32</v>
      </c>
      <c r="B750" s="311">
        <f>SUM(B740:B748)</f>
        <v>2.4999999999896591E-2</v>
      </c>
      <c r="C750" s="311">
        <f t="shared" ref="C750:D750" si="277">SUM(C740:C748)</f>
        <v>0.15100000000027289</v>
      </c>
      <c r="D750" s="311">
        <f t="shared" si="277"/>
        <v>0.17600000000016955</v>
      </c>
      <c r="E750" s="311"/>
      <c r="F750" s="311">
        <f t="shared" ref="F750:H750" si="278">SUM(F740:F748)</f>
        <v>0.47600000000217879</v>
      </c>
      <c r="G750" s="311">
        <f t="shared" si="278"/>
        <v>2.1029999999959532</v>
      </c>
      <c r="H750" s="311">
        <f t="shared" si="278"/>
        <v>2.5789999999981323</v>
      </c>
      <c r="I750" s="311"/>
      <c r="J750" s="311">
        <f t="shared" ref="J750:L750" si="279">SUM(J740:J748)</f>
        <v>0.41900000000492194</v>
      </c>
      <c r="K750" s="311">
        <f t="shared" si="279"/>
        <v>1.9829999999998422</v>
      </c>
      <c r="L750" s="311">
        <f t="shared" si="279"/>
        <v>2.4020000000047639</v>
      </c>
      <c r="M750" s="236"/>
      <c r="N750" s="236"/>
    </row>
    <row r="751" spans="1:14" x14ac:dyDescent="0.3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  <c r="N751" s="236"/>
    </row>
    <row r="752" spans="1:14" x14ac:dyDescent="0.3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56" t="s">
        <v>35</v>
      </c>
      <c r="M752" s="236"/>
      <c r="N752" s="236"/>
    </row>
    <row r="753" spans="1:14" x14ac:dyDescent="0.3">
      <c r="A753" s="242"/>
      <c r="B753" s="250"/>
      <c r="C753" s="250"/>
      <c r="D753" s="250"/>
      <c r="E753" s="250"/>
      <c r="F753" s="250"/>
      <c r="G753" s="250"/>
      <c r="H753" s="250"/>
      <c r="I753" s="250"/>
      <c r="J753" s="250"/>
      <c r="K753" s="250"/>
      <c r="L753" s="236"/>
      <c r="M753" s="236"/>
      <c r="N753" s="236"/>
    </row>
    <row r="754" spans="1:14" x14ac:dyDescent="0.3">
      <c r="A754" s="241" t="str">
        <f>name!A47</f>
        <v>Telecommunications</v>
      </c>
      <c r="B754" s="373">
        <f>B$6</f>
        <v>2015</v>
      </c>
      <c r="C754" s="373"/>
      <c r="D754" s="373"/>
      <c r="E754" s="253"/>
      <c r="F754" s="373">
        <f>F737</f>
        <v>2020</v>
      </c>
      <c r="G754" s="373"/>
      <c r="H754" s="373"/>
      <c r="I754" s="253"/>
      <c r="J754" s="373">
        <f>J737</f>
        <v>2035</v>
      </c>
      <c r="K754" s="373"/>
      <c r="L754" s="373"/>
      <c r="M754" s="236"/>
      <c r="N754" s="236"/>
    </row>
    <row r="755" spans="1:14" x14ac:dyDescent="0.3">
      <c r="A755" s="254"/>
      <c r="B755" s="255" t="s">
        <v>352</v>
      </c>
      <c r="C755" s="255" t="s">
        <v>353</v>
      </c>
      <c r="D755" s="255" t="s">
        <v>32</v>
      </c>
      <c r="E755" s="255"/>
      <c r="F755" s="255" t="s">
        <v>352</v>
      </c>
      <c r="G755" s="255" t="s">
        <v>353</v>
      </c>
      <c r="H755" s="255" t="s">
        <v>32</v>
      </c>
      <c r="I755" s="255"/>
      <c r="J755" s="255" t="s">
        <v>352</v>
      </c>
      <c r="K755" s="255" t="s">
        <v>353</v>
      </c>
      <c r="L755" s="255" t="s">
        <v>32</v>
      </c>
      <c r="M755" s="236"/>
      <c r="N755" s="236"/>
    </row>
    <row r="756" spans="1:14" x14ac:dyDescent="0.3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  <c r="N756" s="236"/>
    </row>
    <row r="757" spans="1:14" x14ac:dyDescent="0.3">
      <c r="A757" s="237" t="str">
        <f>name!E$4</f>
        <v>Managers, directors and senior officials</v>
      </c>
      <c r="B757" s="302">
        <v>0.37515644716097302</v>
      </c>
      <c r="C757" s="302">
        <v>2.4736649480722881</v>
      </c>
      <c r="D757" s="302">
        <f>SUM(B757:C757)</f>
        <v>2.8488213952332613</v>
      </c>
      <c r="E757" s="303"/>
      <c r="F757" s="302">
        <v>0.55374181830966451</v>
      </c>
      <c r="G757" s="302">
        <v>2.9401048090309625</v>
      </c>
      <c r="H757" s="302">
        <f>SUM(F757:G757)</f>
        <v>3.493846627340627</v>
      </c>
      <c r="I757" s="303"/>
      <c r="J757" s="302">
        <v>0.69899946345066533</v>
      </c>
      <c r="K757" s="302">
        <v>3.0065060376996131</v>
      </c>
      <c r="L757" s="302">
        <f>SUM(J757:K757)</f>
        <v>3.7055055011502782</v>
      </c>
      <c r="M757" s="236"/>
      <c r="N757" s="236"/>
    </row>
    <row r="758" spans="1:14" x14ac:dyDescent="0.3">
      <c r="A758" s="237" t="str">
        <f>name!E$5</f>
        <v>Professional occupations</v>
      </c>
      <c r="B758" s="302">
        <v>0.41644575419012492</v>
      </c>
      <c r="C758" s="302">
        <v>4.6180903225482615</v>
      </c>
      <c r="D758" s="302">
        <f t="shared" ref="D758:D765" si="280">SUM(B758:C758)</f>
        <v>5.0345360767383864</v>
      </c>
      <c r="E758" s="303"/>
      <c r="F758" s="302">
        <v>0.69122359371365927</v>
      </c>
      <c r="G758" s="302">
        <v>5.9145006049231901</v>
      </c>
      <c r="H758" s="302">
        <f t="shared" ref="H758:H765" si="281">SUM(F758:G758)</f>
        <v>6.6057241986368496</v>
      </c>
      <c r="I758" s="303"/>
      <c r="J758" s="302">
        <v>0.89248247472528097</v>
      </c>
      <c r="K758" s="302">
        <v>6.8686954367314819</v>
      </c>
      <c r="L758" s="302">
        <f t="shared" ref="L758:L765" si="282">SUM(J758:K758)</f>
        <v>7.7611779114567625</v>
      </c>
      <c r="M758" s="236"/>
      <c r="N758" s="236"/>
    </row>
    <row r="759" spans="1:14" x14ac:dyDescent="0.3">
      <c r="A759" s="237" t="str">
        <f>name!E$6</f>
        <v>Associate professional occupations</v>
      </c>
      <c r="B759" s="302">
        <v>0.40624067720622564</v>
      </c>
      <c r="C759" s="302">
        <v>1.6608257763191554</v>
      </c>
      <c r="D759" s="302">
        <f t="shared" si="280"/>
        <v>2.0670664535253809</v>
      </c>
      <c r="E759" s="303"/>
      <c r="F759" s="302">
        <v>0.59116980159717925</v>
      </c>
      <c r="G759" s="302">
        <v>2.0157061023507863</v>
      </c>
      <c r="H759" s="302">
        <f t="shared" si="281"/>
        <v>2.6068759039479654</v>
      </c>
      <c r="I759" s="303"/>
      <c r="J759" s="302">
        <v>0.66047918547987117</v>
      </c>
      <c r="K759" s="302">
        <v>2.0124935344383235</v>
      </c>
      <c r="L759" s="302">
        <f t="shared" si="282"/>
        <v>2.6729727199181945</v>
      </c>
      <c r="M759" s="236"/>
      <c r="N759" s="236"/>
    </row>
    <row r="760" spans="1:14" x14ac:dyDescent="0.3">
      <c r="A760" s="237" t="str">
        <f>name!E$7</f>
        <v>Administrative and secretarial occupations</v>
      </c>
      <c r="B760" s="302">
        <v>0.3697728191800409</v>
      </c>
      <c r="C760" s="302">
        <v>0.50144304578012155</v>
      </c>
      <c r="D760" s="302">
        <f t="shared" si="280"/>
        <v>0.87121586496016246</v>
      </c>
      <c r="E760" s="303"/>
      <c r="F760" s="302">
        <v>0.4072297104761497</v>
      </c>
      <c r="G760" s="302">
        <v>0.6177149792707658</v>
      </c>
      <c r="H760" s="302">
        <f t="shared" si="281"/>
        <v>1.0249446897469154</v>
      </c>
      <c r="I760" s="303"/>
      <c r="J760" s="302">
        <v>0.33091253979053603</v>
      </c>
      <c r="K760" s="302">
        <v>0.66278850525342792</v>
      </c>
      <c r="L760" s="302">
        <f t="shared" si="282"/>
        <v>0.99370104504396395</v>
      </c>
      <c r="M760" s="236"/>
      <c r="N760" s="236"/>
    </row>
    <row r="761" spans="1:14" x14ac:dyDescent="0.3">
      <c r="A761" s="237" t="str">
        <f>name!E$8</f>
        <v>Skilled trades occupations</v>
      </c>
      <c r="B761" s="302">
        <v>5.9857505328952149E-2</v>
      </c>
      <c r="C761" s="302">
        <v>2.0597807038957892</v>
      </c>
      <c r="D761" s="302">
        <f t="shared" si="280"/>
        <v>2.1196382092247412</v>
      </c>
      <c r="E761" s="303"/>
      <c r="F761" s="302">
        <v>8.8167935272763287E-2</v>
      </c>
      <c r="G761" s="302">
        <v>1.782485271467362</v>
      </c>
      <c r="H761" s="302">
        <f t="shared" si="281"/>
        <v>1.8706532067401254</v>
      </c>
      <c r="I761" s="303"/>
      <c r="J761" s="302">
        <v>0.14128910665848451</v>
      </c>
      <c r="K761" s="302">
        <v>1.2833378498244357</v>
      </c>
      <c r="L761" s="302">
        <f t="shared" si="282"/>
        <v>1.4246269564829201</v>
      </c>
      <c r="M761" s="236"/>
      <c r="N761" s="236"/>
    </row>
    <row r="762" spans="1:14" x14ac:dyDescent="0.3">
      <c r="A762" s="237" t="str">
        <f>name!E$9</f>
        <v>Caring, leisure and other service occupations</v>
      </c>
      <c r="B762" s="302">
        <v>5.6317792272398831E-2</v>
      </c>
      <c r="C762" s="302">
        <v>0.34186891924848001</v>
      </c>
      <c r="D762" s="302">
        <f t="shared" si="280"/>
        <v>0.39818671152087881</v>
      </c>
      <c r="E762" s="303"/>
      <c r="F762" s="302">
        <v>2.3675439683950413E-2</v>
      </c>
      <c r="G762" s="302">
        <v>0.36775851467206877</v>
      </c>
      <c r="H762" s="302">
        <f t="shared" si="281"/>
        <v>0.39143395435601919</v>
      </c>
      <c r="I762" s="303"/>
      <c r="J762" s="302">
        <v>2.2614648234706367E-2</v>
      </c>
      <c r="K762" s="302">
        <v>0.52662370131433123</v>
      </c>
      <c r="L762" s="302">
        <f t="shared" si="282"/>
        <v>0.54923834954903761</v>
      </c>
      <c r="M762" s="236"/>
      <c r="N762" s="236"/>
    </row>
    <row r="763" spans="1:14" x14ac:dyDescent="0.3">
      <c r="A763" s="237" t="str">
        <f>name!E$10</f>
        <v>Sales and customer service occupations</v>
      </c>
      <c r="B763" s="302">
        <v>0.59250718629296451</v>
      </c>
      <c r="C763" s="302">
        <v>0.84979050243760335</v>
      </c>
      <c r="D763" s="302">
        <f t="shared" si="280"/>
        <v>1.4422976887305679</v>
      </c>
      <c r="E763" s="303"/>
      <c r="F763" s="302">
        <v>0.64332959741630158</v>
      </c>
      <c r="G763" s="302">
        <v>0.98631211641830208</v>
      </c>
      <c r="H763" s="302">
        <f t="shared" si="281"/>
        <v>1.6296417138346038</v>
      </c>
      <c r="I763" s="303"/>
      <c r="J763" s="302">
        <v>0.68830547943191189</v>
      </c>
      <c r="K763" s="302">
        <v>1.3334631822162655</v>
      </c>
      <c r="L763" s="302">
        <f t="shared" si="282"/>
        <v>2.0217686616481774</v>
      </c>
      <c r="M763" s="236"/>
      <c r="N763" s="236"/>
    </row>
    <row r="764" spans="1:14" x14ac:dyDescent="0.3">
      <c r="A764" s="237" t="str">
        <f>name!E$11</f>
        <v>Process, plant and machine operatives</v>
      </c>
      <c r="B764" s="302">
        <v>2.2630930117449183E-2</v>
      </c>
      <c r="C764" s="302">
        <v>0.14209395122718685</v>
      </c>
      <c r="D764" s="302">
        <f t="shared" si="280"/>
        <v>0.16472488134463603</v>
      </c>
      <c r="E764" s="303"/>
      <c r="F764" s="302">
        <v>1.3916732853493371E-2</v>
      </c>
      <c r="G764" s="302">
        <v>0.13090806084661097</v>
      </c>
      <c r="H764" s="302">
        <f t="shared" si="281"/>
        <v>0.14482479370010434</v>
      </c>
      <c r="I764" s="303"/>
      <c r="J764" s="302">
        <v>2.2458070566831363E-2</v>
      </c>
      <c r="K764" s="302">
        <v>0.16135677699462481</v>
      </c>
      <c r="L764" s="302">
        <f t="shared" si="282"/>
        <v>0.18381484756145616</v>
      </c>
      <c r="M764" s="236"/>
      <c r="N764" s="236"/>
    </row>
    <row r="765" spans="1:14" x14ac:dyDescent="0.3">
      <c r="A765" s="237" t="str">
        <f>name!E$12</f>
        <v>Elementary occupations</v>
      </c>
      <c r="B765" s="302">
        <v>3.0070888235007295E-2</v>
      </c>
      <c r="C765" s="302">
        <v>0.17744183036163075</v>
      </c>
      <c r="D765" s="302">
        <f t="shared" si="280"/>
        <v>0.20751271859663806</v>
      </c>
      <c r="E765" s="303"/>
      <c r="F765" s="302">
        <v>1.854537066610602E-2</v>
      </c>
      <c r="G765" s="302">
        <v>0.17250954081042943</v>
      </c>
      <c r="H765" s="302">
        <f t="shared" si="281"/>
        <v>0.19105491147653544</v>
      </c>
      <c r="I765" s="303"/>
      <c r="J765" s="302">
        <v>1.5459031666374058E-2</v>
      </c>
      <c r="K765" s="302">
        <v>0.18873497522557051</v>
      </c>
      <c r="L765" s="302">
        <f t="shared" si="282"/>
        <v>0.20419400689194456</v>
      </c>
      <c r="M765" s="236"/>
      <c r="N765" s="236"/>
    </row>
    <row r="766" spans="1:14" x14ac:dyDescent="0.3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  <c r="N766" s="236"/>
    </row>
    <row r="767" spans="1:14" x14ac:dyDescent="0.3">
      <c r="A767" s="244" t="s">
        <v>32</v>
      </c>
      <c r="B767" s="311">
        <f>SUM(B757:B765)</f>
        <v>2.3289999999841364</v>
      </c>
      <c r="C767" s="311">
        <f t="shared" ref="C767:D767" si="283">SUM(C757:C765)</f>
        <v>12.824999999890515</v>
      </c>
      <c r="D767" s="311">
        <f t="shared" si="283"/>
        <v>15.153999999874651</v>
      </c>
      <c r="E767" s="311"/>
      <c r="F767" s="311">
        <f t="shared" ref="F767:H767" si="284">SUM(F757:F765)</f>
        <v>3.0309999999892674</v>
      </c>
      <c r="G767" s="311">
        <f t="shared" si="284"/>
        <v>14.927999999790476</v>
      </c>
      <c r="H767" s="311">
        <f t="shared" si="284"/>
        <v>17.958999999779742</v>
      </c>
      <c r="I767" s="311"/>
      <c r="J767" s="311">
        <f t="shared" ref="J767:L767" si="285">SUM(J757:J765)</f>
        <v>3.473000000004661</v>
      </c>
      <c r="K767" s="311">
        <f t="shared" si="285"/>
        <v>16.043999999698073</v>
      </c>
      <c r="L767" s="311">
        <f t="shared" si="285"/>
        <v>19.516999999702737</v>
      </c>
      <c r="M767" s="236"/>
      <c r="N767" s="236"/>
    </row>
    <row r="768" spans="1:14" x14ac:dyDescent="0.3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  <c r="N768" s="236"/>
    </row>
    <row r="769" spans="1:14" x14ac:dyDescent="0.3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56" t="s">
        <v>35</v>
      </c>
      <c r="M769" s="236"/>
      <c r="N769" s="236"/>
    </row>
    <row r="770" spans="1:14" x14ac:dyDescent="0.3">
      <c r="A770" s="242"/>
      <c r="B770" s="250"/>
      <c r="C770" s="250"/>
      <c r="D770" s="250"/>
      <c r="E770" s="250"/>
      <c r="F770" s="250"/>
      <c r="G770" s="250"/>
      <c r="H770" s="250"/>
      <c r="I770" s="250"/>
      <c r="J770" s="250"/>
      <c r="K770" s="250"/>
      <c r="L770" s="236"/>
      <c r="M770" s="236"/>
      <c r="N770" s="236"/>
    </row>
    <row r="771" spans="1:14" x14ac:dyDescent="0.3">
      <c r="A771" s="241" t="str">
        <f>name!A48</f>
        <v>Computing services</v>
      </c>
      <c r="B771" s="373">
        <f>B$6</f>
        <v>2015</v>
      </c>
      <c r="C771" s="373"/>
      <c r="D771" s="373"/>
      <c r="E771" s="253"/>
      <c r="F771" s="373">
        <f>F$6</f>
        <v>2020</v>
      </c>
      <c r="G771" s="373"/>
      <c r="H771" s="373"/>
      <c r="I771" s="253"/>
      <c r="J771" s="373">
        <f>J$6</f>
        <v>2035</v>
      </c>
      <c r="K771" s="373"/>
      <c r="L771" s="373"/>
      <c r="M771" s="236"/>
      <c r="N771" s="236"/>
    </row>
    <row r="772" spans="1:14" x14ac:dyDescent="0.3">
      <c r="A772" s="254"/>
      <c r="B772" s="255" t="s">
        <v>352</v>
      </c>
      <c r="C772" s="255" t="s">
        <v>353</v>
      </c>
      <c r="D772" s="255" t="s">
        <v>32</v>
      </c>
      <c r="E772" s="255"/>
      <c r="F772" s="255" t="s">
        <v>352</v>
      </c>
      <c r="G772" s="255" t="s">
        <v>353</v>
      </c>
      <c r="H772" s="255" t="s">
        <v>32</v>
      </c>
      <c r="I772" s="255"/>
      <c r="J772" s="255" t="s">
        <v>352</v>
      </c>
      <c r="K772" s="255" t="s">
        <v>353</v>
      </c>
      <c r="L772" s="255" t="s">
        <v>32</v>
      </c>
      <c r="M772" s="236"/>
      <c r="N772" s="236"/>
    </row>
    <row r="773" spans="1:14" x14ac:dyDescent="0.3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  <c r="N773" s="236"/>
    </row>
    <row r="774" spans="1:14" x14ac:dyDescent="0.3">
      <c r="A774" s="237" t="str">
        <f>name!E$4</f>
        <v>Managers, directors and senior officials</v>
      </c>
      <c r="B774" s="302">
        <v>2.7183408669810616</v>
      </c>
      <c r="C774" s="302">
        <v>6.6789589496626993</v>
      </c>
      <c r="D774" s="302">
        <f>SUM(B774:C774)</f>
        <v>9.3972998166437609</v>
      </c>
      <c r="E774" s="303"/>
      <c r="F774" s="302">
        <v>3.2980720526153262</v>
      </c>
      <c r="G774" s="302">
        <v>6.6574127594053198</v>
      </c>
      <c r="H774" s="302">
        <f>SUM(F774:G774)</f>
        <v>9.9554848120206465</v>
      </c>
      <c r="I774" s="303"/>
      <c r="J774" s="302">
        <v>4.1027722725632501</v>
      </c>
      <c r="K774" s="302">
        <v>6.5948279891872277</v>
      </c>
      <c r="L774" s="302">
        <f>SUM(J774:K774)</f>
        <v>10.697600261750477</v>
      </c>
      <c r="M774" s="236"/>
      <c r="N774" s="236"/>
    </row>
    <row r="775" spans="1:14" x14ac:dyDescent="0.3">
      <c r="A775" s="237" t="str">
        <f>name!E$5</f>
        <v>Professional occupations</v>
      </c>
      <c r="B775" s="302">
        <v>5.9084242546605097</v>
      </c>
      <c r="C775" s="302">
        <v>24.853316838787972</v>
      </c>
      <c r="D775" s="302">
        <f t="shared" ref="D775:D782" si="286">SUM(B775:C775)</f>
        <v>30.761741093448482</v>
      </c>
      <c r="E775" s="303"/>
      <c r="F775" s="302">
        <v>7.9052956177465452</v>
      </c>
      <c r="G775" s="302">
        <v>24.51800220564456</v>
      </c>
      <c r="H775" s="302">
        <f t="shared" ref="H775:H782" si="287">SUM(F775:G775)</f>
        <v>32.423297823391103</v>
      </c>
      <c r="I775" s="303"/>
      <c r="J775" s="302">
        <v>10.029973736930692</v>
      </c>
      <c r="K775" s="302">
        <v>27.662658931430489</v>
      </c>
      <c r="L775" s="302">
        <f t="shared" ref="L775:L782" si="288">SUM(J775:K775)</f>
        <v>37.692632668361185</v>
      </c>
      <c r="M775" s="236"/>
      <c r="N775" s="236"/>
    </row>
    <row r="776" spans="1:14" x14ac:dyDescent="0.3">
      <c r="A776" s="237" t="str">
        <f>name!E$6</f>
        <v>Associate professional occupations</v>
      </c>
      <c r="B776" s="302">
        <v>3.6056883759871852</v>
      </c>
      <c r="C776" s="302">
        <v>6.9881936228592547</v>
      </c>
      <c r="D776" s="302">
        <f t="shared" si="286"/>
        <v>10.59388199884644</v>
      </c>
      <c r="E776" s="303"/>
      <c r="F776" s="302">
        <v>4.1003716883486856</v>
      </c>
      <c r="G776" s="302">
        <v>6.8757731376227715</v>
      </c>
      <c r="H776" s="302">
        <f t="shared" si="287"/>
        <v>10.976144825971456</v>
      </c>
      <c r="I776" s="303"/>
      <c r="J776" s="302">
        <v>4.6088129206343433</v>
      </c>
      <c r="K776" s="302">
        <v>6.7831318013747577</v>
      </c>
      <c r="L776" s="302">
        <f t="shared" si="288"/>
        <v>11.3919447220091</v>
      </c>
      <c r="M776" s="236"/>
      <c r="N776" s="236"/>
    </row>
    <row r="777" spans="1:14" x14ac:dyDescent="0.3">
      <c r="A777" s="237" t="str">
        <f>name!E$7</f>
        <v>Administrative and secretarial occupations</v>
      </c>
      <c r="B777" s="302">
        <v>3.3271127573672103</v>
      </c>
      <c r="C777" s="302">
        <v>0.80232301594829902</v>
      </c>
      <c r="D777" s="302">
        <f t="shared" si="286"/>
        <v>4.1294357733155094</v>
      </c>
      <c r="E777" s="303"/>
      <c r="F777" s="302">
        <v>3.081546218985495</v>
      </c>
      <c r="G777" s="302">
        <v>0.79339897160090744</v>
      </c>
      <c r="H777" s="302">
        <f t="shared" si="287"/>
        <v>3.8749451905864025</v>
      </c>
      <c r="I777" s="303"/>
      <c r="J777" s="302">
        <v>2.0697332461368259</v>
      </c>
      <c r="K777" s="302">
        <v>0.66840671806778906</v>
      </c>
      <c r="L777" s="302">
        <f t="shared" si="288"/>
        <v>2.7381399642046151</v>
      </c>
      <c r="M777" s="236"/>
      <c r="N777" s="236"/>
    </row>
    <row r="778" spans="1:14" x14ac:dyDescent="0.3">
      <c r="A778" s="237" t="str">
        <f>name!E$8</f>
        <v>Skilled trades occupations</v>
      </c>
      <c r="B778" s="302">
        <v>0.24279343936364284</v>
      </c>
      <c r="C778" s="302">
        <v>2.848363572643847</v>
      </c>
      <c r="D778" s="302">
        <f t="shared" si="286"/>
        <v>3.09115701200749</v>
      </c>
      <c r="E778" s="303"/>
      <c r="F778" s="302">
        <v>0.27316302184727487</v>
      </c>
      <c r="G778" s="302">
        <v>2.1261265607568243</v>
      </c>
      <c r="H778" s="302">
        <f t="shared" si="287"/>
        <v>2.3992895826040992</v>
      </c>
      <c r="I778" s="303"/>
      <c r="J778" s="302">
        <v>0.41186464379792198</v>
      </c>
      <c r="K778" s="302">
        <v>2.1510407288719544</v>
      </c>
      <c r="L778" s="302">
        <f t="shared" si="288"/>
        <v>2.5629053726698765</v>
      </c>
      <c r="M778" s="236"/>
      <c r="N778" s="236"/>
    </row>
    <row r="779" spans="1:14" x14ac:dyDescent="0.3">
      <c r="A779" s="237" t="str">
        <f>name!E$9</f>
        <v>Caring, leisure and other service occupations</v>
      </c>
      <c r="B779" s="302">
        <v>0.69808713757773</v>
      </c>
      <c r="C779" s="302">
        <v>0.461920684553557</v>
      </c>
      <c r="D779" s="302">
        <f t="shared" si="286"/>
        <v>1.1600078221312871</v>
      </c>
      <c r="E779" s="303"/>
      <c r="F779" s="302">
        <v>0.6371187899269698</v>
      </c>
      <c r="G779" s="302">
        <v>0.42684170923551551</v>
      </c>
      <c r="H779" s="302">
        <f t="shared" si="287"/>
        <v>1.0639604991624854</v>
      </c>
      <c r="I779" s="303"/>
      <c r="J779" s="302">
        <v>0.73218699077935046</v>
      </c>
      <c r="K779" s="302">
        <v>0.63421846612549282</v>
      </c>
      <c r="L779" s="302">
        <f t="shared" si="288"/>
        <v>1.3664054569048432</v>
      </c>
      <c r="M779" s="236"/>
      <c r="N779" s="236"/>
    </row>
    <row r="780" spans="1:14" x14ac:dyDescent="0.3">
      <c r="A780" s="237" t="str">
        <f>name!E$10</f>
        <v>Sales and customer service occupations</v>
      </c>
      <c r="B780" s="302">
        <v>1.0920662966203509</v>
      </c>
      <c r="C780" s="302">
        <v>0.34986486833682434</v>
      </c>
      <c r="D780" s="302">
        <f t="shared" si="286"/>
        <v>1.4419311649571753</v>
      </c>
      <c r="E780" s="303"/>
      <c r="F780" s="302">
        <v>0.99542785079107832</v>
      </c>
      <c r="G780" s="302">
        <v>0.38519384699861864</v>
      </c>
      <c r="H780" s="302">
        <f t="shared" si="287"/>
        <v>1.380621697789697</v>
      </c>
      <c r="I780" s="303"/>
      <c r="J780" s="302">
        <v>1.1029679917465685</v>
      </c>
      <c r="K780" s="302">
        <v>0.51241511806104922</v>
      </c>
      <c r="L780" s="302">
        <f t="shared" si="288"/>
        <v>1.6153831098076177</v>
      </c>
      <c r="M780" s="236"/>
      <c r="N780" s="236"/>
    </row>
    <row r="781" spans="1:14" x14ac:dyDescent="0.3">
      <c r="A781" s="237" t="str">
        <f>name!E$11</f>
        <v>Process, plant and machine operatives</v>
      </c>
      <c r="B781" s="302">
        <v>0.12813355626562467</v>
      </c>
      <c r="C781" s="302">
        <v>0.33955688324424138</v>
      </c>
      <c r="D781" s="302">
        <f t="shared" si="286"/>
        <v>0.46769043950986605</v>
      </c>
      <c r="E781" s="303"/>
      <c r="F781" s="302">
        <v>9.7395265718318885E-2</v>
      </c>
      <c r="G781" s="302">
        <v>0.49219516640438843</v>
      </c>
      <c r="H781" s="302">
        <f t="shared" si="287"/>
        <v>0.58959043212270734</v>
      </c>
      <c r="I781" s="303"/>
      <c r="J781" s="302">
        <v>0.12259431265412009</v>
      </c>
      <c r="K781" s="302">
        <v>0.6056268261898442</v>
      </c>
      <c r="L781" s="302">
        <f t="shared" si="288"/>
        <v>0.72822113884396433</v>
      </c>
      <c r="M781" s="236"/>
      <c r="N781" s="236"/>
    </row>
    <row r="782" spans="1:14" x14ac:dyDescent="0.3">
      <c r="A782" s="237" t="str">
        <f>name!E$12</f>
        <v>Elementary occupations</v>
      </c>
      <c r="B782" s="302">
        <v>0.17435331491104428</v>
      </c>
      <c r="C782" s="302">
        <v>0.24050156351916316</v>
      </c>
      <c r="D782" s="302">
        <f t="shared" si="286"/>
        <v>0.41485487843020741</v>
      </c>
      <c r="E782" s="303"/>
      <c r="F782" s="302">
        <v>0.11360949406072976</v>
      </c>
      <c r="G782" s="302">
        <v>0.19705564160205666</v>
      </c>
      <c r="H782" s="302">
        <f t="shared" si="287"/>
        <v>0.31066513566278642</v>
      </c>
      <c r="I782" s="303"/>
      <c r="J782" s="302">
        <v>8.8093884832859057E-2</v>
      </c>
      <c r="K782" s="302">
        <v>0.15767341963336479</v>
      </c>
      <c r="L782" s="302">
        <f t="shared" si="288"/>
        <v>0.24576730446622386</v>
      </c>
      <c r="M782" s="236"/>
      <c r="N782" s="236"/>
    </row>
    <row r="783" spans="1:14" x14ac:dyDescent="0.3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  <c r="N783" s="236"/>
    </row>
    <row r="784" spans="1:14" x14ac:dyDescent="0.3">
      <c r="A784" s="244" t="s">
        <v>32</v>
      </c>
      <c r="B784" s="311">
        <f>SUM(B774:B782)</f>
        <v>17.894999999734363</v>
      </c>
      <c r="C784" s="311">
        <f t="shared" ref="C784:D784" si="289">SUM(C774:C782)</f>
        <v>43.562999999555849</v>
      </c>
      <c r="D784" s="311">
        <f t="shared" si="289"/>
        <v>61.457999999290216</v>
      </c>
      <c r="E784" s="311"/>
      <c r="F784" s="311">
        <f t="shared" ref="F784:H784" si="290">SUM(F774:F782)</f>
        <v>20.502000000040422</v>
      </c>
      <c r="G784" s="311">
        <f t="shared" si="290"/>
        <v>42.471999999270963</v>
      </c>
      <c r="H784" s="311">
        <f t="shared" si="290"/>
        <v>62.973999999311388</v>
      </c>
      <c r="I784" s="311"/>
      <c r="J784" s="311">
        <f t="shared" ref="J784:L784" si="291">SUM(J774:J782)</f>
        <v>23.269000000075931</v>
      </c>
      <c r="K784" s="311">
        <f t="shared" si="291"/>
        <v>45.769999998941962</v>
      </c>
      <c r="L784" s="311">
        <f t="shared" si="291"/>
        <v>69.038999999017918</v>
      </c>
      <c r="M784" s="236"/>
      <c r="N784" s="236"/>
    </row>
    <row r="785" spans="1:14" x14ac:dyDescent="0.3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  <c r="N785" s="236"/>
    </row>
    <row r="786" spans="1:14" x14ac:dyDescent="0.3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56" t="s">
        <v>35</v>
      </c>
      <c r="M786" s="236"/>
      <c r="N786" s="236"/>
    </row>
    <row r="787" spans="1:14" x14ac:dyDescent="0.3">
      <c r="A787" s="242"/>
      <c r="B787" s="250"/>
      <c r="C787" s="250"/>
      <c r="D787" s="250"/>
      <c r="E787" s="250"/>
      <c r="F787" s="250"/>
      <c r="G787" s="250"/>
      <c r="H787" s="250"/>
      <c r="I787" s="250"/>
      <c r="J787" s="250"/>
      <c r="K787" s="250"/>
      <c r="L787" s="236"/>
      <c r="M787" s="236"/>
      <c r="N787" s="236"/>
    </row>
    <row r="788" spans="1:14" x14ac:dyDescent="0.3">
      <c r="A788" s="241" t="str">
        <f>name!A49</f>
        <v>Information services</v>
      </c>
      <c r="B788" s="373">
        <f>B$6</f>
        <v>2015</v>
      </c>
      <c r="C788" s="373"/>
      <c r="D788" s="373"/>
      <c r="E788" s="253"/>
      <c r="F788" s="373">
        <f>F$6</f>
        <v>2020</v>
      </c>
      <c r="G788" s="373"/>
      <c r="H788" s="373"/>
      <c r="I788" s="253"/>
      <c r="J788" s="373">
        <f>J$6</f>
        <v>2035</v>
      </c>
      <c r="K788" s="373"/>
      <c r="L788" s="373"/>
      <c r="M788" s="236"/>
      <c r="N788" s="236"/>
    </row>
    <row r="789" spans="1:14" x14ac:dyDescent="0.3">
      <c r="A789" s="254"/>
      <c r="B789" s="255" t="s">
        <v>352</v>
      </c>
      <c r="C789" s="255" t="s">
        <v>353</v>
      </c>
      <c r="D789" s="255" t="s">
        <v>32</v>
      </c>
      <c r="E789" s="255"/>
      <c r="F789" s="255" t="s">
        <v>352</v>
      </c>
      <c r="G789" s="255" t="s">
        <v>353</v>
      </c>
      <c r="H789" s="255" t="s">
        <v>32</v>
      </c>
      <c r="I789" s="255"/>
      <c r="J789" s="255" t="s">
        <v>352</v>
      </c>
      <c r="K789" s="255" t="s">
        <v>353</v>
      </c>
      <c r="L789" s="255" t="s">
        <v>32</v>
      </c>
      <c r="M789" s="236"/>
      <c r="N789" s="236"/>
    </row>
    <row r="790" spans="1:14" x14ac:dyDescent="0.3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  <c r="N790" s="236"/>
    </row>
    <row r="791" spans="1:14" x14ac:dyDescent="0.3">
      <c r="A791" s="237" t="str">
        <f>name!E$4</f>
        <v>Managers, directors and senior officials</v>
      </c>
      <c r="B791" s="302">
        <v>0.21163586275817683</v>
      </c>
      <c r="C791" s="302">
        <v>0.68294650654933842</v>
      </c>
      <c r="D791" s="302">
        <f>SUM(B791:C791)</f>
        <v>0.89458236930751522</v>
      </c>
      <c r="E791" s="303"/>
      <c r="F791" s="302">
        <v>0.10087896455454484</v>
      </c>
      <c r="G791" s="302">
        <v>0.25514509254652595</v>
      </c>
      <c r="H791" s="302">
        <f>SUM(F791:G791)</f>
        <v>0.35602405710107077</v>
      </c>
      <c r="I791" s="303"/>
      <c r="J791" s="302">
        <v>0.12773582507204215</v>
      </c>
      <c r="K791" s="302">
        <v>0.26301921796278349</v>
      </c>
      <c r="L791" s="302">
        <f>SUM(J791:K791)</f>
        <v>0.39075504303482567</v>
      </c>
      <c r="M791" s="236"/>
      <c r="N791" s="236"/>
    </row>
    <row r="792" spans="1:14" x14ac:dyDescent="0.3">
      <c r="A792" s="237" t="str">
        <f>name!E$5</f>
        <v>Professional occupations</v>
      </c>
      <c r="B792" s="302">
        <v>0.3478743065878307</v>
      </c>
      <c r="C792" s="302">
        <v>1.9706906714600241</v>
      </c>
      <c r="D792" s="302">
        <f t="shared" ref="D792:D799" si="292">SUM(B792:C792)</f>
        <v>2.3185649780478546</v>
      </c>
      <c r="E792" s="303"/>
      <c r="F792" s="302">
        <v>0.18771545966970346</v>
      </c>
      <c r="G792" s="302">
        <v>0.71831593867325483</v>
      </c>
      <c r="H792" s="302">
        <f t="shared" ref="H792:H799" si="293">SUM(F792:G792)</f>
        <v>0.90603139834295832</v>
      </c>
      <c r="I792" s="303"/>
      <c r="J792" s="302">
        <v>0.22597928250402935</v>
      </c>
      <c r="K792" s="302">
        <v>0.81892063902599721</v>
      </c>
      <c r="L792" s="302">
        <f t="shared" ref="L792:L799" si="294">SUM(J792:K792)</f>
        <v>1.0448999215300265</v>
      </c>
      <c r="M792" s="236"/>
      <c r="N792" s="236"/>
    </row>
    <row r="793" spans="1:14" x14ac:dyDescent="0.3">
      <c r="A793" s="237" t="str">
        <f>name!E$6</f>
        <v>Associate professional occupations</v>
      </c>
      <c r="B793" s="302">
        <v>0.29911880888709436</v>
      </c>
      <c r="C793" s="302">
        <v>0.85814341515388937</v>
      </c>
      <c r="D793" s="302">
        <f t="shared" si="292"/>
        <v>1.1572622240409838</v>
      </c>
      <c r="E793" s="303"/>
      <c r="F793" s="302">
        <v>0.14362351701533929</v>
      </c>
      <c r="G793" s="302">
        <v>0.30529709832922464</v>
      </c>
      <c r="H793" s="302">
        <f t="shared" si="293"/>
        <v>0.44892061534456396</v>
      </c>
      <c r="I793" s="303"/>
      <c r="J793" s="302">
        <v>0.16053924911469925</v>
      </c>
      <c r="K793" s="302">
        <v>0.30500644740412408</v>
      </c>
      <c r="L793" s="302">
        <f t="shared" si="294"/>
        <v>0.46554569651882333</v>
      </c>
      <c r="M793" s="236"/>
      <c r="N793" s="236"/>
    </row>
    <row r="794" spans="1:14" x14ac:dyDescent="0.3">
      <c r="A794" s="237" t="str">
        <f>name!E$7</f>
        <v>Administrative and secretarial occupations</v>
      </c>
      <c r="B794" s="302">
        <v>0.33040204277999879</v>
      </c>
      <c r="C794" s="302">
        <v>0.14689346517533533</v>
      </c>
      <c r="D794" s="302">
        <f t="shared" si="292"/>
        <v>0.47729550795533415</v>
      </c>
      <c r="E794" s="303"/>
      <c r="F794" s="302">
        <v>0.15674768038170747</v>
      </c>
      <c r="G794" s="302">
        <v>5.1039186877665337E-2</v>
      </c>
      <c r="H794" s="302">
        <f t="shared" si="293"/>
        <v>0.20778686725937281</v>
      </c>
      <c r="I794" s="303"/>
      <c r="J794" s="302">
        <v>0.1249038679504806</v>
      </c>
      <c r="K794" s="302">
        <v>4.7956052724161403E-2</v>
      </c>
      <c r="L794" s="302">
        <f t="shared" si="294"/>
        <v>0.17285992067464201</v>
      </c>
      <c r="M794" s="236"/>
      <c r="N794" s="236"/>
    </row>
    <row r="795" spans="1:14" x14ac:dyDescent="0.3">
      <c r="A795" s="237" t="str">
        <f>name!E$8</f>
        <v>Skilled trades occupations</v>
      </c>
      <c r="B795" s="302">
        <v>2.3217240350123652E-2</v>
      </c>
      <c r="C795" s="302">
        <v>0.30204656744920133</v>
      </c>
      <c r="D795" s="302">
        <f t="shared" si="292"/>
        <v>0.32526380779932496</v>
      </c>
      <c r="E795" s="303"/>
      <c r="F795" s="302">
        <v>1.0643355678254571E-2</v>
      </c>
      <c r="G795" s="302">
        <v>8.6732359953697602E-2</v>
      </c>
      <c r="H795" s="302">
        <f t="shared" si="293"/>
        <v>9.7375715631952173E-2</v>
      </c>
      <c r="I795" s="303"/>
      <c r="J795" s="302">
        <v>1.4195682964841109E-2</v>
      </c>
      <c r="K795" s="302">
        <v>8.7588361418317051E-2</v>
      </c>
      <c r="L795" s="302">
        <f t="shared" si="294"/>
        <v>0.10178404438315816</v>
      </c>
      <c r="M795" s="236"/>
      <c r="N795" s="236"/>
    </row>
    <row r="796" spans="1:14" x14ac:dyDescent="0.3">
      <c r="A796" s="237" t="str">
        <f>name!E$9</f>
        <v>Caring, leisure and other service occupations</v>
      </c>
      <c r="B796" s="302">
        <v>0.16202535403816939</v>
      </c>
      <c r="C796" s="302">
        <v>6.8985449069984522E-2</v>
      </c>
      <c r="D796" s="302">
        <f t="shared" si="292"/>
        <v>0.23101080310815392</v>
      </c>
      <c r="E796" s="303"/>
      <c r="F796" s="302">
        <v>7.5685508362107551E-2</v>
      </c>
      <c r="G796" s="302">
        <v>3.4467279170664562E-2</v>
      </c>
      <c r="H796" s="302">
        <f t="shared" si="293"/>
        <v>0.11015278753277211</v>
      </c>
      <c r="I796" s="303"/>
      <c r="J796" s="302">
        <v>0.10074977197647757</v>
      </c>
      <c r="K796" s="302">
        <v>4.2678678098035973E-2</v>
      </c>
      <c r="L796" s="302">
        <f t="shared" si="294"/>
        <v>0.14342845007451355</v>
      </c>
      <c r="M796" s="236"/>
      <c r="N796" s="236"/>
    </row>
    <row r="797" spans="1:14" x14ac:dyDescent="0.3">
      <c r="A797" s="237" t="str">
        <f>name!E$10</f>
        <v>Sales and customer service occupations</v>
      </c>
      <c r="B797" s="302">
        <v>0.13536934356397057</v>
      </c>
      <c r="C797" s="302">
        <v>0.11018244947702763</v>
      </c>
      <c r="D797" s="302">
        <f t="shared" si="292"/>
        <v>0.2455517930409982</v>
      </c>
      <c r="E797" s="303"/>
      <c r="F797" s="302">
        <v>6.0746234082443451E-2</v>
      </c>
      <c r="G797" s="302">
        <v>4.1123394853602432E-2</v>
      </c>
      <c r="H797" s="302">
        <f t="shared" si="293"/>
        <v>0.10186962893604588</v>
      </c>
      <c r="I797" s="303"/>
      <c r="J797" s="302">
        <v>8.0259474120528224E-2</v>
      </c>
      <c r="K797" s="302">
        <v>5.0636984344701118E-2</v>
      </c>
      <c r="L797" s="302">
        <f t="shared" si="294"/>
        <v>0.13089645846522935</v>
      </c>
      <c r="M797" s="236"/>
      <c r="N797" s="236"/>
    </row>
    <row r="798" spans="1:14" x14ac:dyDescent="0.3">
      <c r="A798" s="237" t="str">
        <f>name!E$11</f>
        <v>Process, plant and machine operatives</v>
      </c>
      <c r="B798" s="302">
        <v>2.2453297472784826E-2</v>
      </c>
      <c r="C798" s="302">
        <v>0.11117575214473856</v>
      </c>
      <c r="D798" s="302">
        <f t="shared" si="292"/>
        <v>0.13362904961752339</v>
      </c>
      <c r="E798" s="303"/>
      <c r="F798" s="302">
        <v>7.8859376738754615E-3</v>
      </c>
      <c r="G798" s="302">
        <v>5.2087095756207132E-2</v>
      </c>
      <c r="H798" s="302">
        <f t="shared" si="293"/>
        <v>5.997303343008259E-2</v>
      </c>
      <c r="I798" s="303"/>
      <c r="J798" s="302">
        <v>1.1494125887425391E-2</v>
      </c>
      <c r="K798" s="302">
        <v>6.2713323796337678E-2</v>
      </c>
      <c r="L798" s="302">
        <f t="shared" si="294"/>
        <v>7.4207449683763069E-2</v>
      </c>
      <c r="M798" s="236"/>
      <c r="N798" s="236"/>
    </row>
    <row r="799" spans="1:14" x14ac:dyDescent="0.3">
      <c r="A799" s="237" t="str">
        <f>name!E$12</f>
        <v>Elementary occupations</v>
      </c>
      <c r="B799" s="302">
        <v>0.22190374355360576</v>
      </c>
      <c r="C799" s="302">
        <v>0.59193572348783341</v>
      </c>
      <c r="D799" s="302">
        <f t="shared" si="292"/>
        <v>0.81383946704143917</v>
      </c>
      <c r="E799" s="303"/>
      <c r="F799" s="302">
        <v>0.15807334257634337</v>
      </c>
      <c r="G799" s="302">
        <v>0.25479255382317073</v>
      </c>
      <c r="H799" s="302">
        <f t="shared" si="293"/>
        <v>0.4128658963995141</v>
      </c>
      <c r="I799" s="303"/>
      <c r="J799" s="302">
        <v>0.16514272040759354</v>
      </c>
      <c r="K799" s="302">
        <v>0.26448029520629346</v>
      </c>
      <c r="L799" s="302">
        <f t="shared" si="294"/>
        <v>0.42962301561388699</v>
      </c>
      <c r="M799" s="236"/>
      <c r="N799" s="236"/>
    </row>
    <row r="800" spans="1:14" x14ac:dyDescent="0.3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  <c r="N800" s="236"/>
    </row>
    <row r="801" spans="1:14" x14ac:dyDescent="0.3">
      <c r="A801" s="244" t="s">
        <v>32</v>
      </c>
      <c r="B801" s="311">
        <f>SUM(B791:B799)</f>
        <v>1.7539999999917546</v>
      </c>
      <c r="C801" s="311">
        <f t="shared" ref="C801:D801" si="295">SUM(C791:C799)</f>
        <v>4.8429999999673736</v>
      </c>
      <c r="D801" s="311">
        <f t="shared" si="295"/>
        <v>6.5969999999591264</v>
      </c>
      <c r="E801" s="311"/>
      <c r="F801" s="311">
        <f t="shared" ref="F801:H801" si="296">SUM(F791:F799)</f>
        <v>0.90199999999431935</v>
      </c>
      <c r="G801" s="311">
        <f t="shared" si="296"/>
        <v>1.7989999999840134</v>
      </c>
      <c r="H801" s="311">
        <f t="shared" si="296"/>
        <v>2.7009999999783325</v>
      </c>
      <c r="I801" s="311"/>
      <c r="J801" s="311">
        <f t="shared" ref="J801:L801" si="297">SUM(J791:J799)</f>
        <v>1.0109999999981172</v>
      </c>
      <c r="K801" s="311">
        <f t="shared" si="297"/>
        <v>1.9429999999807515</v>
      </c>
      <c r="L801" s="311">
        <f t="shared" si="297"/>
        <v>2.9539999999788691</v>
      </c>
      <c r="M801" s="236"/>
      <c r="N801" s="236"/>
    </row>
    <row r="802" spans="1:14" x14ac:dyDescent="0.3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  <c r="N802" s="236"/>
    </row>
    <row r="803" spans="1:14" x14ac:dyDescent="0.3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56" t="s">
        <v>35</v>
      </c>
      <c r="M803" s="236"/>
      <c r="N803" s="236"/>
    </row>
    <row r="804" spans="1:14" x14ac:dyDescent="0.3">
      <c r="A804" s="242"/>
      <c r="B804" s="250"/>
      <c r="C804" s="250"/>
      <c r="D804" s="250"/>
      <c r="E804" s="250"/>
      <c r="F804" s="250"/>
      <c r="G804" s="250"/>
      <c r="H804" s="250"/>
      <c r="I804" s="250"/>
      <c r="J804" s="250"/>
      <c r="K804" s="250"/>
      <c r="L804" s="236"/>
      <c r="M804" s="236"/>
      <c r="N804" s="236"/>
    </row>
    <row r="805" spans="1:14" x14ac:dyDescent="0.3">
      <c r="A805" s="241" t="str">
        <f>name!A50</f>
        <v>Financial services</v>
      </c>
      <c r="B805" s="373">
        <f>B$6</f>
        <v>2015</v>
      </c>
      <c r="C805" s="373"/>
      <c r="D805" s="373"/>
      <c r="E805" s="253"/>
      <c r="F805" s="373">
        <f>F$6</f>
        <v>2020</v>
      </c>
      <c r="G805" s="373"/>
      <c r="H805" s="373"/>
      <c r="I805" s="253"/>
      <c r="J805" s="373">
        <f>J$6</f>
        <v>2035</v>
      </c>
      <c r="K805" s="373"/>
      <c r="L805" s="373"/>
      <c r="M805" s="236"/>
      <c r="N805" s="236"/>
    </row>
    <row r="806" spans="1:14" x14ac:dyDescent="0.3">
      <c r="A806" s="254"/>
      <c r="B806" s="255" t="s">
        <v>352</v>
      </c>
      <c r="C806" s="255" t="s">
        <v>353</v>
      </c>
      <c r="D806" s="255" t="s">
        <v>32</v>
      </c>
      <c r="E806" s="255"/>
      <c r="F806" s="255" t="s">
        <v>352</v>
      </c>
      <c r="G806" s="255" t="s">
        <v>353</v>
      </c>
      <c r="H806" s="255" t="s">
        <v>32</v>
      </c>
      <c r="I806" s="255"/>
      <c r="J806" s="255" t="s">
        <v>352</v>
      </c>
      <c r="K806" s="255" t="s">
        <v>353</v>
      </c>
      <c r="L806" s="255" t="s">
        <v>32</v>
      </c>
      <c r="M806" s="236"/>
      <c r="N806" s="236"/>
    </row>
    <row r="807" spans="1:14" x14ac:dyDescent="0.3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  <c r="N807" s="236"/>
    </row>
    <row r="808" spans="1:14" x14ac:dyDescent="0.3">
      <c r="A808" s="237" t="str">
        <f>name!E$4</f>
        <v>Managers, directors and senior officials</v>
      </c>
      <c r="B808" s="302">
        <v>1.6289751200993086</v>
      </c>
      <c r="C808" s="302">
        <v>2.9697728886619466</v>
      </c>
      <c r="D808" s="302">
        <f>SUM(B808:C808)</f>
        <v>4.5987480087612553</v>
      </c>
      <c r="E808" s="303"/>
      <c r="F808" s="302">
        <v>1.4188464160637004</v>
      </c>
      <c r="G808" s="302">
        <v>2.0355634033852983</v>
      </c>
      <c r="H808" s="302">
        <f>SUM(F808:G808)</f>
        <v>3.4544098194489985</v>
      </c>
      <c r="I808" s="303"/>
      <c r="J808" s="302">
        <v>1.4314934281868805</v>
      </c>
      <c r="K808" s="302">
        <v>1.7828739223316235</v>
      </c>
      <c r="L808" s="302">
        <f>SUM(J808:K808)</f>
        <v>3.2143673505185042</v>
      </c>
      <c r="M808" s="236"/>
      <c r="N808" s="236"/>
    </row>
    <row r="809" spans="1:14" x14ac:dyDescent="0.3">
      <c r="A809" s="237" t="str">
        <f>name!E$5</f>
        <v>Professional occupations</v>
      </c>
      <c r="B809" s="302">
        <v>1.483305484687798</v>
      </c>
      <c r="C809" s="302">
        <v>4.462251768196003</v>
      </c>
      <c r="D809" s="302">
        <f t="shared" ref="D809:D816" si="298">SUM(B809:C809)</f>
        <v>5.945557252883801</v>
      </c>
      <c r="E809" s="303"/>
      <c r="F809" s="302">
        <v>1.5157960320222259</v>
      </c>
      <c r="G809" s="302">
        <v>2.2821888260178005</v>
      </c>
      <c r="H809" s="302">
        <f t="shared" ref="H809:H816" si="299">SUM(F809:G809)</f>
        <v>3.7979848580400262</v>
      </c>
      <c r="I809" s="303"/>
      <c r="J809" s="302">
        <v>1.6608488160870407</v>
      </c>
      <c r="K809" s="302">
        <v>2.2890243407782527</v>
      </c>
      <c r="L809" s="302">
        <f t="shared" ref="L809:L816" si="300">SUM(J809:K809)</f>
        <v>3.9498731568652934</v>
      </c>
      <c r="M809" s="236"/>
      <c r="N809" s="236"/>
    </row>
    <row r="810" spans="1:14" x14ac:dyDescent="0.3">
      <c r="A810" s="237" t="str">
        <f>name!E$6</f>
        <v>Associate professional occupations</v>
      </c>
      <c r="B810" s="302">
        <v>2.203471041788343</v>
      </c>
      <c r="C810" s="302">
        <v>2.2110396773768834</v>
      </c>
      <c r="D810" s="302">
        <f t="shared" si="298"/>
        <v>4.4145107191652269</v>
      </c>
      <c r="E810" s="303"/>
      <c r="F810" s="302">
        <v>1.7375089860076414</v>
      </c>
      <c r="G810" s="302">
        <v>1.404362939182769</v>
      </c>
      <c r="H810" s="302">
        <f t="shared" si="299"/>
        <v>3.1418719251904106</v>
      </c>
      <c r="I810" s="303"/>
      <c r="J810" s="302">
        <v>1.5509921893703913</v>
      </c>
      <c r="K810" s="302">
        <v>1.0945875104890967</v>
      </c>
      <c r="L810" s="302">
        <f t="shared" si="300"/>
        <v>2.6455796998594883</v>
      </c>
      <c r="M810" s="236"/>
      <c r="N810" s="236"/>
    </row>
    <row r="811" spans="1:14" x14ac:dyDescent="0.3">
      <c r="A811" s="237" t="str">
        <f>name!E$7</f>
        <v>Administrative and secretarial occupations</v>
      </c>
      <c r="B811" s="302">
        <v>6.4955974206875275</v>
      </c>
      <c r="C811" s="302">
        <v>1.6509824368616031</v>
      </c>
      <c r="D811" s="302">
        <f t="shared" si="298"/>
        <v>8.1465798575491313</v>
      </c>
      <c r="E811" s="303"/>
      <c r="F811" s="302">
        <v>3.7339528305228642</v>
      </c>
      <c r="G811" s="302">
        <v>1.0788834648327508</v>
      </c>
      <c r="H811" s="302">
        <f t="shared" si="299"/>
        <v>4.8128362953556145</v>
      </c>
      <c r="I811" s="303"/>
      <c r="J811" s="302">
        <v>2.4100246276721959</v>
      </c>
      <c r="K811" s="302">
        <v>0.76816464191099443</v>
      </c>
      <c r="L811" s="302">
        <f t="shared" si="300"/>
        <v>3.1781892695831901</v>
      </c>
      <c r="M811" s="236"/>
      <c r="N811" s="236"/>
    </row>
    <row r="812" spans="1:14" x14ac:dyDescent="0.3">
      <c r="A812" s="237" t="str">
        <f>name!E$8</f>
        <v>Skilled trades occupations</v>
      </c>
      <c r="B812" s="302">
        <v>4.1655496092533224E-2</v>
      </c>
      <c r="C812" s="302">
        <v>0.29409169734005569</v>
      </c>
      <c r="D812" s="302">
        <f t="shared" si="298"/>
        <v>0.33574719343258891</v>
      </c>
      <c r="E812" s="303"/>
      <c r="F812" s="302">
        <v>2.8785449726504781E-2</v>
      </c>
      <c r="G812" s="302">
        <v>9.4559513783616253E-2</v>
      </c>
      <c r="H812" s="302">
        <f t="shared" si="299"/>
        <v>0.12334496351012103</v>
      </c>
      <c r="I812" s="303"/>
      <c r="J812" s="302">
        <v>5.1732324598796772E-2</v>
      </c>
      <c r="K812" s="302">
        <v>7.3501798891048464E-2</v>
      </c>
      <c r="L812" s="302">
        <f t="shared" si="300"/>
        <v>0.12523412348984525</v>
      </c>
      <c r="M812" s="236"/>
      <c r="N812" s="236"/>
    </row>
    <row r="813" spans="1:14" x14ac:dyDescent="0.3">
      <c r="A813" s="237" t="str">
        <f>name!E$9</f>
        <v>Caring, leisure and other service occupations</v>
      </c>
      <c r="B813" s="302">
        <v>4.2519080881742374E-2</v>
      </c>
      <c r="C813" s="302">
        <v>2.9276922586947446E-2</v>
      </c>
      <c r="D813" s="302">
        <f t="shared" si="298"/>
        <v>7.179600346868982E-2</v>
      </c>
      <c r="E813" s="303"/>
      <c r="F813" s="302">
        <v>3.2088051694143298E-2</v>
      </c>
      <c r="G813" s="302">
        <v>1.4649440185902932E-2</v>
      </c>
      <c r="H813" s="302">
        <f t="shared" si="299"/>
        <v>4.6737491880046229E-2</v>
      </c>
      <c r="I813" s="303"/>
      <c r="J813" s="302">
        <v>3.3059360368382598E-2</v>
      </c>
      <c r="K813" s="302">
        <v>1.4508827385554472E-2</v>
      </c>
      <c r="L813" s="302">
        <f t="shared" si="300"/>
        <v>4.756818775393707E-2</v>
      </c>
      <c r="M813" s="236"/>
      <c r="N813" s="236"/>
    </row>
    <row r="814" spans="1:14" x14ac:dyDescent="0.3">
      <c r="A814" s="237" t="str">
        <f>name!E$10</f>
        <v>Sales and customer service occupations</v>
      </c>
      <c r="B814" s="302">
        <v>1.7135095241995149</v>
      </c>
      <c r="C814" s="302">
        <v>0.54844898133957032</v>
      </c>
      <c r="D814" s="302">
        <f t="shared" si="298"/>
        <v>2.2619585055390852</v>
      </c>
      <c r="E814" s="303"/>
      <c r="F814" s="302">
        <v>1.0792731212112645</v>
      </c>
      <c r="G814" s="302">
        <v>0.23792597642109833</v>
      </c>
      <c r="H814" s="302">
        <f t="shared" si="299"/>
        <v>1.3171990976323629</v>
      </c>
      <c r="I814" s="303"/>
      <c r="J814" s="302">
        <v>1.0468303172305509</v>
      </c>
      <c r="K814" s="302">
        <v>0.23979436977665164</v>
      </c>
      <c r="L814" s="302">
        <f t="shared" si="300"/>
        <v>1.2866246870072024</v>
      </c>
      <c r="M814" s="236"/>
      <c r="N814" s="236"/>
    </row>
    <row r="815" spans="1:14" x14ac:dyDescent="0.3">
      <c r="A815" s="237" t="str">
        <f>name!E$11</f>
        <v>Process, plant and machine operatives</v>
      </c>
      <c r="B815" s="302">
        <v>2.2989335824914286E-2</v>
      </c>
      <c r="C815" s="302">
        <v>0.10367105673014913</v>
      </c>
      <c r="D815" s="302">
        <f t="shared" si="298"/>
        <v>0.12666039255506342</v>
      </c>
      <c r="E815" s="303"/>
      <c r="F815" s="302">
        <v>1.2161896716688091E-2</v>
      </c>
      <c r="G815" s="302">
        <v>2.7598718266840863E-2</v>
      </c>
      <c r="H815" s="302">
        <f t="shared" si="299"/>
        <v>3.9760614983528952E-2</v>
      </c>
      <c r="I815" s="303"/>
      <c r="J815" s="302">
        <v>1.2980544755501842E-2</v>
      </c>
      <c r="K815" s="302">
        <v>2.8669892085431026E-2</v>
      </c>
      <c r="L815" s="302">
        <f t="shared" si="300"/>
        <v>4.1650436840932864E-2</v>
      </c>
      <c r="M815" s="236"/>
      <c r="N815" s="236"/>
    </row>
    <row r="816" spans="1:14" x14ac:dyDescent="0.3">
      <c r="A816" s="237" t="str">
        <f>name!E$12</f>
        <v>Elementary occupations</v>
      </c>
      <c r="B816" s="302">
        <v>0.10197749569029922</v>
      </c>
      <c r="C816" s="302">
        <v>0.15646457086530277</v>
      </c>
      <c r="D816" s="302">
        <f t="shared" si="298"/>
        <v>0.25844206655560198</v>
      </c>
      <c r="E816" s="303"/>
      <c r="F816" s="302">
        <v>6.7587216021206625E-2</v>
      </c>
      <c r="G816" s="302">
        <v>6.1267717826912503E-2</v>
      </c>
      <c r="H816" s="302">
        <f t="shared" si="299"/>
        <v>0.12885493384811914</v>
      </c>
      <c r="I816" s="303"/>
      <c r="J816" s="302">
        <v>5.8038391768587196E-2</v>
      </c>
      <c r="K816" s="302">
        <v>4.4874696236054785E-2</v>
      </c>
      <c r="L816" s="302">
        <f t="shared" si="300"/>
        <v>0.10291308800464198</v>
      </c>
      <c r="M816" s="236"/>
      <c r="N816" s="236"/>
    </row>
    <row r="817" spans="1:14" x14ac:dyDescent="0.3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  <c r="N817" s="236"/>
    </row>
    <row r="818" spans="1:14" x14ac:dyDescent="0.3">
      <c r="A818" s="244" t="s">
        <v>32</v>
      </c>
      <c r="B818" s="311">
        <f>SUM(B808:B816)</f>
        <v>13.73399999995198</v>
      </c>
      <c r="C818" s="311">
        <f t="shared" ref="C818:D818" si="301">SUM(C808:C816)</f>
        <v>12.425999999958462</v>
      </c>
      <c r="D818" s="311">
        <f t="shared" si="301"/>
        <v>26.159999999910443</v>
      </c>
      <c r="E818" s="311"/>
      <c r="F818" s="311">
        <f t="shared" ref="F818:H818" si="302">SUM(F808:F816)</f>
        <v>9.6259999999862362</v>
      </c>
      <c r="G818" s="311">
        <f t="shared" si="302"/>
        <v>7.2369999999029897</v>
      </c>
      <c r="H818" s="311">
        <f t="shared" si="302"/>
        <v>16.862999999889226</v>
      </c>
      <c r="I818" s="311"/>
      <c r="J818" s="311">
        <f t="shared" ref="J818:L818" si="303">SUM(J808:J816)</f>
        <v>8.2560000000383287</v>
      </c>
      <c r="K818" s="311">
        <f t="shared" si="303"/>
        <v>6.3359999998847076</v>
      </c>
      <c r="L818" s="311">
        <f t="shared" si="303"/>
        <v>14.591999999923036</v>
      </c>
      <c r="M818" s="236"/>
      <c r="N818" s="236"/>
    </row>
    <row r="819" spans="1:14" x14ac:dyDescent="0.3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  <c r="N819" s="236"/>
    </row>
    <row r="820" spans="1:14" x14ac:dyDescent="0.3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56" t="s">
        <v>35</v>
      </c>
      <c r="M820" s="236"/>
      <c r="N820" s="236"/>
    </row>
    <row r="821" spans="1:14" x14ac:dyDescent="0.3">
      <c r="A821" s="242"/>
      <c r="B821" s="250"/>
      <c r="C821" s="250"/>
      <c r="D821" s="250"/>
      <c r="E821" s="250"/>
      <c r="F821" s="250"/>
      <c r="G821" s="250"/>
      <c r="H821" s="250"/>
      <c r="I821" s="250"/>
      <c r="J821" s="250"/>
      <c r="K821" s="250"/>
      <c r="L821" s="236"/>
      <c r="M821" s="236"/>
      <c r="N821" s="236"/>
    </row>
    <row r="822" spans="1:14" x14ac:dyDescent="0.3">
      <c r="A822" s="241" t="str">
        <f>name!A51</f>
        <v>Insurance and pensions</v>
      </c>
      <c r="B822" s="373">
        <f>B$6</f>
        <v>2015</v>
      </c>
      <c r="C822" s="373"/>
      <c r="D822" s="373"/>
      <c r="E822" s="253"/>
      <c r="F822" s="373">
        <f>F$6</f>
        <v>2020</v>
      </c>
      <c r="G822" s="373"/>
      <c r="H822" s="373"/>
      <c r="I822" s="253"/>
      <c r="J822" s="373">
        <f>J$6</f>
        <v>2035</v>
      </c>
      <c r="K822" s="373"/>
      <c r="L822" s="373"/>
      <c r="M822" s="236"/>
      <c r="N822" s="236"/>
    </row>
    <row r="823" spans="1:14" x14ac:dyDescent="0.3">
      <c r="A823" s="254"/>
      <c r="B823" s="255" t="s">
        <v>352</v>
      </c>
      <c r="C823" s="255" t="s">
        <v>353</v>
      </c>
      <c r="D823" s="255" t="s">
        <v>32</v>
      </c>
      <c r="E823" s="255"/>
      <c r="F823" s="255" t="s">
        <v>352</v>
      </c>
      <c r="G823" s="255" t="s">
        <v>353</v>
      </c>
      <c r="H823" s="255" t="s">
        <v>32</v>
      </c>
      <c r="I823" s="255"/>
      <c r="J823" s="255" t="s">
        <v>352</v>
      </c>
      <c r="K823" s="255" t="s">
        <v>353</v>
      </c>
      <c r="L823" s="255" t="s">
        <v>32</v>
      </c>
      <c r="M823" s="236"/>
      <c r="N823" s="236"/>
    </row>
    <row r="824" spans="1:14" x14ac:dyDescent="0.3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  <c r="N824" s="236"/>
    </row>
    <row r="825" spans="1:14" x14ac:dyDescent="0.3">
      <c r="A825" s="237" t="str">
        <f>name!E$4</f>
        <v>Managers, directors and senior officials</v>
      </c>
      <c r="B825" s="302">
        <v>0.32852712244238619</v>
      </c>
      <c r="C825" s="302">
        <v>0.64368545828886914</v>
      </c>
      <c r="D825" s="302">
        <f>SUM(B825:C825)</f>
        <v>0.97221258073125538</v>
      </c>
      <c r="E825" s="303"/>
      <c r="F825" s="302">
        <v>0.68183055285987904</v>
      </c>
      <c r="G825" s="302">
        <v>0.88143235856454138</v>
      </c>
      <c r="H825" s="302">
        <f>SUM(F825:G825)</f>
        <v>1.5632629114244203</v>
      </c>
      <c r="I825" s="303"/>
      <c r="J825" s="302">
        <v>0.66528872691834073</v>
      </c>
      <c r="K825" s="302">
        <v>0.71625659960194343</v>
      </c>
      <c r="L825" s="302">
        <f>SUM(J825:K825)</f>
        <v>1.3815453265202842</v>
      </c>
      <c r="M825" s="236"/>
      <c r="N825" s="236"/>
    </row>
    <row r="826" spans="1:14" x14ac:dyDescent="0.3">
      <c r="A826" s="237" t="str">
        <f>name!E$5</f>
        <v>Professional occupations</v>
      </c>
      <c r="B826" s="302">
        <v>0.68898640944920841</v>
      </c>
      <c r="C826" s="302">
        <v>1.1146076576179276</v>
      </c>
      <c r="D826" s="302">
        <f t="shared" ref="D826:D833" si="304">SUM(B826:C826)</f>
        <v>1.803594067067136</v>
      </c>
      <c r="E826" s="303"/>
      <c r="F826" s="302">
        <v>1.5945885643062916</v>
      </c>
      <c r="G826" s="302">
        <v>1.8799135624267205</v>
      </c>
      <c r="H826" s="302">
        <f t="shared" ref="H826:H833" si="305">SUM(F826:G826)</f>
        <v>3.4745021267330118</v>
      </c>
      <c r="I826" s="303"/>
      <c r="J826" s="302">
        <v>1.6958063496909046</v>
      </c>
      <c r="K826" s="302">
        <v>1.9563382761002788</v>
      </c>
      <c r="L826" s="302">
        <f t="shared" ref="L826:L833" si="306">SUM(J826:K826)</f>
        <v>3.6521446257911832</v>
      </c>
      <c r="M826" s="236"/>
      <c r="N826" s="236"/>
    </row>
    <row r="827" spans="1:14" x14ac:dyDescent="0.3">
      <c r="A827" s="237" t="str">
        <f>name!E$6</f>
        <v>Associate professional occupations</v>
      </c>
      <c r="B827" s="302">
        <v>0.91481332760706791</v>
      </c>
      <c r="C827" s="302">
        <v>1.3315996914953925</v>
      </c>
      <c r="D827" s="302">
        <f t="shared" si="304"/>
        <v>2.2464130191024605</v>
      </c>
      <c r="E827" s="303"/>
      <c r="F827" s="302">
        <v>1.7123968667085943</v>
      </c>
      <c r="G827" s="302">
        <v>1.8268213486164808</v>
      </c>
      <c r="H827" s="302">
        <f t="shared" si="305"/>
        <v>3.5392182153250751</v>
      </c>
      <c r="I827" s="303"/>
      <c r="J827" s="302">
        <v>1.4908908113579074</v>
      </c>
      <c r="K827" s="302">
        <v>1.376818109558539</v>
      </c>
      <c r="L827" s="302">
        <f t="shared" si="306"/>
        <v>2.8677089209164466</v>
      </c>
      <c r="M827" s="236"/>
      <c r="N827" s="236"/>
    </row>
    <row r="828" spans="1:14" x14ac:dyDescent="0.3">
      <c r="A828" s="237" t="str">
        <f>name!E$7</f>
        <v>Administrative and secretarial occupations</v>
      </c>
      <c r="B828" s="302">
        <v>1.1117279508194782</v>
      </c>
      <c r="C828" s="302">
        <v>0.66629232897609225</v>
      </c>
      <c r="D828" s="302">
        <f t="shared" si="304"/>
        <v>1.7780202797955704</v>
      </c>
      <c r="E828" s="303"/>
      <c r="F828" s="302">
        <v>1.6711595751823591</v>
      </c>
      <c r="G828" s="302">
        <v>0.87402165061792925</v>
      </c>
      <c r="H828" s="302">
        <f t="shared" si="305"/>
        <v>2.5451812258002882</v>
      </c>
      <c r="I828" s="303"/>
      <c r="J828" s="302">
        <v>0.96821365472468979</v>
      </c>
      <c r="K828" s="302">
        <v>0.6060193910406686</v>
      </c>
      <c r="L828" s="302">
        <f t="shared" si="306"/>
        <v>1.5742330457653584</v>
      </c>
      <c r="M828" s="236"/>
      <c r="N828" s="236"/>
    </row>
    <row r="829" spans="1:14" x14ac:dyDescent="0.3">
      <c r="A829" s="237" t="str">
        <f>name!E$8</f>
        <v>Skilled trades occupations</v>
      </c>
      <c r="B829" s="302">
        <v>3.858071320440179E-2</v>
      </c>
      <c r="C829" s="302">
        <v>0.41433645339967573</v>
      </c>
      <c r="D829" s="302">
        <f t="shared" si="304"/>
        <v>0.45291716660407755</v>
      </c>
      <c r="E829" s="303"/>
      <c r="F829" s="302">
        <v>8.7275181417209233E-2</v>
      </c>
      <c r="G829" s="302">
        <v>0.23483750215133892</v>
      </c>
      <c r="H829" s="302">
        <f t="shared" si="305"/>
        <v>0.32211268356854816</v>
      </c>
      <c r="I829" s="303"/>
      <c r="J829" s="302">
        <v>8.9561559238068689E-2</v>
      </c>
      <c r="K829" s="302">
        <v>0.17129113588563355</v>
      </c>
      <c r="L829" s="302">
        <f t="shared" si="306"/>
        <v>0.26085269512370224</v>
      </c>
      <c r="M829" s="236"/>
      <c r="N829" s="236"/>
    </row>
    <row r="830" spans="1:14" x14ac:dyDescent="0.3">
      <c r="A830" s="237" t="str">
        <f>name!E$9</f>
        <v>Caring, leisure and other service occupations</v>
      </c>
      <c r="B830" s="302">
        <v>0.11048890780725244</v>
      </c>
      <c r="C830" s="302">
        <v>0.13146772423027869</v>
      </c>
      <c r="D830" s="302">
        <f t="shared" si="304"/>
        <v>0.24195663203753115</v>
      </c>
      <c r="E830" s="303"/>
      <c r="F830" s="302">
        <v>0.20679426774055684</v>
      </c>
      <c r="G830" s="302">
        <v>0.18746739715870292</v>
      </c>
      <c r="H830" s="302">
        <f t="shared" si="305"/>
        <v>0.39426166489925973</v>
      </c>
      <c r="I830" s="303"/>
      <c r="J830" s="302">
        <v>0.18378977914812025</v>
      </c>
      <c r="K830" s="302">
        <v>0.22087412955430644</v>
      </c>
      <c r="L830" s="302">
        <f t="shared" si="306"/>
        <v>0.40466390870242669</v>
      </c>
      <c r="M830" s="236"/>
      <c r="N830" s="236"/>
    </row>
    <row r="831" spans="1:14" x14ac:dyDescent="0.3">
      <c r="A831" s="237" t="str">
        <f>name!E$10</f>
        <v>Sales and customer service occupations</v>
      </c>
      <c r="B831" s="302">
        <v>0.67765393628614223</v>
      </c>
      <c r="C831" s="302">
        <v>0.48827603126943542</v>
      </c>
      <c r="D831" s="302">
        <f t="shared" si="304"/>
        <v>1.1659299675555777</v>
      </c>
      <c r="E831" s="303"/>
      <c r="F831" s="302">
        <v>1.0120494732675245</v>
      </c>
      <c r="G831" s="302">
        <v>0.47886630857275181</v>
      </c>
      <c r="H831" s="302">
        <f t="shared" si="305"/>
        <v>1.4909157818402763</v>
      </c>
      <c r="I831" s="303"/>
      <c r="J831" s="302">
        <v>0.86737118306889194</v>
      </c>
      <c r="K831" s="302">
        <v>0.46286604791313662</v>
      </c>
      <c r="L831" s="302">
        <f t="shared" si="306"/>
        <v>1.3302372309820285</v>
      </c>
      <c r="M831" s="236"/>
      <c r="N831" s="236"/>
    </row>
    <row r="832" spans="1:14" x14ac:dyDescent="0.3">
      <c r="A832" s="237" t="str">
        <f>name!E$11</f>
        <v>Process, plant and machine operatives</v>
      </c>
      <c r="B832" s="302">
        <v>1.2129895006491722E-2</v>
      </c>
      <c r="C832" s="302">
        <v>5.4660276960607809E-2</v>
      </c>
      <c r="D832" s="302">
        <f t="shared" si="304"/>
        <v>6.6790171967099535E-2</v>
      </c>
      <c r="E832" s="303"/>
      <c r="F832" s="302">
        <v>1.8093972782367004E-2</v>
      </c>
      <c r="G832" s="302">
        <v>5.0031982761290179E-2</v>
      </c>
      <c r="H832" s="302">
        <f t="shared" si="305"/>
        <v>6.8125955543657191E-2</v>
      </c>
      <c r="I832" s="303"/>
      <c r="J832" s="302">
        <v>1.6632397374273352E-2</v>
      </c>
      <c r="K832" s="302">
        <v>4.7672126216796382E-2</v>
      </c>
      <c r="L832" s="302">
        <f t="shared" si="306"/>
        <v>6.4304523591069737E-2</v>
      </c>
      <c r="M832" s="236"/>
      <c r="N832" s="236"/>
    </row>
    <row r="833" spans="1:14" x14ac:dyDescent="0.3">
      <c r="A833" s="237" t="str">
        <f>name!E$12</f>
        <v>Elementary occupations</v>
      </c>
      <c r="B833" s="302">
        <v>3.9091737347104208E-2</v>
      </c>
      <c r="C833" s="302">
        <v>8.5074377744663754E-2</v>
      </c>
      <c r="D833" s="302">
        <f t="shared" si="304"/>
        <v>0.12416611509176796</v>
      </c>
      <c r="E833" s="303"/>
      <c r="F833" s="302">
        <v>6.0811545731982795E-2</v>
      </c>
      <c r="G833" s="302">
        <v>8.7607889047752199E-2</v>
      </c>
      <c r="H833" s="302">
        <f t="shared" si="305"/>
        <v>0.14841943477973499</v>
      </c>
      <c r="I833" s="303"/>
      <c r="J833" s="302">
        <v>4.5445538513377626E-2</v>
      </c>
      <c r="K833" s="302">
        <v>6.8864184028138112E-2</v>
      </c>
      <c r="L833" s="302">
        <f t="shared" si="306"/>
        <v>0.11430972254151574</v>
      </c>
      <c r="M833" s="236"/>
      <c r="N833" s="236"/>
    </row>
    <row r="834" spans="1:14" x14ac:dyDescent="0.3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  <c r="N834" s="236"/>
    </row>
    <row r="835" spans="1:14" x14ac:dyDescent="0.3">
      <c r="A835" s="244" t="s">
        <v>32</v>
      </c>
      <c r="B835" s="311">
        <f>SUM(B825:B833)</f>
        <v>3.9219999999695334</v>
      </c>
      <c r="C835" s="311">
        <f t="shared" ref="C835:D835" si="307">SUM(C825:C833)</f>
        <v>4.9299999999829422</v>
      </c>
      <c r="D835" s="311">
        <f t="shared" si="307"/>
        <v>8.8519999999524757</v>
      </c>
      <c r="E835" s="311"/>
      <c r="F835" s="311">
        <f t="shared" ref="F835:H835" si="308">SUM(F825:F833)</f>
        <v>7.0449999999967643</v>
      </c>
      <c r="G835" s="311">
        <f t="shared" si="308"/>
        <v>6.5009999999175081</v>
      </c>
      <c r="H835" s="311">
        <f t="shared" si="308"/>
        <v>13.545999999914271</v>
      </c>
      <c r="I835" s="311"/>
      <c r="J835" s="311">
        <f t="shared" ref="J835:L835" si="309">SUM(J825:J833)</f>
        <v>6.0230000000345747</v>
      </c>
      <c r="K835" s="311">
        <f t="shared" si="309"/>
        <v>5.6269999998994411</v>
      </c>
      <c r="L835" s="311">
        <f t="shared" si="309"/>
        <v>11.649999999934014</v>
      </c>
      <c r="M835" s="236"/>
      <c r="N835" s="236"/>
    </row>
    <row r="836" spans="1:14" x14ac:dyDescent="0.3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  <c r="N836" s="236"/>
    </row>
    <row r="837" spans="1:14" x14ac:dyDescent="0.3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56" t="s">
        <v>35</v>
      </c>
      <c r="M837" s="236"/>
      <c r="N837" s="236"/>
    </row>
    <row r="838" spans="1:14" x14ac:dyDescent="0.3">
      <c r="A838" s="242"/>
      <c r="B838" s="250"/>
      <c r="C838" s="250"/>
      <c r="D838" s="250"/>
      <c r="E838" s="250"/>
      <c r="F838" s="250"/>
      <c r="G838" s="250"/>
      <c r="H838" s="250"/>
      <c r="I838" s="250"/>
      <c r="J838" s="250"/>
      <c r="K838" s="250"/>
      <c r="L838" s="236"/>
      <c r="M838" s="236"/>
      <c r="N838" s="236"/>
    </row>
    <row r="839" spans="1:14" x14ac:dyDescent="0.3">
      <c r="A839" s="241" t="str">
        <f>name!A52</f>
        <v>Auxiliary financial services</v>
      </c>
      <c r="B839" s="373">
        <f>B$6</f>
        <v>2015</v>
      </c>
      <c r="C839" s="373"/>
      <c r="D839" s="373"/>
      <c r="E839" s="253"/>
      <c r="F839" s="373">
        <f>F$6</f>
        <v>2020</v>
      </c>
      <c r="G839" s="373"/>
      <c r="H839" s="373"/>
      <c r="I839" s="253"/>
      <c r="J839" s="373">
        <f>J$6</f>
        <v>2035</v>
      </c>
      <c r="K839" s="373"/>
      <c r="L839" s="373"/>
      <c r="M839" s="236"/>
      <c r="N839" s="236"/>
    </row>
    <row r="840" spans="1:14" x14ac:dyDescent="0.3">
      <c r="A840" s="254"/>
      <c r="B840" s="255" t="s">
        <v>352</v>
      </c>
      <c r="C840" s="255" t="s">
        <v>353</v>
      </c>
      <c r="D840" s="255" t="s">
        <v>32</v>
      </c>
      <c r="E840" s="255"/>
      <c r="F840" s="255" t="s">
        <v>352</v>
      </c>
      <c r="G840" s="255" t="s">
        <v>353</v>
      </c>
      <c r="H840" s="255" t="s">
        <v>32</v>
      </c>
      <c r="I840" s="255"/>
      <c r="J840" s="255" t="s">
        <v>352</v>
      </c>
      <c r="K840" s="255" t="s">
        <v>353</v>
      </c>
      <c r="L840" s="255" t="s">
        <v>32</v>
      </c>
      <c r="M840" s="236"/>
      <c r="N840" s="236"/>
    </row>
    <row r="841" spans="1:14" x14ac:dyDescent="0.3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  <c r="N841" s="236"/>
    </row>
    <row r="842" spans="1:14" x14ac:dyDescent="0.3">
      <c r="A842" s="237" t="str">
        <f>name!E$4</f>
        <v>Managers, directors and senior officials</v>
      </c>
      <c r="B842" s="302">
        <v>1.8761123448476451</v>
      </c>
      <c r="C842" s="302">
        <v>4.922976450554656</v>
      </c>
      <c r="D842" s="302">
        <f>SUM(B842:C842)</f>
        <v>6.7990887954023016</v>
      </c>
      <c r="E842" s="303"/>
      <c r="F842" s="302">
        <v>3.1777027516144321</v>
      </c>
      <c r="G842" s="302">
        <v>5.2370501454212199</v>
      </c>
      <c r="H842" s="302">
        <f>SUM(F842:G842)</f>
        <v>8.4147528970356511</v>
      </c>
      <c r="I842" s="303"/>
      <c r="J842" s="302">
        <v>3.2458073993138798</v>
      </c>
      <c r="K842" s="302">
        <v>4.5258770124354344</v>
      </c>
      <c r="L842" s="302">
        <f>SUM(J842:K842)</f>
        <v>7.7716844117493142</v>
      </c>
      <c r="M842" s="236"/>
      <c r="N842" s="236"/>
    </row>
    <row r="843" spans="1:14" x14ac:dyDescent="0.3">
      <c r="A843" s="237" t="str">
        <f>name!E$5</f>
        <v>Professional occupations</v>
      </c>
      <c r="B843" s="302">
        <v>2.7086711592218689</v>
      </c>
      <c r="C843" s="302">
        <v>5.5479888098832841</v>
      </c>
      <c r="D843" s="302">
        <f t="shared" ref="D843:D850" si="310">SUM(B843:C843)</f>
        <v>8.2566599691051525</v>
      </c>
      <c r="E843" s="303"/>
      <c r="F843" s="302">
        <v>5.0501271314049818</v>
      </c>
      <c r="G843" s="302">
        <v>6.2840949476314147</v>
      </c>
      <c r="H843" s="302">
        <f t="shared" ref="H843:H850" si="311">SUM(F843:G843)</f>
        <v>11.334222079036397</v>
      </c>
      <c r="I843" s="303"/>
      <c r="J843" s="302">
        <v>5.6117080000449411</v>
      </c>
      <c r="K843" s="302">
        <v>6.5833035604662857</v>
      </c>
      <c r="L843" s="302">
        <f t="shared" ref="L843:L850" si="312">SUM(J843:K843)</f>
        <v>12.195011560511226</v>
      </c>
      <c r="M843" s="236"/>
      <c r="N843" s="236"/>
    </row>
    <row r="844" spans="1:14" x14ac:dyDescent="0.3">
      <c r="A844" s="237" t="str">
        <f>name!E$6</f>
        <v>Associate professional occupations</v>
      </c>
      <c r="B844" s="302">
        <v>4.2110820627038228</v>
      </c>
      <c r="C844" s="302">
        <v>7.4379167367857599</v>
      </c>
      <c r="D844" s="302">
        <f t="shared" si="310"/>
        <v>11.648998799489583</v>
      </c>
      <c r="E844" s="303"/>
      <c r="F844" s="302">
        <v>6.6732793520915363</v>
      </c>
      <c r="G844" s="302">
        <v>7.163722405118631</v>
      </c>
      <c r="H844" s="302">
        <f t="shared" si="311"/>
        <v>13.837001757210167</v>
      </c>
      <c r="I844" s="303"/>
      <c r="J844" s="302">
        <v>6.4147833089997768</v>
      </c>
      <c r="K844" s="302">
        <v>5.7212804869942486</v>
      </c>
      <c r="L844" s="302">
        <f t="shared" si="312"/>
        <v>12.136063795994026</v>
      </c>
      <c r="M844" s="236"/>
      <c r="N844" s="236"/>
    </row>
    <row r="845" spans="1:14" x14ac:dyDescent="0.3">
      <c r="A845" s="237" t="str">
        <f>name!E$7</f>
        <v>Administrative and secretarial occupations</v>
      </c>
      <c r="B845" s="302">
        <v>6.856225911793878</v>
      </c>
      <c r="C845" s="302">
        <v>1.3393015146020557</v>
      </c>
      <c r="D845" s="302">
        <f t="shared" si="310"/>
        <v>8.1955274263959339</v>
      </c>
      <c r="E845" s="303"/>
      <c r="F845" s="302">
        <v>8.0950740812055599</v>
      </c>
      <c r="G845" s="302">
        <v>1.3863704418171299</v>
      </c>
      <c r="H845" s="302">
        <f t="shared" si="311"/>
        <v>9.4814445230226898</v>
      </c>
      <c r="I845" s="303"/>
      <c r="J845" s="302">
        <v>4.6044391669822247</v>
      </c>
      <c r="K845" s="302">
        <v>0.86454307655015217</v>
      </c>
      <c r="L845" s="302">
        <f t="shared" si="312"/>
        <v>5.4689822435323769</v>
      </c>
      <c r="M845" s="236"/>
      <c r="N845" s="236"/>
    </row>
    <row r="846" spans="1:14" x14ac:dyDescent="0.3">
      <c r="A846" s="237" t="str">
        <f>name!E$8</f>
        <v>Skilled trades occupations</v>
      </c>
      <c r="B846" s="302">
        <v>0.13037191025328213</v>
      </c>
      <c r="C846" s="302">
        <v>0.89582237585487867</v>
      </c>
      <c r="D846" s="302">
        <f t="shared" si="310"/>
        <v>1.0261942861081608</v>
      </c>
      <c r="E846" s="303"/>
      <c r="F846" s="302">
        <v>0.1896865951093365</v>
      </c>
      <c r="G846" s="302">
        <v>0.49931428598631777</v>
      </c>
      <c r="H846" s="302">
        <f t="shared" si="311"/>
        <v>0.68900088109565427</v>
      </c>
      <c r="I846" s="303"/>
      <c r="J846" s="302">
        <v>0.22067742531565551</v>
      </c>
      <c r="K846" s="302">
        <v>0.4252179675294277</v>
      </c>
      <c r="L846" s="302">
        <f t="shared" si="312"/>
        <v>0.64589539284508324</v>
      </c>
      <c r="M846" s="236"/>
      <c r="N846" s="236"/>
    </row>
    <row r="847" spans="1:14" x14ac:dyDescent="0.3">
      <c r="A847" s="237" t="str">
        <f>name!E$9</f>
        <v>Caring, leisure and other service occupations</v>
      </c>
      <c r="B847" s="302">
        <v>0.15678319032593738</v>
      </c>
      <c r="C847" s="302">
        <v>0.1395671979482665</v>
      </c>
      <c r="D847" s="302">
        <f t="shared" si="310"/>
        <v>0.2963503882742039</v>
      </c>
      <c r="E847" s="303"/>
      <c r="F847" s="302">
        <v>0.40721399647179951</v>
      </c>
      <c r="G847" s="302">
        <v>0.12217351407664358</v>
      </c>
      <c r="H847" s="302">
        <f t="shared" si="311"/>
        <v>0.52938751054844313</v>
      </c>
      <c r="I847" s="303"/>
      <c r="J847" s="302">
        <v>0.47270223368724262</v>
      </c>
      <c r="K847" s="302">
        <v>0.14772908780494415</v>
      </c>
      <c r="L847" s="302">
        <f t="shared" si="312"/>
        <v>0.62043132149218683</v>
      </c>
      <c r="M847" s="236"/>
      <c r="N847" s="236"/>
    </row>
    <row r="848" spans="1:14" x14ac:dyDescent="0.3">
      <c r="A848" s="237" t="str">
        <f>name!E$10</f>
        <v>Sales and customer service occupations</v>
      </c>
      <c r="B848" s="302">
        <v>1.4063059541729408</v>
      </c>
      <c r="C848" s="302">
        <v>0.61462142227296312</v>
      </c>
      <c r="D848" s="302">
        <f t="shared" si="310"/>
        <v>2.0209273764459041</v>
      </c>
      <c r="E848" s="303"/>
      <c r="F848" s="302">
        <v>1.8356758117229621</v>
      </c>
      <c r="G848" s="302">
        <v>0.62220584557116154</v>
      </c>
      <c r="H848" s="302">
        <f t="shared" si="311"/>
        <v>2.4578816572941236</v>
      </c>
      <c r="I848" s="303"/>
      <c r="J848" s="302">
        <v>1.5927352474640402</v>
      </c>
      <c r="K848" s="302">
        <v>0.63216367799154083</v>
      </c>
      <c r="L848" s="302">
        <f t="shared" si="312"/>
        <v>2.2248989254555811</v>
      </c>
      <c r="M848" s="236"/>
      <c r="N848" s="236"/>
    </row>
    <row r="849" spans="1:14" x14ac:dyDescent="0.3">
      <c r="A849" s="237" t="str">
        <f>name!E$11</f>
        <v>Process, plant and machine operatives</v>
      </c>
      <c r="B849" s="302">
        <v>9.9403498838881998E-2</v>
      </c>
      <c r="C849" s="302">
        <v>0.419514912507645</v>
      </c>
      <c r="D849" s="302">
        <f t="shared" si="310"/>
        <v>0.51891841134652705</v>
      </c>
      <c r="E849" s="303"/>
      <c r="F849" s="302">
        <v>0.11455089705288955</v>
      </c>
      <c r="G849" s="302">
        <v>0.29791086203576411</v>
      </c>
      <c r="H849" s="302">
        <f t="shared" si="311"/>
        <v>0.41246175908865368</v>
      </c>
      <c r="I849" s="303"/>
      <c r="J849" s="302">
        <v>0.17573750997614743</v>
      </c>
      <c r="K849" s="302">
        <v>0.37143088326642543</v>
      </c>
      <c r="L849" s="302">
        <f t="shared" si="312"/>
        <v>0.54716839324257283</v>
      </c>
      <c r="M849" s="236"/>
      <c r="N849" s="236"/>
    </row>
    <row r="850" spans="1:14" x14ac:dyDescent="0.3">
      <c r="A850" s="237" t="str">
        <f>name!E$12</f>
        <v>Elementary occupations</v>
      </c>
      <c r="B850" s="302">
        <v>0.30604396769599579</v>
      </c>
      <c r="C850" s="302">
        <v>0.4432905795148912</v>
      </c>
      <c r="D850" s="302">
        <f t="shared" si="310"/>
        <v>0.74933454721088699</v>
      </c>
      <c r="E850" s="303"/>
      <c r="F850" s="302">
        <v>0.29668938327892125</v>
      </c>
      <c r="G850" s="302">
        <v>0.31115755208422552</v>
      </c>
      <c r="H850" s="302">
        <f t="shared" si="311"/>
        <v>0.60784693536314682</v>
      </c>
      <c r="I850" s="303"/>
      <c r="J850" s="302">
        <v>0.24640970834349921</v>
      </c>
      <c r="K850" s="302">
        <v>0.28245424666215313</v>
      </c>
      <c r="L850" s="302">
        <f t="shared" si="312"/>
        <v>0.52886395500565231</v>
      </c>
      <c r="M850" s="236"/>
      <c r="N850" s="236"/>
    </row>
    <row r="851" spans="1:14" x14ac:dyDescent="0.3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  <c r="N851" s="236"/>
    </row>
    <row r="852" spans="1:14" x14ac:dyDescent="0.3">
      <c r="A852" s="244" t="s">
        <v>32</v>
      </c>
      <c r="B852" s="311">
        <f>SUM(B842:B850)</f>
        <v>17.750999999854251</v>
      </c>
      <c r="C852" s="311">
        <f t="shared" ref="C852:D852" si="313">SUM(C842:C850)</f>
        <v>21.760999999924401</v>
      </c>
      <c r="D852" s="311">
        <f t="shared" si="313"/>
        <v>39.511999999778652</v>
      </c>
      <c r="E852" s="311"/>
      <c r="F852" s="311">
        <f t="shared" ref="F852:H852" si="314">SUM(F842:F850)</f>
        <v>25.839999999952418</v>
      </c>
      <c r="G852" s="311">
        <f t="shared" si="314"/>
        <v>21.923999999742506</v>
      </c>
      <c r="H852" s="311">
        <f t="shared" si="314"/>
        <v>47.763999999694924</v>
      </c>
      <c r="I852" s="311"/>
      <c r="J852" s="311">
        <f t="shared" ref="J852:L852" si="315">SUM(J842:J850)</f>
        <v>22.585000000127412</v>
      </c>
      <c r="K852" s="311">
        <f t="shared" si="315"/>
        <v>19.553999999700611</v>
      </c>
      <c r="L852" s="311">
        <f t="shared" si="315"/>
        <v>42.138999999828016</v>
      </c>
      <c r="M852" s="236"/>
      <c r="N852" s="236"/>
    </row>
    <row r="853" spans="1:14" x14ac:dyDescent="0.3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  <c r="N853" s="236"/>
    </row>
    <row r="854" spans="1:14" x14ac:dyDescent="0.3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56" t="s">
        <v>35</v>
      </c>
      <c r="M854" s="236"/>
      <c r="N854" s="236"/>
    </row>
    <row r="855" spans="1:14" x14ac:dyDescent="0.3">
      <c r="A855" s="242"/>
      <c r="B855" s="250"/>
      <c r="C855" s="250"/>
      <c r="D855" s="250"/>
      <c r="E855" s="250"/>
      <c r="F855" s="250"/>
      <c r="G855" s="250"/>
      <c r="H855" s="250"/>
      <c r="I855" s="250"/>
      <c r="J855" s="250"/>
      <c r="K855" s="250"/>
      <c r="L855" s="236"/>
      <c r="M855" s="236"/>
      <c r="N855" s="236"/>
    </row>
    <row r="856" spans="1:14" x14ac:dyDescent="0.3">
      <c r="A856" s="241" t="str">
        <f>name!A53</f>
        <v>Real estate</v>
      </c>
      <c r="B856" s="373">
        <f>B$6</f>
        <v>2015</v>
      </c>
      <c r="C856" s="373"/>
      <c r="D856" s="373"/>
      <c r="E856" s="253"/>
      <c r="F856" s="373">
        <f>F$6</f>
        <v>2020</v>
      </c>
      <c r="G856" s="373"/>
      <c r="H856" s="373"/>
      <c r="I856" s="253"/>
      <c r="J856" s="373">
        <f>J$6</f>
        <v>2035</v>
      </c>
      <c r="K856" s="373"/>
      <c r="L856" s="373"/>
      <c r="M856" s="236"/>
      <c r="N856" s="236"/>
    </row>
    <row r="857" spans="1:14" x14ac:dyDescent="0.3">
      <c r="A857" s="254"/>
      <c r="B857" s="255" t="s">
        <v>352</v>
      </c>
      <c r="C857" s="255" t="s">
        <v>353</v>
      </c>
      <c r="D857" s="255" t="s">
        <v>32</v>
      </c>
      <c r="E857" s="255"/>
      <c r="F857" s="255" t="s">
        <v>352</v>
      </c>
      <c r="G857" s="255" t="s">
        <v>353</v>
      </c>
      <c r="H857" s="255" t="s">
        <v>32</v>
      </c>
      <c r="I857" s="255"/>
      <c r="J857" s="255" t="s">
        <v>352</v>
      </c>
      <c r="K857" s="255" t="s">
        <v>353</v>
      </c>
      <c r="L857" s="255" t="s">
        <v>32</v>
      </c>
      <c r="M857" s="236"/>
      <c r="N857" s="236"/>
    </row>
    <row r="858" spans="1:14" x14ac:dyDescent="0.3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  <c r="N858" s="236"/>
    </row>
    <row r="859" spans="1:14" x14ac:dyDescent="0.3">
      <c r="A859" s="237" t="str">
        <f>name!E$4</f>
        <v>Managers, directors and senior officials</v>
      </c>
      <c r="B859" s="302">
        <v>4.4836545701574266</v>
      </c>
      <c r="C859" s="302">
        <v>4.8341333803116173</v>
      </c>
      <c r="D859" s="302">
        <f>SUM(B859:C859)</f>
        <v>9.3177879504690431</v>
      </c>
      <c r="E859" s="303"/>
      <c r="F859" s="302">
        <v>4.9410075790785948</v>
      </c>
      <c r="G859" s="302">
        <v>6.9677074609606136</v>
      </c>
      <c r="H859" s="302">
        <f>SUM(F859:G859)</f>
        <v>11.908715040039208</v>
      </c>
      <c r="I859" s="303"/>
      <c r="J859" s="302">
        <v>6.4765091848348471</v>
      </c>
      <c r="K859" s="302">
        <v>8.6208345179388548</v>
      </c>
      <c r="L859" s="302">
        <f>SUM(J859:K859)</f>
        <v>15.097343702773703</v>
      </c>
      <c r="M859" s="236"/>
      <c r="N859" s="236"/>
    </row>
    <row r="860" spans="1:14" x14ac:dyDescent="0.3">
      <c r="A860" s="237" t="str">
        <f>name!E$5</f>
        <v>Professional occupations</v>
      </c>
      <c r="B860" s="302">
        <v>3.0664751959995993</v>
      </c>
      <c r="C860" s="302">
        <v>3.401318636546971</v>
      </c>
      <c r="D860" s="302">
        <f t="shared" ref="D860:D867" si="316">SUM(B860:C860)</f>
        <v>6.4677938325465707</v>
      </c>
      <c r="E860" s="303"/>
      <c r="F860" s="302">
        <v>4.0631816520356878</v>
      </c>
      <c r="G860" s="302">
        <v>5.5998952739798433</v>
      </c>
      <c r="H860" s="302">
        <f t="shared" ref="H860:H867" si="317">SUM(F860:G860)</f>
        <v>9.6630769260155311</v>
      </c>
      <c r="I860" s="303"/>
      <c r="J860" s="302">
        <v>5.4455510672023371</v>
      </c>
      <c r="K860" s="302">
        <v>7.074844823007286</v>
      </c>
      <c r="L860" s="302">
        <f t="shared" ref="L860:L867" si="318">SUM(J860:K860)</f>
        <v>12.520395890209624</v>
      </c>
      <c r="M860" s="236"/>
      <c r="N860" s="236"/>
    </row>
    <row r="861" spans="1:14" x14ac:dyDescent="0.3">
      <c r="A861" s="237" t="str">
        <f>name!E$6</f>
        <v>Associate professional occupations</v>
      </c>
      <c r="B861" s="302">
        <v>3.4669268535233506</v>
      </c>
      <c r="C861" s="302">
        <v>3.0259709383024811</v>
      </c>
      <c r="D861" s="302">
        <f t="shared" si="316"/>
        <v>6.4928977918258317</v>
      </c>
      <c r="E861" s="303"/>
      <c r="F861" s="302">
        <v>4.1772532253368944</v>
      </c>
      <c r="G861" s="302">
        <v>4.4603120959968861</v>
      </c>
      <c r="H861" s="302">
        <f t="shared" si="317"/>
        <v>8.6375653213337813</v>
      </c>
      <c r="I861" s="303"/>
      <c r="J861" s="302">
        <v>5.4356412000461987</v>
      </c>
      <c r="K861" s="302">
        <v>4.4474433093224404</v>
      </c>
      <c r="L861" s="302">
        <f t="shared" si="318"/>
        <v>9.8830845093686399</v>
      </c>
      <c r="M861" s="236"/>
      <c r="N861" s="236"/>
    </row>
    <row r="862" spans="1:14" x14ac:dyDescent="0.3">
      <c r="A862" s="237" t="str">
        <f>name!E$7</f>
        <v>Administrative and secretarial occupations</v>
      </c>
      <c r="B862" s="302">
        <v>8.3185605482451201</v>
      </c>
      <c r="C862" s="302">
        <v>0.78962540446035667</v>
      </c>
      <c r="D862" s="302">
        <f t="shared" si="316"/>
        <v>9.108185952705476</v>
      </c>
      <c r="E862" s="303"/>
      <c r="F862" s="302">
        <v>7.9884032070530759</v>
      </c>
      <c r="G862" s="302">
        <v>1.0589089588616383</v>
      </c>
      <c r="H862" s="302">
        <f t="shared" si="317"/>
        <v>9.0473121659147147</v>
      </c>
      <c r="I862" s="303"/>
      <c r="J862" s="302">
        <v>6.7416371413627498</v>
      </c>
      <c r="K862" s="302">
        <v>1.2383888559491383</v>
      </c>
      <c r="L862" s="302">
        <f t="shared" si="318"/>
        <v>7.9800259973118877</v>
      </c>
      <c r="M862" s="236"/>
      <c r="N862" s="236"/>
    </row>
    <row r="863" spans="1:14" x14ac:dyDescent="0.3">
      <c r="A863" s="237" t="str">
        <f>name!E$8</f>
        <v>Skilled trades occupations</v>
      </c>
      <c r="B863" s="302">
        <v>0.81407560848088945</v>
      </c>
      <c r="C863" s="302">
        <v>2.6286843478414874</v>
      </c>
      <c r="D863" s="302">
        <f t="shared" si="316"/>
        <v>3.442759956322377</v>
      </c>
      <c r="E863" s="303"/>
      <c r="F863" s="302">
        <v>0.86837708853191831</v>
      </c>
      <c r="G863" s="302">
        <v>2.3722762786758338</v>
      </c>
      <c r="H863" s="302">
        <f t="shared" si="317"/>
        <v>3.2406533672077522</v>
      </c>
      <c r="I863" s="303"/>
      <c r="J863" s="302">
        <v>1.7545783250739386</v>
      </c>
      <c r="K863" s="302">
        <v>2.741076976837785</v>
      </c>
      <c r="L863" s="302">
        <f t="shared" si="318"/>
        <v>4.4956553019117234</v>
      </c>
      <c r="M863" s="236"/>
      <c r="N863" s="236"/>
    </row>
    <row r="864" spans="1:14" x14ac:dyDescent="0.3">
      <c r="A864" s="237" t="str">
        <f>name!E$9</f>
        <v>Caring, leisure and other service occupations</v>
      </c>
      <c r="B864" s="302">
        <v>1.0500387053998326</v>
      </c>
      <c r="C864" s="302">
        <v>0.44790960373154809</v>
      </c>
      <c r="D864" s="302">
        <f t="shared" si="316"/>
        <v>1.4979483091313806</v>
      </c>
      <c r="E864" s="303"/>
      <c r="F864" s="302">
        <v>1.0213640440008747</v>
      </c>
      <c r="G864" s="302">
        <v>0.58300649326933141</v>
      </c>
      <c r="H864" s="302">
        <f t="shared" si="317"/>
        <v>1.604370537270206</v>
      </c>
      <c r="I864" s="303"/>
      <c r="J864" s="302">
        <v>1.4799707425362345</v>
      </c>
      <c r="K864" s="302">
        <v>0.72053985743967197</v>
      </c>
      <c r="L864" s="302">
        <f t="shared" si="318"/>
        <v>2.2005105999759067</v>
      </c>
      <c r="M864" s="236"/>
      <c r="N864" s="236"/>
    </row>
    <row r="865" spans="1:14" x14ac:dyDescent="0.3">
      <c r="A865" s="237" t="str">
        <f>name!E$10</f>
        <v>Sales and customer service occupations</v>
      </c>
      <c r="B865" s="302">
        <v>4.9741071866828959</v>
      </c>
      <c r="C865" s="302">
        <v>1.1115186587782171</v>
      </c>
      <c r="D865" s="302">
        <f t="shared" si="316"/>
        <v>6.085625845461113</v>
      </c>
      <c r="E865" s="303"/>
      <c r="F865" s="302">
        <v>4.3224818843554642</v>
      </c>
      <c r="G865" s="302">
        <v>1.3265984101460015</v>
      </c>
      <c r="H865" s="302">
        <f t="shared" si="317"/>
        <v>5.6490802945014655</v>
      </c>
      <c r="I865" s="303"/>
      <c r="J865" s="302">
        <v>5.045775667573384</v>
      </c>
      <c r="K865" s="302">
        <v>1.4097684364419494</v>
      </c>
      <c r="L865" s="302">
        <f t="shared" si="318"/>
        <v>6.455544104015333</v>
      </c>
      <c r="M865" s="236"/>
      <c r="N865" s="236"/>
    </row>
    <row r="866" spans="1:14" x14ac:dyDescent="0.3">
      <c r="A866" s="237" t="str">
        <f>name!E$11</f>
        <v>Process, plant and machine operatives</v>
      </c>
      <c r="B866" s="302">
        <v>0.10533130902230449</v>
      </c>
      <c r="C866" s="302">
        <v>0.47462270150726182</v>
      </c>
      <c r="D866" s="302">
        <f t="shared" si="316"/>
        <v>0.5799540105295663</v>
      </c>
      <c r="E866" s="303"/>
      <c r="F866" s="302">
        <v>8.8890465479977518E-2</v>
      </c>
      <c r="G866" s="302">
        <v>0.50843954698134264</v>
      </c>
      <c r="H866" s="302">
        <f t="shared" si="317"/>
        <v>0.59733001246132011</v>
      </c>
      <c r="I866" s="303"/>
      <c r="J866" s="302">
        <v>0.20249930152792725</v>
      </c>
      <c r="K866" s="302">
        <v>0.47801642761464996</v>
      </c>
      <c r="L866" s="302">
        <f t="shared" si="318"/>
        <v>0.68051572914257719</v>
      </c>
      <c r="M866" s="236"/>
      <c r="N866" s="236"/>
    </row>
    <row r="867" spans="1:14" x14ac:dyDescent="0.3">
      <c r="A867" s="237" t="str">
        <f>name!E$12</f>
        <v>Elementary occupations</v>
      </c>
      <c r="B867" s="302">
        <v>1.2438300225445591</v>
      </c>
      <c r="C867" s="302">
        <v>0.64821632841250354</v>
      </c>
      <c r="D867" s="302">
        <f t="shared" si="316"/>
        <v>1.8920463509570626</v>
      </c>
      <c r="E867" s="303"/>
      <c r="F867" s="302">
        <v>0.98104085396026253</v>
      </c>
      <c r="G867" s="302">
        <v>0.65585548094372459</v>
      </c>
      <c r="H867" s="302">
        <f t="shared" si="317"/>
        <v>1.6368963349039871</v>
      </c>
      <c r="I867" s="303"/>
      <c r="J867" s="302">
        <v>0.83183736974138123</v>
      </c>
      <c r="K867" s="302">
        <v>0.68208679521584459</v>
      </c>
      <c r="L867" s="302">
        <f t="shared" si="318"/>
        <v>1.5139241649572259</v>
      </c>
      <c r="M867" s="236"/>
      <c r="N867" s="236"/>
    </row>
    <row r="868" spans="1:14" x14ac:dyDescent="0.3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  <c r="N868" s="236"/>
    </row>
    <row r="869" spans="1:14" x14ac:dyDescent="0.3">
      <c r="A869" s="244" t="s">
        <v>32</v>
      </c>
      <c r="B869" s="311">
        <f>SUM(B859:B867)</f>
        <v>27.52300000005598</v>
      </c>
      <c r="C869" s="311">
        <f t="shared" ref="C869:D869" si="319">SUM(C859:C867)</f>
        <v>17.36199999989244</v>
      </c>
      <c r="D869" s="311">
        <f t="shared" si="319"/>
        <v>44.884999999948427</v>
      </c>
      <c r="E869" s="311"/>
      <c r="F869" s="311">
        <f t="shared" ref="F869:H869" si="320">SUM(F859:F867)</f>
        <v>28.451999999832751</v>
      </c>
      <c r="G869" s="311">
        <f t="shared" si="320"/>
        <v>23.532999999815218</v>
      </c>
      <c r="H869" s="311">
        <f t="shared" si="320"/>
        <v>51.984999999647968</v>
      </c>
      <c r="I869" s="311"/>
      <c r="J869" s="311">
        <f t="shared" ref="J869:L869" si="321">SUM(J859:J867)</f>
        <v>33.413999999898998</v>
      </c>
      <c r="K869" s="311">
        <f t="shared" si="321"/>
        <v>27.412999999767624</v>
      </c>
      <c r="L869" s="311">
        <f t="shared" si="321"/>
        <v>60.826999999666619</v>
      </c>
      <c r="M869" s="236"/>
      <c r="N869" s="236"/>
    </row>
    <row r="870" spans="1:14" x14ac:dyDescent="0.3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  <c r="N870" s="236"/>
    </row>
    <row r="871" spans="1:14" x14ac:dyDescent="0.3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56" t="s">
        <v>35</v>
      </c>
      <c r="M871" s="236"/>
      <c r="N871" s="236"/>
    </row>
    <row r="872" spans="1:14" x14ac:dyDescent="0.3">
      <c r="A872" s="242"/>
      <c r="B872" s="250"/>
      <c r="C872" s="250"/>
      <c r="D872" s="250"/>
      <c r="E872" s="250"/>
      <c r="F872" s="250"/>
      <c r="G872" s="250"/>
      <c r="H872" s="250"/>
      <c r="I872" s="250"/>
      <c r="J872" s="250"/>
      <c r="K872" s="250"/>
      <c r="L872" s="236"/>
      <c r="M872" s="236"/>
      <c r="N872" s="236"/>
    </row>
    <row r="873" spans="1:14" x14ac:dyDescent="0.3">
      <c r="A873" s="241" t="str">
        <f>name!A54</f>
        <v>Legal and accounting</v>
      </c>
      <c r="B873" s="373">
        <f>B$6</f>
        <v>2015</v>
      </c>
      <c r="C873" s="373"/>
      <c r="D873" s="373"/>
      <c r="E873" s="253"/>
      <c r="F873" s="373">
        <f>F$6</f>
        <v>2020</v>
      </c>
      <c r="G873" s="373"/>
      <c r="H873" s="373"/>
      <c r="I873" s="253"/>
      <c r="J873" s="373">
        <f>J$6</f>
        <v>2035</v>
      </c>
      <c r="K873" s="373"/>
      <c r="L873" s="373"/>
      <c r="M873" s="236"/>
      <c r="N873" s="236"/>
    </row>
    <row r="874" spans="1:14" x14ac:dyDescent="0.3">
      <c r="A874" s="254"/>
      <c r="B874" s="255" t="s">
        <v>352</v>
      </c>
      <c r="C874" s="255" t="s">
        <v>353</v>
      </c>
      <c r="D874" s="255" t="s">
        <v>32</v>
      </c>
      <c r="E874" s="255"/>
      <c r="F874" s="255" t="s">
        <v>352</v>
      </c>
      <c r="G874" s="255" t="s">
        <v>353</v>
      </c>
      <c r="H874" s="255" t="s">
        <v>32</v>
      </c>
      <c r="I874" s="255"/>
      <c r="J874" s="255" t="s">
        <v>352</v>
      </c>
      <c r="K874" s="255" t="s">
        <v>353</v>
      </c>
      <c r="L874" s="255" t="s">
        <v>32</v>
      </c>
      <c r="M874" s="236"/>
      <c r="N874" s="236"/>
    </row>
    <row r="875" spans="1:14" x14ac:dyDescent="0.3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  <c r="N875" s="236"/>
    </row>
    <row r="876" spans="1:14" x14ac:dyDescent="0.3">
      <c r="A876" s="237" t="str">
        <f>name!E$4</f>
        <v>Managers, directors and senior officials</v>
      </c>
      <c r="B876" s="302">
        <v>3.8778433368555114</v>
      </c>
      <c r="C876" s="302">
        <v>4.783660838954094</v>
      </c>
      <c r="D876" s="302">
        <f>SUM(B876:C876)</f>
        <v>8.6615041758096059</v>
      </c>
      <c r="E876" s="303"/>
      <c r="F876" s="302">
        <v>4.4842788255306827</v>
      </c>
      <c r="G876" s="302">
        <v>5.1897472865021035</v>
      </c>
      <c r="H876" s="302">
        <f>SUM(F876:G876)</f>
        <v>9.6740261120327862</v>
      </c>
      <c r="I876" s="303"/>
      <c r="J876" s="302">
        <v>5.9286050507747694</v>
      </c>
      <c r="K876" s="302">
        <v>6.3542467073206748</v>
      </c>
      <c r="L876" s="302">
        <f>SUM(J876:K876)</f>
        <v>12.282851758095443</v>
      </c>
      <c r="M876" s="236"/>
      <c r="N876" s="236"/>
    </row>
    <row r="877" spans="1:14" x14ac:dyDescent="0.3">
      <c r="A877" s="237" t="str">
        <f>name!E$5</f>
        <v>Professional occupations</v>
      </c>
      <c r="B877" s="302">
        <v>8.3201529078491561</v>
      </c>
      <c r="C877" s="302">
        <v>13.839136413927932</v>
      </c>
      <c r="D877" s="302">
        <f t="shared" ref="D877:D884" si="322">SUM(B877:C877)</f>
        <v>22.159289321777088</v>
      </c>
      <c r="E877" s="303"/>
      <c r="F877" s="302">
        <v>10.109778445933049</v>
      </c>
      <c r="G877" s="302">
        <v>14.902335860596045</v>
      </c>
      <c r="H877" s="302">
        <f t="shared" ref="H877:H884" si="323">SUM(F877:G877)</f>
        <v>25.012114306529092</v>
      </c>
      <c r="I877" s="303"/>
      <c r="J877" s="302">
        <v>13.926384394263252</v>
      </c>
      <c r="K877" s="302">
        <v>19.040747521306052</v>
      </c>
      <c r="L877" s="302">
        <f t="shared" ref="L877:L884" si="324">SUM(J877:K877)</f>
        <v>32.967131915569304</v>
      </c>
      <c r="M877" s="236"/>
      <c r="N877" s="236"/>
    </row>
    <row r="878" spans="1:14" x14ac:dyDescent="0.3">
      <c r="A878" s="237" t="str">
        <f>name!E$6</f>
        <v>Associate professional occupations</v>
      </c>
      <c r="B878" s="302">
        <v>6.1670408657283584</v>
      </c>
      <c r="C878" s="302">
        <v>5.8980566123189657</v>
      </c>
      <c r="D878" s="302">
        <f t="shared" si="322"/>
        <v>12.065097478047324</v>
      </c>
      <c r="E878" s="303"/>
      <c r="F878" s="302">
        <v>6.3045384376415772</v>
      </c>
      <c r="G878" s="302">
        <v>6.4532967380361663</v>
      </c>
      <c r="H878" s="302">
        <f t="shared" si="323"/>
        <v>12.757835175677744</v>
      </c>
      <c r="I878" s="303"/>
      <c r="J878" s="302">
        <v>7.9892420499187287</v>
      </c>
      <c r="K878" s="302">
        <v>6.8019209495102437</v>
      </c>
      <c r="L878" s="302">
        <f t="shared" si="324"/>
        <v>14.791162999428973</v>
      </c>
      <c r="M878" s="236"/>
      <c r="N878" s="236"/>
    </row>
    <row r="879" spans="1:14" x14ac:dyDescent="0.3">
      <c r="A879" s="237" t="str">
        <f>name!E$7</f>
        <v>Administrative and secretarial occupations</v>
      </c>
      <c r="B879" s="302">
        <v>11.414027558614936</v>
      </c>
      <c r="C879" s="302">
        <v>1.5682776214975584</v>
      </c>
      <c r="D879" s="302">
        <f t="shared" si="322"/>
        <v>12.982305180112494</v>
      </c>
      <c r="E879" s="303"/>
      <c r="F879" s="302">
        <v>11.007258364691443</v>
      </c>
      <c r="G879" s="302">
        <v>1.7914950116707724</v>
      </c>
      <c r="H879" s="302">
        <f t="shared" si="323"/>
        <v>12.798753376362216</v>
      </c>
      <c r="I879" s="303"/>
      <c r="J879" s="302">
        <v>8.5040815204557543</v>
      </c>
      <c r="K879" s="302">
        <v>1.6001393941612787</v>
      </c>
      <c r="L879" s="302">
        <f t="shared" si="324"/>
        <v>10.104220914617033</v>
      </c>
      <c r="M879" s="236"/>
      <c r="N879" s="236"/>
    </row>
    <row r="880" spans="1:14" x14ac:dyDescent="0.3">
      <c r="A880" s="237" t="str">
        <f>name!E$8</f>
        <v>Skilled trades occupations</v>
      </c>
      <c r="B880" s="302">
        <v>0.27437438882716714</v>
      </c>
      <c r="C880" s="302">
        <v>1.53776503907934</v>
      </c>
      <c r="D880" s="302">
        <f t="shared" si="322"/>
        <v>1.8121394279065073</v>
      </c>
      <c r="E880" s="303"/>
      <c r="F880" s="302">
        <v>0.25268427440133789</v>
      </c>
      <c r="G880" s="302">
        <v>1.0656112784828466</v>
      </c>
      <c r="H880" s="302">
        <f t="shared" si="323"/>
        <v>1.3182955528841847</v>
      </c>
      <c r="I880" s="303"/>
      <c r="J880" s="302">
        <v>0.60548399812983333</v>
      </c>
      <c r="K880" s="302">
        <v>1.1254752522671863</v>
      </c>
      <c r="L880" s="302">
        <f t="shared" si="324"/>
        <v>1.7309592503970195</v>
      </c>
      <c r="M880" s="236"/>
      <c r="N880" s="236"/>
    </row>
    <row r="881" spans="1:14" x14ac:dyDescent="0.3">
      <c r="A881" s="237" t="str">
        <f>name!E$9</f>
        <v>Caring, leisure and other service occupations</v>
      </c>
      <c r="B881" s="302">
        <v>0.18642913563494393</v>
      </c>
      <c r="C881" s="302">
        <v>0.13221599020130223</v>
      </c>
      <c r="D881" s="302">
        <f t="shared" si="322"/>
        <v>0.31864512583624616</v>
      </c>
      <c r="E881" s="303"/>
      <c r="F881" s="302">
        <v>0.13964651643372836</v>
      </c>
      <c r="G881" s="302">
        <v>0.12641089452255733</v>
      </c>
      <c r="H881" s="302">
        <f t="shared" si="323"/>
        <v>0.26605741095628566</v>
      </c>
      <c r="I881" s="303"/>
      <c r="J881" s="302">
        <v>0.17565690150939733</v>
      </c>
      <c r="K881" s="302">
        <v>0.21298253937405204</v>
      </c>
      <c r="L881" s="302">
        <f t="shared" si="324"/>
        <v>0.38863944088344937</v>
      </c>
      <c r="M881" s="236"/>
      <c r="N881" s="236"/>
    </row>
    <row r="882" spans="1:14" x14ac:dyDescent="0.3">
      <c r="A882" s="237" t="str">
        <f>name!E$10</f>
        <v>Sales and customer service occupations</v>
      </c>
      <c r="B882" s="302">
        <v>2.1537476041760093</v>
      </c>
      <c r="C882" s="302">
        <v>0.59055971994290501</v>
      </c>
      <c r="D882" s="302">
        <f t="shared" si="322"/>
        <v>2.7443073241189144</v>
      </c>
      <c r="E882" s="303"/>
      <c r="F882" s="302">
        <v>1.8395619994402945</v>
      </c>
      <c r="G882" s="302">
        <v>0.61623433903437463</v>
      </c>
      <c r="H882" s="302">
        <f t="shared" si="323"/>
        <v>2.455796338474669</v>
      </c>
      <c r="I882" s="303"/>
      <c r="J882" s="302">
        <v>2.0459074903637813</v>
      </c>
      <c r="K882" s="302">
        <v>0.83284448121065591</v>
      </c>
      <c r="L882" s="302">
        <f t="shared" si="324"/>
        <v>2.8787519715744372</v>
      </c>
      <c r="M882" s="236"/>
      <c r="N882" s="236"/>
    </row>
    <row r="883" spans="1:14" x14ac:dyDescent="0.3">
      <c r="A883" s="237" t="str">
        <f>name!E$11</f>
        <v>Process, plant and machine operatives</v>
      </c>
      <c r="B883" s="302">
        <v>0.1732774590139495</v>
      </c>
      <c r="C883" s="302">
        <v>0.56416286776033442</v>
      </c>
      <c r="D883" s="302">
        <f t="shared" si="322"/>
        <v>0.73744032677428395</v>
      </c>
      <c r="E883" s="303"/>
      <c r="F883" s="302">
        <v>0.14051589443027768</v>
      </c>
      <c r="G883" s="302">
        <v>0.49339484509922088</v>
      </c>
      <c r="H883" s="302">
        <f t="shared" si="323"/>
        <v>0.6339107395294985</v>
      </c>
      <c r="I883" s="303"/>
      <c r="J883" s="302">
        <v>0.2496082342557209</v>
      </c>
      <c r="K883" s="302">
        <v>0.64391138868195719</v>
      </c>
      <c r="L883" s="302">
        <f t="shared" si="324"/>
        <v>0.89351962293767806</v>
      </c>
      <c r="M883" s="236"/>
      <c r="N883" s="236"/>
    </row>
    <row r="884" spans="1:14" x14ac:dyDescent="0.3">
      <c r="A884" s="237" t="str">
        <f>name!E$12</f>
        <v>Elementary occupations</v>
      </c>
      <c r="B884" s="302">
        <v>0.73810674277974408</v>
      </c>
      <c r="C884" s="302">
        <v>0.45216489612255245</v>
      </c>
      <c r="D884" s="302">
        <f t="shared" si="322"/>
        <v>1.1902716389022965</v>
      </c>
      <c r="E884" s="303"/>
      <c r="F884" s="302">
        <v>0.61173724178636424</v>
      </c>
      <c r="G884" s="302">
        <v>0.40147374562878546</v>
      </c>
      <c r="H884" s="302">
        <f t="shared" si="323"/>
        <v>1.0132109874151496</v>
      </c>
      <c r="I884" s="303"/>
      <c r="J884" s="302">
        <v>0.5360303607777307</v>
      </c>
      <c r="K884" s="302">
        <v>0.43873176559364924</v>
      </c>
      <c r="L884" s="302">
        <f t="shared" si="324"/>
        <v>0.97476212637137993</v>
      </c>
      <c r="M884" s="236"/>
      <c r="N884" s="236"/>
    </row>
    <row r="885" spans="1:14" x14ac:dyDescent="0.3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  <c r="N885" s="236"/>
    </row>
    <row r="886" spans="1:14" x14ac:dyDescent="0.3">
      <c r="A886" s="244" t="s">
        <v>32</v>
      </c>
      <c r="B886" s="311">
        <f>SUM(B876:B884)</f>
        <v>33.304999999479776</v>
      </c>
      <c r="C886" s="311">
        <f t="shared" ref="C886:D886" si="325">SUM(C876:C884)</f>
        <v>29.365999999804984</v>
      </c>
      <c r="D886" s="311">
        <f t="shared" si="325"/>
        <v>62.670999999284753</v>
      </c>
      <c r="E886" s="311"/>
      <c r="F886" s="311">
        <f t="shared" ref="F886:H886" si="326">SUM(F876:F884)</f>
        <v>34.890000000288758</v>
      </c>
      <c r="G886" s="311">
        <f t="shared" si="326"/>
        <v>31.039999999572871</v>
      </c>
      <c r="H886" s="311">
        <f t="shared" si="326"/>
        <v>65.929999999861622</v>
      </c>
      <c r="I886" s="311"/>
      <c r="J886" s="311">
        <f t="shared" ref="J886:L886" si="327">SUM(J876:J884)</f>
        <v>39.961000000448976</v>
      </c>
      <c r="K886" s="311">
        <f t="shared" si="327"/>
        <v>37.050999999425763</v>
      </c>
      <c r="L886" s="311">
        <f t="shared" si="327"/>
        <v>77.011999999874703</v>
      </c>
      <c r="M886" s="236"/>
      <c r="N886" s="236"/>
    </row>
    <row r="887" spans="1:14" x14ac:dyDescent="0.3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  <c r="N887" s="236"/>
    </row>
    <row r="888" spans="1:14" x14ac:dyDescent="0.3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56" t="s">
        <v>35</v>
      </c>
      <c r="M888" s="236"/>
      <c r="N888" s="236"/>
    </row>
    <row r="889" spans="1:14" x14ac:dyDescent="0.3">
      <c r="A889" s="242"/>
      <c r="B889" s="250"/>
      <c r="C889" s="250"/>
      <c r="D889" s="250"/>
      <c r="E889" s="250"/>
      <c r="F889" s="250"/>
      <c r="G889" s="250"/>
      <c r="H889" s="250"/>
      <c r="I889" s="250"/>
      <c r="J889" s="250"/>
      <c r="K889" s="250"/>
      <c r="L889" s="236"/>
      <c r="M889" s="236"/>
      <c r="N889" s="236"/>
    </row>
    <row r="890" spans="1:14" x14ac:dyDescent="0.3">
      <c r="A890" s="241" t="str">
        <f>name!A55</f>
        <v>Head offices, etc</v>
      </c>
      <c r="B890" s="373">
        <f>B$6</f>
        <v>2015</v>
      </c>
      <c r="C890" s="373"/>
      <c r="D890" s="373"/>
      <c r="E890" s="253"/>
      <c r="F890" s="373">
        <f>F$6</f>
        <v>2020</v>
      </c>
      <c r="G890" s="373"/>
      <c r="H890" s="373"/>
      <c r="I890" s="253"/>
      <c r="J890" s="373">
        <f>J$6</f>
        <v>2035</v>
      </c>
      <c r="K890" s="373"/>
      <c r="L890" s="373"/>
      <c r="M890" s="236"/>
      <c r="N890" s="236"/>
    </row>
    <row r="891" spans="1:14" x14ac:dyDescent="0.3">
      <c r="A891" s="254"/>
      <c r="B891" s="255" t="s">
        <v>352</v>
      </c>
      <c r="C891" s="255" t="s">
        <v>353</v>
      </c>
      <c r="D891" s="255" t="s">
        <v>32</v>
      </c>
      <c r="E891" s="255"/>
      <c r="F891" s="255" t="s">
        <v>352</v>
      </c>
      <c r="G891" s="255" t="s">
        <v>353</v>
      </c>
      <c r="H891" s="255" t="s">
        <v>32</v>
      </c>
      <c r="I891" s="255"/>
      <c r="J891" s="255" t="s">
        <v>352</v>
      </c>
      <c r="K891" s="255" t="s">
        <v>353</v>
      </c>
      <c r="L891" s="255" t="s">
        <v>32</v>
      </c>
      <c r="M891" s="236"/>
      <c r="N891" s="236"/>
    </row>
    <row r="892" spans="1:14" x14ac:dyDescent="0.3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  <c r="N892" s="236"/>
    </row>
    <row r="893" spans="1:14" x14ac:dyDescent="0.3">
      <c r="A893" s="237" t="str">
        <f>name!E$4</f>
        <v>Managers, directors and senior officials</v>
      </c>
      <c r="B893" s="302">
        <v>4.4093593279645074</v>
      </c>
      <c r="C893" s="302">
        <v>6.1779982337108974</v>
      </c>
      <c r="D893" s="302">
        <f>SUM(B893:C893)</f>
        <v>10.587357561675404</v>
      </c>
      <c r="E893" s="303"/>
      <c r="F893" s="302">
        <v>4.0909922040516653</v>
      </c>
      <c r="G893" s="302">
        <v>7.1147669931015338</v>
      </c>
      <c r="H893" s="302">
        <f>SUM(F893:G893)</f>
        <v>11.205759197153199</v>
      </c>
      <c r="I893" s="303"/>
      <c r="J893" s="302">
        <v>5.2275583543618414</v>
      </c>
      <c r="K893" s="302">
        <v>7.3130758880361366</v>
      </c>
      <c r="L893" s="302">
        <f>SUM(J893:K893)</f>
        <v>12.540634242397978</v>
      </c>
      <c r="M893" s="236"/>
      <c r="N893" s="236"/>
    </row>
    <row r="894" spans="1:14" x14ac:dyDescent="0.3">
      <c r="A894" s="237" t="str">
        <f>name!E$5</f>
        <v>Professional occupations</v>
      </c>
      <c r="B894" s="302">
        <v>9.204968272399622</v>
      </c>
      <c r="C894" s="302">
        <v>16.79585655830617</v>
      </c>
      <c r="D894" s="302">
        <f t="shared" ref="D894:D901" si="328">SUM(B894:C894)</f>
        <v>26.000824830705792</v>
      </c>
      <c r="E894" s="303"/>
      <c r="F894" s="302">
        <v>9.6101005410909508</v>
      </c>
      <c r="G894" s="302">
        <v>20.922347080163526</v>
      </c>
      <c r="H894" s="302">
        <f t="shared" ref="H894:H901" si="329">SUM(F894:G894)</f>
        <v>30.532447621254477</v>
      </c>
      <c r="I894" s="303"/>
      <c r="J894" s="302">
        <v>13.031080992557236</v>
      </c>
      <c r="K894" s="302">
        <v>23.598814098503347</v>
      </c>
      <c r="L894" s="302">
        <f t="shared" ref="L894:L901" si="330">SUM(J894:K894)</f>
        <v>36.629895091060583</v>
      </c>
      <c r="M894" s="236"/>
      <c r="N894" s="236"/>
    </row>
    <row r="895" spans="1:14" x14ac:dyDescent="0.3">
      <c r="A895" s="237" t="str">
        <f>name!E$6</f>
        <v>Associate professional occupations</v>
      </c>
      <c r="B895" s="302">
        <v>6.925451476566308</v>
      </c>
      <c r="C895" s="302">
        <v>7.5896393112085665</v>
      </c>
      <c r="D895" s="302">
        <f t="shared" si="328"/>
        <v>14.515090787774874</v>
      </c>
      <c r="E895" s="303"/>
      <c r="F895" s="302">
        <v>5.9420011298371564</v>
      </c>
      <c r="G895" s="302">
        <v>9.0097202772460694</v>
      </c>
      <c r="H895" s="302">
        <f t="shared" si="329"/>
        <v>14.951721407083227</v>
      </c>
      <c r="I895" s="303"/>
      <c r="J895" s="302">
        <v>7.3064434754478604</v>
      </c>
      <c r="K895" s="302">
        <v>8.3555463461097084</v>
      </c>
      <c r="L895" s="302">
        <f t="shared" si="330"/>
        <v>15.661989821557569</v>
      </c>
      <c r="M895" s="236"/>
      <c r="N895" s="236"/>
    </row>
    <row r="896" spans="1:14" x14ac:dyDescent="0.3">
      <c r="A896" s="237" t="str">
        <f>name!E$7</f>
        <v>Administrative and secretarial occupations</v>
      </c>
      <c r="B896" s="302">
        <v>14.302072858863591</v>
      </c>
      <c r="C896" s="302">
        <v>1.9317149206581123</v>
      </c>
      <c r="D896" s="302">
        <f t="shared" si="328"/>
        <v>16.233787779521702</v>
      </c>
      <c r="E896" s="303"/>
      <c r="F896" s="302">
        <v>9.8469944168945602</v>
      </c>
      <c r="G896" s="302">
        <v>1.9907848865718933</v>
      </c>
      <c r="H896" s="302">
        <f t="shared" si="329"/>
        <v>11.837779303466453</v>
      </c>
      <c r="I896" s="303"/>
      <c r="J896" s="302">
        <v>7.2250877592813163</v>
      </c>
      <c r="K896" s="302">
        <v>1.5787573420270842</v>
      </c>
      <c r="L896" s="302">
        <f t="shared" si="330"/>
        <v>8.8038451013084007</v>
      </c>
      <c r="M896" s="236"/>
      <c r="N896" s="236"/>
    </row>
    <row r="897" spans="1:14" x14ac:dyDescent="0.3">
      <c r="A897" s="237" t="str">
        <f>name!E$8</f>
        <v>Skilled trades occupations</v>
      </c>
      <c r="B897" s="302">
        <v>0.31457810329848712</v>
      </c>
      <c r="C897" s="302">
        <v>1.9980627394710231</v>
      </c>
      <c r="D897" s="302">
        <f t="shared" si="328"/>
        <v>2.3126408427695102</v>
      </c>
      <c r="E897" s="303"/>
      <c r="F897" s="302">
        <v>0.23501699526841641</v>
      </c>
      <c r="G897" s="302">
        <v>1.4832040459852267</v>
      </c>
      <c r="H897" s="302">
        <f t="shared" si="329"/>
        <v>1.7182210412536432</v>
      </c>
      <c r="I897" s="303"/>
      <c r="J897" s="302">
        <v>0.54616207653238757</v>
      </c>
      <c r="K897" s="302">
        <v>1.2512057903060387</v>
      </c>
      <c r="L897" s="302">
        <f t="shared" si="330"/>
        <v>1.7973678668384263</v>
      </c>
      <c r="M897" s="236"/>
      <c r="N897" s="236"/>
    </row>
    <row r="898" spans="1:14" x14ac:dyDescent="0.3">
      <c r="A898" s="237" t="str">
        <f>name!E$9</f>
        <v>Caring, leisure and other service occupations</v>
      </c>
      <c r="B898" s="302">
        <v>0.20893367731124027</v>
      </c>
      <c r="C898" s="302">
        <v>0.13452985306885878</v>
      </c>
      <c r="D898" s="302">
        <f t="shared" si="328"/>
        <v>0.34346353038009902</v>
      </c>
      <c r="E898" s="303"/>
      <c r="F898" s="302">
        <v>0.12854210145735642</v>
      </c>
      <c r="G898" s="302">
        <v>0.13032206091366216</v>
      </c>
      <c r="H898" s="302">
        <f t="shared" si="329"/>
        <v>0.25886416237101861</v>
      </c>
      <c r="I898" s="303"/>
      <c r="J898" s="302">
        <v>0.15205444247377567</v>
      </c>
      <c r="K898" s="302">
        <v>0.18326003900751975</v>
      </c>
      <c r="L898" s="302">
        <f t="shared" si="330"/>
        <v>0.33531448148129539</v>
      </c>
      <c r="M898" s="236"/>
      <c r="N898" s="236"/>
    </row>
    <row r="899" spans="1:14" x14ac:dyDescent="0.3">
      <c r="A899" s="237" t="str">
        <f>name!E$10</f>
        <v>Sales and customer service occupations</v>
      </c>
      <c r="B899" s="302">
        <v>2.5403147911155819</v>
      </c>
      <c r="C899" s="302">
        <v>0.72978779396409876</v>
      </c>
      <c r="D899" s="302">
        <f t="shared" si="328"/>
        <v>3.2701025850796808</v>
      </c>
      <c r="E899" s="303"/>
      <c r="F899" s="302">
        <v>1.6798678092959149</v>
      </c>
      <c r="G899" s="302">
        <v>0.67358481971105333</v>
      </c>
      <c r="H899" s="302">
        <f t="shared" si="329"/>
        <v>2.3534526290069682</v>
      </c>
      <c r="I899" s="303"/>
      <c r="J899" s="302">
        <v>1.8060331635079721</v>
      </c>
      <c r="K899" s="302">
        <v>0.79713933146738414</v>
      </c>
      <c r="L899" s="302">
        <f t="shared" si="330"/>
        <v>2.6031724949753561</v>
      </c>
      <c r="M899" s="236"/>
      <c r="N899" s="236"/>
    </row>
    <row r="900" spans="1:14" x14ac:dyDescent="0.3">
      <c r="A900" s="237" t="str">
        <f>name!E$11</f>
        <v>Process, plant and machine operatives</v>
      </c>
      <c r="B900" s="302">
        <v>0.23436851358840119</v>
      </c>
      <c r="C900" s="302">
        <v>0.74971812978932451</v>
      </c>
      <c r="D900" s="302">
        <f t="shared" si="328"/>
        <v>0.98408664337772567</v>
      </c>
      <c r="E900" s="303"/>
      <c r="F900" s="302">
        <v>0.12072850796502049</v>
      </c>
      <c r="G900" s="302">
        <v>0.5935813292832931</v>
      </c>
      <c r="H900" s="302">
        <f t="shared" si="329"/>
        <v>0.71430983724831365</v>
      </c>
      <c r="I900" s="303"/>
      <c r="J900" s="302">
        <v>0.20313777963956789</v>
      </c>
      <c r="K900" s="302">
        <v>0.64244695744360159</v>
      </c>
      <c r="L900" s="302">
        <f t="shared" si="330"/>
        <v>0.8455847370831695</v>
      </c>
      <c r="M900" s="236"/>
      <c r="N900" s="236"/>
    </row>
    <row r="901" spans="1:14" x14ac:dyDescent="0.3">
      <c r="A901" s="237" t="str">
        <f>name!E$12</f>
        <v>Elementary occupations</v>
      </c>
      <c r="B901" s="302">
        <v>0.89495297835218213</v>
      </c>
      <c r="C901" s="302">
        <v>0.59669245943310623</v>
      </c>
      <c r="D901" s="302">
        <f t="shared" si="328"/>
        <v>1.4916454377852884</v>
      </c>
      <c r="E901" s="303"/>
      <c r="F901" s="302">
        <v>0.56175629440827946</v>
      </c>
      <c r="G901" s="302">
        <v>0.45968850626502183</v>
      </c>
      <c r="H901" s="302">
        <f t="shared" si="329"/>
        <v>1.0214448006733012</v>
      </c>
      <c r="I901" s="303"/>
      <c r="J901" s="302">
        <v>0.494441956608904</v>
      </c>
      <c r="K901" s="302">
        <v>0.41575420616126241</v>
      </c>
      <c r="L901" s="302">
        <f t="shared" si="330"/>
        <v>0.91019616277016646</v>
      </c>
      <c r="M901" s="236"/>
      <c r="N901" s="236"/>
    </row>
    <row r="902" spans="1:14" x14ac:dyDescent="0.3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  <c r="N902" s="236"/>
    </row>
    <row r="903" spans="1:14" x14ac:dyDescent="0.3">
      <c r="A903" s="244" t="s">
        <v>32</v>
      </c>
      <c r="B903" s="311">
        <f>SUM(B893:B901)</f>
        <v>39.03499999945992</v>
      </c>
      <c r="C903" s="311">
        <f t="shared" ref="C903:D903" si="331">SUM(C893:C901)</f>
        <v>36.703999999610154</v>
      </c>
      <c r="D903" s="311">
        <f t="shared" si="331"/>
        <v>75.738999999070089</v>
      </c>
      <c r="E903" s="311"/>
      <c r="F903" s="311">
        <f t="shared" ref="F903:H903" si="332">SUM(F893:F901)</f>
        <v>32.216000000269318</v>
      </c>
      <c r="G903" s="311">
        <f t="shared" si="332"/>
        <v>42.377999999241283</v>
      </c>
      <c r="H903" s="311">
        <f t="shared" si="332"/>
        <v>74.593999999510586</v>
      </c>
      <c r="I903" s="311"/>
      <c r="J903" s="311">
        <f t="shared" ref="J903:L903" si="333">SUM(J893:J901)</f>
        <v>35.992000000410862</v>
      </c>
      <c r="K903" s="311">
        <f t="shared" si="333"/>
        <v>44.135999999062086</v>
      </c>
      <c r="L903" s="311">
        <f t="shared" si="333"/>
        <v>80.127999999472934</v>
      </c>
      <c r="M903" s="236"/>
      <c r="N903" s="236"/>
    </row>
    <row r="904" spans="1:14" x14ac:dyDescent="0.3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  <c r="N904" s="236"/>
    </row>
    <row r="905" spans="1:14" x14ac:dyDescent="0.3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56" t="s">
        <v>35</v>
      </c>
      <c r="M905" s="236"/>
      <c r="N905" s="236"/>
    </row>
    <row r="906" spans="1:14" x14ac:dyDescent="0.3">
      <c r="A906" s="242"/>
      <c r="B906" s="250"/>
      <c r="C906" s="250"/>
      <c r="D906" s="250"/>
      <c r="E906" s="250"/>
      <c r="F906" s="250"/>
      <c r="G906" s="250"/>
      <c r="H906" s="250"/>
      <c r="I906" s="250"/>
      <c r="J906" s="250"/>
      <c r="K906" s="250"/>
      <c r="L906" s="236"/>
      <c r="M906" s="236"/>
      <c r="N906" s="236"/>
    </row>
    <row r="907" spans="1:14" x14ac:dyDescent="0.3">
      <c r="A907" s="241" t="str">
        <f>name!A56</f>
        <v>Architectural and related</v>
      </c>
      <c r="B907" s="373">
        <f>B$6</f>
        <v>2015</v>
      </c>
      <c r="C907" s="373"/>
      <c r="D907" s="373"/>
      <c r="E907" s="253"/>
      <c r="F907" s="373">
        <f>F$6</f>
        <v>2020</v>
      </c>
      <c r="G907" s="373"/>
      <c r="H907" s="373"/>
      <c r="I907" s="253"/>
      <c r="J907" s="373">
        <f>J$6</f>
        <v>2035</v>
      </c>
      <c r="K907" s="373"/>
      <c r="L907" s="373"/>
      <c r="M907" s="236"/>
      <c r="N907" s="236"/>
    </row>
    <row r="908" spans="1:14" x14ac:dyDescent="0.3">
      <c r="A908" s="254"/>
      <c r="B908" s="255" t="s">
        <v>352</v>
      </c>
      <c r="C908" s="255" t="s">
        <v>353</v>
      </c>
      <c r="D908" s="255" t="s">
        <v>32</v>
      </c>
      <c r="E908" s="255"/>
      <c r="F908" s="255" t="s">
        <v>352</v>
      </c>
      <c r="G908" s="255" t="s">
        <v>353</v>
      </c>
      <c r="H908" s="255" t="s">
        <v>32</v>
      </c>
      <c r="I908" s="255"/>
      <c r="J908" s="255" t="s">
        <v>352</v>
      </c>
      <c r="K908" s="255" t="s">
        <v>353</v>
      </c>
      <c r="L908" s="255" t="s">
        <v>32</v>
      </c>
      <c r="M908" s="236"/>
      <c r="N908" s="236"/>
    </row>
    <row r="909" spans="1:14" x14ac:dyDescent="0.3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  <c r="N909" s="236"/>
    </row>
    <row r="910" spans="1:14" x14ac:dyDescent="0.3">
      <c r="A910" s="237" t="str">
        <f>name!E$4</f>
        <v>Managers, directors and senior officials</v>
      </c>
      <c r="B910" s="302">
        <v>1.6510218606920641</v>
      </c>
      <c r="C910" s="302">
        <v>5.5764523490598172</v>
      </c>
      <c r="D910" s="302">
        <f>SUM(B910:C910)</f>
        <v>7.2274742097518816</v>
      </c>
      <c r="E910" s="303"/>
      <c r="F910" s="302">
        <v>1.9130563556461444</v>
      </c>
      <c r="G910" s="302">
        <v>8.1444442602674272</v>
      </c>
      <c r="H910" s="302">
        <f>SUM(F910:G910)</f>
        <v>10.057500615913572</v>
      </c>
      <c r="I910" s="303"/>
      <c r="J910" s="302">
        <v>2.505745917360934</v>
      </c>
      <c r="K910" s="302">
        <v>8.5001906871438653</v>
      </c>
      <c r="L910" s="302">
        <f>SUM(J910:K910)</f>
        <v>11.0059366045048</v>
      </c>
      <c r="M910" s="236"/>
      <c r="N910" s="236"/>
    </row>
    <row r="911" spans="1:14" x14ac:dyDescent="0.3">
      <c r="A911" s="237" t="str">
        <f>name!E$5</f>
        <v>Professional occupations</v>
      </c>
      <c r="B911" s="302">
        <v>3.7153293699163616</v>
      </c>
      <c r="C911" s="302">
        <v>15.791182213545529</v>
      </c>
      <c r="D911" s="302">
        <f t="shared" ref="D911:D918" si="334">SUM(B911:C911)</f>
        <v>19.50651158346189</v>
      </c>
      <c r="E911" s="303"/>
      <c r="F911" s="302">
        <v>4.8405273423887891</v>
      </c>
      <c r="G911" s="302">
        <v>24.292593889514102</v>
      </c>
      <c r="H911" s="302">
        <f t="shared" ref="H911:H918" si="335">SUM(F911:G911)</f>
        <v>29.133121231902891</v>
      </c>
      <c r="I911" s="303"/>
      <c r="J911" s="302">
        <v>6.8825393393671526</v>
      </c>
      <c r="K911" s="302">
        <v>27.311102673571295</v>
      </c>
      <c r="L911" s="302">
        <f t="shared" ref="L911:L918" si="336">SUM(J911:K911)</f>
        <v>34.193642012938447</v>
      </c>
      <c r="M911" s="236"/>
      <c r="N911" s="236"/>
    </row>
    <row r="912" spans="1:14" x14ac:dyDescent="0.3">
      <c r="A912" s="237" t="str">
        <f>name!E$6</f>
        <v>Associate professional occupations</v>
      </c>
      <c r="B912" s="302">
        <v>2.7131015421741242</v>
      </c>
      <c r="C912" s="302">
        <v>6.85910382215424</v>
      </c>
      <c r="D912" s="302">
        <f t="shared" si="334"/>
        <v>9.5722053643283651</v>
      </c>
      <c r="E912" s="303"/>
      <c r="F912" s="302">
        <v>2.9491521679823953</v>
      </c>
      <c r="G912" s="302">
        <v>10.262904184814245</v>
      </c>
      <c r="H912" s="302">
        <f t="shared" si="335"/>
        <v>13.21205635279664</v>
      </c>
      <c r="I912" s="303"/>
      <c r="J912" s="302">
        <v>3.7242877252366098</v>
      </c>
      <c r="K912" s="302">
        <v>9.621383124467684</v>
      </c>
      <c r="L912" s="302">
        <f t="shared" si="336"/>
        <v>13.345670849704295</v>
      </c>
      <c r="M912" s="236"/>
      <c r="N912" s="236"/>
    </row>
    <row r="913" spans="1:14" x14ac:dyDescent="0.3">
      <c r="A913" s="237" t="str">
        <f>name!E$7</f>
        <v>Administrative and secretarial occupations</v>
      </c>
      <c r="B913" s="302">
        <v>4.8141502029816658</v>
      </c>
      <c r="C913" s="302">
        <v>1.4900029938805133</v>
      </c>
      <c r="D913" s="302">
        <f t="shared" si="334"/>
        <v>6.3041531968621793</v>
      </c>
      <c r="E913" s="303"/>
      <c r="F913" s="302">
        <v>4.4080162020735463</v>
      </c>
      <c r="G913" s="302">
        <v>2.2019065823297534</v>
      </c>
      <c r="H913" s="302">
        <f t="shared" si="335"/>
        <v>6.6099227844032997</v>
      </c>
      <c r="I913" s="303"/>
      <c r="J913" s="302">
        <v>3.1061459029359466</v>
      </c>
      <c r="K913" s="302">
        <v>1.8243184511369857</v>
      </c>
      <c r="L913" s="302">
        <f t="shared" si="336"/>
        <v>4.9304643540729325</v>
      </c>
      <c r="M913" s="236"/>
      <c r="N913" s="236"/>
    </row>
    <row r="914" spans="1:14" x14ac:dyDescent="0.3">
      <c r="A914" s="237" t="str">
        <f>name!E$8</f>
        <v>Skilled trades occupations</v>
      </c>
      <c r="B914" s="302">
        <v>0.11422801582163833</v>
      </c>
      <c r="C914" s="302">
        <v>1.7160020496587147</v>
      </c>
      <c r="D914" s="302">
        <f t="shared" si="334"/>
        <v>1.8302300654803529</v>
      </c>
      <c r="E914" s="303"/>
      <c r="F914" s="302">
        <v>0.1143054651768131</v>
      </c>
      <c r="G914" s="302">
        <v>1.6867268523655869</v>
      </c>
      <c r="H914" s="302">
        <f t="shared" si="335"/>
        <v>1.8010323175424001</v>
      </c>
      <c r="I914" s="303"/>
      <c r="J914" s="302">
        <v>0.27874630900859493</v>
      </c>
      <c r="K914" s="302">
        <v>1.4527220824563716</v>
      </c>
      <c r="L914" s="302">
        <f t="shared" si="336"/>
        <v>1.7314683914649664</v>
      </c>
      <c r="M914" s="236"/>
      <c r="N914" s="236"/>
    </row>
    <row r="915" spans="1:14" x14ac:dyDescent="0.3">
      <c r="A915" s="237" t="str">
        <f>name!E$9</f>
        <v>Caring, leisure and other service occupations</v>
      </c>
      <c r="B915" s="302">
        <v>7.750974529946987E-2</v>
      </c>
      <c r="C915" s="302">
        <v>0.12101967605934154</v>
      </c>
      <c r="D915" s="302">
        <f t="shared" si="334"/>
        <v>0.19852942135881141</v>
      </c>
      <c r="E915" s="303"/>
      <c r="F915" s="302">
        <v>6.1435398769030494E-2</v>
      </c>
      <c r="G915" s="302">
        <v>0.16265807585033815</v>
      </c>
      <c r="H915" s="302">
        <f t="shared" si="335"/>
        <v>0.22409347461936863</v>
      </c>
      <c r="I915" s="303"/>
      <c r="J915" s="302">
        <v>7.6374164042511156E-2</v>
      </c>
      <c r="K915" s="302">
        <v>0.24172909079413696</v>
      </c>
      <c r="L915" s="302">
        <f t="shared" si="336"/>
        <v>0.31810325483664814</v>
      </c>
      <c r="M915" s="236"/>
      <c r="N915" s="236"/>
    </row>
    <row r="916" spans="1:14" x14ac:dyDescent="0.3">
      <c r="A916" s="237" t="str">
        <f>name!E$10</f>
        <v>Sales and customer service occupations</v>
      </c>
      <c r="B916" s="302">
        <v>0.91993052220878191</v>
      </c>
      <c r="C916" s="302">
        <v>0.55496117091941433</v>
      </c>
      <c r="D916" s="302">
        <f t="shared" si="334"/>
        <v>1.4748916931281961</v>
      </c>
      <c r="E916" s="303"/>
      <c r="F916" s="302">
        <v>0.78505926678580062</v>
      </c>
      <c r="G916" s="302">
        <v>0.74468093593110707</v>
      </c>
      <c r="H916" s="302">
        <f t="shared" si="335"/>
        <v>1.5297402027169076</v>
      </c>
      <c r="I916" s="303"/>
      <c r="J916" s="302">
        <v>0.85055562792184292</v>
      </c>
      <c r="K916" s="302">
        <v>0.88677981635322367</v>
      </c>
      <c r="L916" s="302">
        <f t="shared" si="336"/>
        <v>1.7373354442750666</v>
      </c>
      <c r="M916" s="236"/>
      <c r="N916" s="236"/>
    </row>
    <row r="917" spans="1:14" x14ac:dyDescent="0.3">
      <c r="A917" s="237" t="str">
        <f>name!E$11</f>
        <v>Process, plant and machine operatives</v>
      </c>
      <c r="B917" s="302">
        <v>6.7042093203164399E-2</v>
      </c>
      <c r="C917" s="302">
        <v>0.60379906462614497</v>
      </c>
      <c r="D917" s="302">
        <f t="shared" si="334"/>
        <v>0.67084115782930942</v>
      </c>
      <c r="E917" s="303"/>
      <c r="F917" s="302">
        <v>4.9501193151481417E-2</v>
      </c>
      <c r="G917" s="302">
        <v>0.6562271739106843</v>
      </c>
      <c r="H917" s="302">
        <f t="shared" si="335"/>
        <v>0.70572836706216568</v>
      </c>
      <c r="I917" s="303"/>
      <c r="J917" s="302">
        <v>7.9617639395561823E-2</v>
      </c>
      <c r="K917" s="302">
        <v>0.71947472396466783</v>
      </c>
      <c r="L917" s="302">
        <f t="shared" si="336"/>
        <v>0.7990923633602296</v>
      </c>
      <c r="M917" s="236"/>
      <c r="N917" s="236"/>
    </row>
    <row r="918" spans="1:14" x14ac:dyDescent="0.3">
      <c r="A918" s="237" t="str">
        <f>name!E$12</f>
        <v>Elementary occupations</v>
      </c>
      <c r="B918" s="302">
        <v>0.32268664745519893</v>
      </c>
      <c r="C918" s="302">
        <v>0.43747665977589534</v>
      </c>
      <c r="D918" s="302">
        <f t="shared" si="334"/>
        <v>0.76016330723109427</v>
      </c>
      <c r="E918" s="303"/>
      <c r="F918" s="302">
        <v>0.26494660815698629</v>
      </c>
      <c r="G918" s="302">
        <v>0.49785804418998325</v>
      </c>
      <c r="H918" s="302">
        <f t="shared" si="335"/>
        <v>0.76280465234696959</v>
      </c>
      <c r="I918" s="303"/>
      <c r="J918" s="302">
        <v>0.25198737494018741</v>
      </c>
      <c r="K918" s="302">
        <v>0.45629934910414288</v>
      </c>
      <c r="L918" s="302">
        <f t="shared" si="336"/>
        <v>0.70828672404433024</v>
      </c>
      <c r="M918" s="236"/>
      <c r="N918" s="236"/>
    </row>
    <row r="919" spans="1:14" x14ac:dyDescent="0.3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  <c r="N919" s="236"/>
    </row>
    <row r="920" spans="1:14" x14ac:dyDescent="0.3">
      <c r="A920" s="244" t="s">
        <v>32</v>
      </c>
      <c r="B920" s="311">
        <f>SUM(B910:B918)</f>
        <v>14.394999999752468</v>
      </c>
      <c r="C920" s="311">
        <f t="shared" ref="C920:D920" si="337">SUM(C910:C918)</f>
        <v>33.149999999679608</v>
      </c>
      <c r="D920" s="311">
        <f t="shared" si="337"/>
        <v>47.544999999432086</v>
      </c>
      <c r="E920" s="311"/>
      <c r="F920" s="311">
        <f t="shared" ref="F920:H920" si="338">SUM(F910:F918)</f>
        <v>15.386000000130986</v>
      </c>
      <c r="G920" s="311">
        <f t="shared" si="338"/>
        <v>48.649999999173232</v>
      </c>
      <c r="H920" s="311">
        <f t="shared" si="338"/>
        <v>64.035999999304209</v>
      </c>
      <c r="I920" s="311"/>
      <c r="J920" s="311">
        <f t="shared" ref="J920:L920" si="339">SUM(J910:J918)</f>
        <v>17.756000000209344</v>
      </c>
      <c r="K920" s="311">
        <f t="shared" si="339"/>
        <v>51.013999998992375</v>
      </c>
      <c r="L920" s="311">
        <f t="shared" si="339"/>
        <v>68.769999999201701</v>
      </c>
      <c r="M920" s="236"/>
      <c r="N920" s="236"/>
    </row>
    <row r="921" spans="1:14" x14ac:dyDescent="0.3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  <c r="N921" s="236"/>
    </row>
    <row r="922" spans="1:14" x14ac:dyDescent="0.3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56" t="s">
        <v>35</v>
      </c>
      <c r="M922" s="236"/>
      <c r="N922" s="236"/>
    </row>
    <row r="923" spans="1:14" x14ac:dyDescent="0.3">
      <c r="A923" s="242"/>
      <c r="B923" s="250"/>
      <c r="C923" s="250"/>
      <c r="D923" s="250"/>
      <c r="E923" s="250"/>
      <c r="F923" s="250"/>
      <c r="G923" s="250"/>
      <c r="H923" s="250"/>
      <c r="I923" s="250"/>
      <c r="J923" s="250"/>
      <c r="K923" s="250"/>
      <c r="L923" s="236"/>
      <c r="M923" s="236"/>
      <c r="N923" s="236"/>
    </row>
    <row r="924" spans="1:14" x14ac:dyDescent="0.3">
      <c r="A924" s="241" t="str">
        <f>name!A57</f>
        <v>Scientific research and development</v>
      </c>
      <c r="B924" s="373">
        <f>B$6</f>
        <v>2015</v>
      </c>
      <c r="C924" s="373"/>
      <c r="D924" s="373"/>
      <c r="E924" s="253"/>
      <c r="F924" s="373">
        <f>F$6</f>
        <v>2020</v>
      </c>
      <c r="G924" s="373"/>
      <c r="H924" s="373"/>
      <c r="I924" s="253"/>
      <c r="J924" s="373">
        <f>J$6</f>
        <v>2035</v>
      </c>
      <c r="K924" s="373"/>
      <c r="L924" s="373"/>
      <c r="M924" s="236"/>
      <c r="N924" s="236"/>
    </row>
    <row r="925" spans="1:14" x14ac:dyDescent="0.3">
      <c r="A925" s="254"/>
      <c r="B925" s="255" t="s">
        <v>352</v>
      </c>
      <c r="C925" s="255" t="s">
        <v>353</v>
      </c>
      <c r="D925" s="255" t="s">
        <v>32</v>
      </c>
      <c r="E925" s="255"/>
      <c r="F925" s="255" t="s">
        <v>352</v>
      </c>
      <c r="G925" s="255" t="s">
        <v>353</v>
      </c>
      <c r="H925" s="255" t="s">
        <v>32</v>
      </c>
      <c r="I925" s="255"/>
      <c r="J925" s="255" t="s">
        <v>352</v>
      </c>
      <c r="K925" s="255" t="s">
        <v>353</v>
      </c>
      <c r="L925" s="255" t="s">
        <v>32</v>
      </c>
      <c r="M925" s="236"/>
      <c r="N925" s="236"/>
    </row>
    <row r="926" spans="1:14" x14ac:dyDescent="0.3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  <c r="N926" s="236"/>
    </row>
    <row r="927" spans="1:14" x14ac:dyDescent="0.3">
      <c r="A927" s="237" t="str">
        <f>name!E$4</f>
        <v>Managers, directors and senior officials</v>
      </c>
      <c r="B927" s="302">
        <v>1.4723181976973279</v>
      </c>
      <c r="C927" s="302">
        <v>2.9328263085058137</v>
      </c>
      <c r="D927" s="302">
        <f>SUM(B927:C927)</f>
        <v>4.4051445062031416</v>
      </c>
      <c r="E927" s="303"/>
      <c r="F927" s="302">
        <v>1.5734781509278619</v>
      </c>
      <c r="G927" s="302">
        <v>3.615426243071874</v>
      </c>
      <c r="H927" s="302">
        <f>SUM(F927:G927)</f>
        <v>5.1889043939997359</v>
      </c>
      <c r="I927" s="303"/>
      <c r="J927" s="302">
        <v>1.9222930166503553</v>
      </c>
      <c r="K927" s="302">
        <v>4.3894614283067019</v>
      </c>
      <c r="L927" s="302">
        <f>SUM(J927:K927)</f>
        <v>6.3117544449570575</v>
      </c>
      <c r="M927" s="236"/>
      <c r="N927" s="236"/>
    </row>
    <row r="928" spans="1:14" x14ac:dyDescent="0.3">
      <c r="A928" s="237" t="str">
        <f>name!E$5</f>
        <v>Professional occupations</v>
      </c>
      <c r="B928" s="302">
        <v>5.8228127131213485</v>
      </c>
      <c r="C928" s="302">
        <v>14.412032015028391</v>
      </c>
      <c r="D928" s="302">
        <f t="shared" ref="D928:D935" si="340">SUM(B928:C928)</f>
        <v>20.234844728149739</v>
      </c>
      <c r="E928" s="303"/>
      <c r="F928" s="302">
        <v>6.68034216740394</v>
      </c>
      <c r="G928" s="302">
        <v>18.512471863727576</v>
      </c>
      <c r="H928" s="302">
        <f t="shared" ref="H928:H935" si="341">SUM(F928:G928)</f>
        <v>25.192814031131515</v>
      </c>
      <c r="I928" s="303"/>
      <c r="J928" s="302">
        <v>9.1212338944127254</v>
      </c>
      <c r="K928" s="302">
        <v>22.622828078844279</v>
      </c>
      <c r="L928" s="302">
        <f t="shared" ref="L928:L935" si="342">SUM(J928:K928)</f>
        <v>31.744061973257004</v>
      </c>
      <c r="M928" s="236"/>
      <c r="N928" s="236"/>
    </row>
    <row r="929" spans="1:14" x14ac:dyDescent="0.3">
      <c r="A929" s="237" t="str">
        <f>name!E$6</f>
        <v>Associate professional occupations</v>
      </c>
      <c r="B929" s="302">
        <v>2.0801879720169572</v>
      </c>
      <c r="C929" s="302">
        <v>3.318254112261676</v>
      </c>
      <c r="D929" s="302">
        <f t="shared" si="340"/>
        <v>5.3984420842786331</v>
      </c>
      <c r="E929" s="303"/>
      <c r="F929" s="302">
        <v>2.2055478686130709</v>
      </c>
      <c r="G929" s="302">
        <v>4.3376433728099562</v>
      </c>
      <c r="H929" s="302">
        <f t="shared" si="341"/>
        <v>6.5431912414230275</v>
      </c>
      <c r="I929" s="303"/>
      <c r="J929" s="302">
        <v>2.7891975165953884</v>
      </c>
      <c r="K929" s="302">
        <v>4.4593673123370872</v>
      </c>
      <c r="L929" s="302">
        <f t="shared" si="342"/>
        <v>7.2485648289324756</v>
      </c>
      <c r="M929" s="236"/>
      <c r="N929" s="236"/>
    </row>
    <row r="930" spans="1:14" x14ac:dyDescent="0.3">
      <c r="A930" s="237" t="str">
        <f>name!E$7</f>
        <v>Administrative and secretarial occupations</v>
      </c>
      <c r="B930" s="302">
        <v>2.2824978005557597</v>
      </c>
      <c r="C930" s="302">
        <v>0.67220585217230688</v>
      </c>
      <c r="D930" s="302">
        <f t="shared" si="340"/>
        <v>2.9547036527280666</v>
      </c>
      <c r="E930" s="303"/>
      <c r="F930" s="302">
        <v>1.9128249706711189</v>
      </c>
      <c r="G930" s="302">
        <v>0.67592217998914805</v>
      </c>
      <c r="H930" s="302">
        <f t="shared" si="341"/>
        <v>2.5887471506602671</v>
      </c>
      <c r="I930" s="303"/>
      <c r="J930" s="302">
        <v>1.3645887424611494</v>
      </c>
      <c r="K930" s="302">
        <v>0.76900104796940427</v>
      </c>
      <c r="L930" s="302">
        <f t="shared" si="342"/>
        <v>2.1335897904305536</v>
      </c>
      <c r="M930" s="236"/>
      <c r="N930" s="236"/>
    </row>
    <row r="931" spans="1:14" x14ac:dyDescent="0.3">
      <c r="A931" s="237" t="str">
        <f>name!E$8</f>
        <v>Skilled trades occupations</v>
      </c>
      <c r="B931" s="302">
        <v>0.21537965672730858</v>
      </c>
      <c r="C931" s="302">
        <v>1.3725975870281302</v>
      </c>
      <c r="D931" s="302">
        <f t="shared" si="340"/>
        <v>1.5879772437554387</v>
      </c>
      <c r="E931" s="303"/>
      <c r="F931" s="302">
        <v>0.18183327570362406</v>
      </c>
      <c r="G931" s="302">
        <v>1.1187375378974174</v>
      </c>
      <c r="H931" s="302">
        <f t="shared" si="341"/>
        <v>1.3005708136010414</v>
      </c>
      <c r="I931" s="303"/>
      <c r="J931" s="302">
        <v>0.31812169005877444</v>
      </c>
      <c r="K931" s="302">
        <v>1.192016154802096</v>
      </c>
      <c r="L931" s="302">
        <f t="shared" si="342"/>
        <v>1.5101378448608704</v>
      </c>
      <c r="M931" s="236"/>
      <c r="N931" s="236"/>
    </row>
    <row r="932" spans="1:14" x14ac:dyDescent="0.3">
      <c r="A932" s="237" t="str">
        <f>name!E$9</f>
        <v>Caring, leisure and other service occupations</v>
      </c>
      <c r="B932" s="302">
        <v>0.88341133431528562</v>
      </c>
      <c r="C932" s="302">
        <v>0.32256846681805296</v>
      </c>
      <c r="D932" s="302">
        <f t="shared" si="340"/>
        <v>1.2059798011333385</v>
      </c>
      <c r="E932" s="303"/>
      <c r="F932" s="302">
        <v>0.72641863542728602</v>
      </c>
      <c r="G932" s="302">
        <v>0.34591604065171244</v>
      </c>
      <c r="H932" s="302">
        <f t="shared" si="341"/>
        <v>1.0723346760789985</v>
      </c>
      <c r="I932" s="303"/>
      <c r="J932" s="302">
        <v>1.2066583119647281</v>
      </c>
      <c r="K932" s="302">
        <v>0.47799701437469383</v>
      </c>
      <c r="L932" s="302">
        <f t="shared" si="342"/>
        <v>1.6846553263394219</v>
      </c>
      <c r="M932" s="236"/>
      <c r="N932" s="236"/>
    </row>
    <row r="933" spans="1:14" x14ac:dyDescent="0.3">
      <c r="A933" s="237" t="str">
        <f>name!E$10</f>
        <v>Sales and customer service occupations</v>
      </c>
      <c r="B933" s="302">
        <v>0.70296769319600505</v>
      </c>
      <c r="C933" s="302">
        <v>0.47195476134663933</v>
      </c>
      <c r="D933" s="302">
        <f t="shared" si="340"/>
        <v>1.1749224545426444</v>
      </c>
      <c r="E933" s="303"/>
      <c r="F933" s="302">
        <v>0.47177476633570403</v>
      </c>
      <c r="G933" s="302">
        <v>0.3873923232935364</v>
      </c>
      <c r="H933" s="302">
        <f t="shared" si="341"/>
        <v>0.85916708962924049</v>
      </c>
      <c r="I933" s="303"/>
      <c r="J933" s="302">
        <v>0.60659762494086444</v>
      </c>
      <c r="K933" s="302">
        <v>0.49176838036507731</v>
      </c>
      <c r="L933" s="302">
        <f t="shared" si="342"/>
        <v>1.0983660053059419</v>
      </c>
      <c r="M933" s="236"/>
      <c r="N933" s="236"/>
    </row>
    <row r="934" spans="1:14" x14ac:dyDescent="0.3">
      <c r="A934" s="237" t="str">
        <f>name!E$11</f>
        <v>Process, plant and machine operatives</v>
      </c>
      <c r="B934" s="302">
        <v>0.14271957478514463</v>
      </c>
      <c r="C934" s="302">
        <v>0.60555422919652935</v>
      </c>
      <c r="D934" s="302">
        <f t="shared" si="340"/>
        <v>0.74827380398167398</v>
      </c>
      <c r="E934" s="303"/>
      <c r="F934" s="302">
        <v>0.10888910056773549</v>
      </c>
      <c r="G934" s="302">
        <v>0.51291150207935332</v>
      </c>
      <c r="H934" s="302">
        <f t="shared" si="341"/>
        <v>0.62180060264708881</v>
      </c>
      <c r="I934" s="303"/>
      <c r="J934" s="302">
        <v>0.10888895605512088</v>
      </c>
      <c r="K934" s="302">
        <v>0.66485195277101172</v>
      </c>
      <c r="L934" s="302">
        <f t="shared" si="342"/>
        <v>0.77374090882613256</v>
      </c>
      <c r="M934" s="236"/>
      <c r="N934" s="236"/>
    </row>
    <row r="935" spans="1:14" x14ac:dyDescent="0.3">
      <c r="A935" s="237" t="str">
        <f>name!E$12</f>
        <v>Elementary occupations</v>
      </c>
      <c r="B935" s="302">
        <v>0.28870505737110436</v>
      </c>
      <c r="C935" s="302">
        <v>0.42700666760642136</v>
      </c>
      <c r="D935" s="302">
        <f t="shared" si="340"/>
        <v>0.71571172497752578</v>
      </c>
      <c r="E935" s="303"/>
      <c r="F935" s="302">
        <v>0.15789106467986785</v>
      </c>
      <c r="G935" s="302">
        <v>0.34257893617518043</v>
      </c>
      <c r="H935" s="302">
        <f t="shared" si="341"/>
        <v>0.50047000085504822</v>
      </c>
      <c r="I935" s="303"/>
      <c r="J935" s="302">
        <v>0.13142024719985046</v>
      </c>
      <c r="K935" s="302">
        <v>0.38270862969696717</v>
      </c>
      <c r="L935" s="302">
        <f t="shared" si="342"/>
        <v>0.51412887689681763</v>
      </c>
      <c r="M935" s="236"/>
      <c r="N935" s="236"/>
    </row>
    <row r="936" spans="1:14" x14ac:dyDescent="0.3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  <c r="N936" s="236"/>
    </row>
    <row r="937" spans="1:14" x14ac:dyDescent="0.3">
      <c r="A937" s="244" t="s">
        <v>32</v>
      </c>
      <c r="B937" s="311">
        <f>SUM(B927:B935)</f>
        <v>13.89099999978624</v>
      </c>
      <c r="C937" s="311">
        <f t="shared" ref="C937:D937" si="343">SUM(C927:C935)</f>
        <v>24.534999999963961</v>
      </c>
      <c r="D937" s="311">
        <f t="shared" si="343"/>
        <v>38.425999999750204</v>
      </c>
      <c r="E937" s="311"/>
      <c r="F937" s="311">
        <f t="shared" ref="F937:H937" si="344">SUM(F927:F935)</f>
        <v>14.019000000330209</v>
      </c>
      <c r="G937" s="311">
        <f t="shared" si="344"/>
        <v>29.848999999695753</v>
      </c>
      <c r="H937" s="311">
        <f t="shared" si="344"/>
        <v>43.868000000025958</v>
      </c>
      <c r="I937" s="311"/>
      <c r="J937" s="311">
        <f t="shared" ref="J937:L937" si="345">SUM(J927:J935)</f>
        <v>17.56900000033896</v>
      </c>
      <c r="K937" s="311">
        <f t="shared" si="345"/>
        <v>35.449999999467316</v>
      </c>
      <c r="L937" s="311">
        <f t="shared" si="345"/>
        <v>53.018999999806283</v>
      </c>
      <c r="M937" s="236"/>
      <c r="N937" s="236"/>
    </row>
    <row r="938" spans="1:14" x14ac:dyDescent="0.3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  <c r="N938" s="236"/>
    </row>
    <row r="939" spans="1:14" x14ac:dyDescent="0.3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56" t="s">
        <v>35</v>
      </c>
      <c r="M939" s="236"/>
      <c r="N939" s="236"/>
    </row>
    <row r="940" spans="1:14" x14ac:dyDescent="0.3">
      <c r="A940" s="242"/>
      <c r="B940" s="250"/>
      <c r="C940" s="250"/>
      <c r="D940" s="250"/>
      <c r="E940" s="250"/>
      <c r="F940" s="250"/>
      <c r="G940" s="250"/>
      <c r="H940" s="250"/>
      <c r="I940" s="250"/>
      <c r="J940" s="250"/>
      <c r="K940" s="250"/>
      <c r="L940" s="236"/>
      <c r="M940" s="236"/>
      <c r="N940" s="236"/>
    </row>
    <row r="941" spans="1:14" x14ac:dyDescent="0.3">
      <c r="A941" s="241" t="str">
        <f>name!A58</f>
        <v>Advertising, etc</v>
      </c>
      <c r="B941" s="373">
        <f>B$6</f>
        <v>2015</v>
      </c>
      <c r="C941" s="373"/>
      <c r="D941" s="373"/>
      <c r="E941" s="253"/>
      <c r="F941" s="373">
        <f>F$6</f>
        <v>2020</v>
      </c>
      <c r="G941" s="373"/>
      <c r="H941" s="373"/>
      <c r="I941" s="253"/>
      <c r="J941" s="373">
        <f>J$6</f>
        <v>2035</v>
      </c>
      <c r="K941" s="373"/>
      <c r="L941" s="373"/>
      <c r="M941" s="236"/>
      <c r="N941" s="236"/>
    </row>
    <row r="942" spans="1:14" x14ac:dyDescent="0.3">
      <c r="A942" s="254"/>
      <c r="B942" s="255" t="s">
        <v>352</v>
      </c>
      <c r="C942" s="255" t="s">
        <v>353</v>
      </c>
      <c r="D942" s="255" t="s">
        <v>32</v>
      </c>
      <c r="E942" s="255"/>
      <c r="F942" s="255" t="s">
        <v>352</v>
      </c>
      <c r="G942" s="255" t="s">
        <v>353</v>
      </c>
      <c r="H942" s="255" t="s">
        <v>32</v>
      </c>
      <c r="I942" s="255"/>
      <c r="J942" s="255" t="s">
        <v>352</v>
      </c>
      <c r="K942" s="255" t="s">
        <v>353</v>
      </c>
      <c r="L942" s="255" t="s">
        <v>32</v>
      </c>
      <c r="M942" s="236"/>
      <c r="N942" s="236"/>
    </row>
    <row r="943" spans="1:14" x14ac:dyDescent="0.3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  <c r="N943" s="236"/>
    </row>
    <row r="944" spans="1:14" x14ac:dyDescent="0.3">
      <c r="A944" s="237" t="str">
        <f>name!E$4</f>
        <v>Managers, directors and senior officials</v>
      </c>
      <c r="B944" s="302">
        <v>1.3222525585890492</v>
      </c>
      <c r="C944" s="302">
        <v>0.87438089979194267</v>
      </c>
      <c r="D944" s="302">
        <f>SUM(B944:C944)</f>
        <v>2.1966334583809921</v>
      </c>
      <c r="E944" s="303"/>
      <c r="F944" s="302">
        <v>1.1803862071017908</v>
      </c>
      <c r="G944" s="302">
        <v>0.76748183885984533</v>
      </c>
      <c r="H944" s="302">
        <f>SUM(F944:G944)</f>
        <v>1.947868045961636</v>
      </c>
      <c r="I944" s="303"/>
      <c r="J944" s="302">
        <v>1.6405070751755917</v>
      </c>
      <c r="K944" s="302">
        <v>0.95441060510463804</v>
      </c>
      <c r="L944" s="302">
        <f>SUM(J944:K944)</f>
        <v>2.5949176802802296</v>
      </c>
      <c r="M944" s="236"/>
      <c r="N944" s="236"/>
    </row>
    <row r="945" spans="1:14" x14ac:dyDescent="0.3">
      <c r="A945" s="237" t="str">
        <f>name!E$5</f>
        <v>Professional occupations</v>
      </c>
      <c r="B945" s="302">
        <v>2.6406412856527814</v>
      </c>
      <c r="C945" s="302">
        <v>2.6561367381779881</v>
      </c>
      <c r="D945" s="302">
        <f t="shared" ref="D945:D952" si="346">SUM(B945:C945)</f>
        <v>5.29677802383077</v>
      </c>
      <c r="E945" s="303"/>
      <c r="F945" s="302">
        <v>2.580251156381737</v>
      </c>
      <c r="G945" s="302">
        <v>2.3065514164060441</v>
      </c>
      <c r="H945" s="302">
        <f t="shared" ref="H945:H952" si="347">SUM(F945:G945)</f>
        <v>4.8868025727877811</v>
      </c>
      <c r="I945" s="303"/>
      <c r="J945" s="302">
        <v>3.7970769062359322</v>
      </c>
      <c r="K945" s="302">
        <v>2.8967855079651037</v>
      </c>
      <c r="L945" s="302">
        <f t="shared" ref="L945:L952" si="348">SUM(J945:K945)</f>
        <v>6.6938624142010354</v>
      </c>
      <c r="M945" s="236"/>
      <c r="N945" s="236"/>
    </row>
    <row r="946" spans="1:14" x14ac:dyDescent="0.3">
      <c r="A946" s="237" t="str">
        <f>name!E$6</f>
        <v>Associate professional occupations</v>
      </c>
      <c r="B946" s="302">
        <v>1.9801552885901768</v>
      </c>
      <c r="C946" s="302">
        <v>1.0808162787014153</v>
      </c>
      <c r="D946" s="302">
        <f t="shared" si="346"/>
        <v>3.0609715672915918</v>
      </c>
      <c r="E946" s="303"/>
      <c r="F946" s="302">
        <v>1.6196453920853628</v>
      </c>
      <c r="G946" s="302">
        <v>0.94979480873790956</v>
      </c>
      <c r="H946" s="302">
        <f t="shared" si="347"/>
        <v>2.5694402008232724</v>
      </c>
      <c r="I946" s="303"/>
      <c r="J946" s="302">
        <v>2.1919983576365611</v>
      </c>
      <c r="K946" s="302">
        <v>1.0161757289592637</v>
      </c>
      <c r="L946" s="302">
        <f t="shared" si="348"/>
        <v>3.2081740865958248</v>
      </c>
      <c r="M946" s="236"/>
      <c r="N946" s="236"/>
    </row>
    <row r="947" spans="1:14" x14ac:dyDescent="0.3">
      <c r="A947" s="237" t="str">
        <f>name!E$7</f>
        <v>Administrative and secretarial occupations</v>
      </c>
      <c r="B947" s="302">
        <v>3.2487904688980542</v>
      </c>
      <c r="C947" s="302">
        <v>0.27762174762382419</v>
      </c>
      <c r="D947" s="302">
        <f t="shared" si="346"/>
        <v>3.5264122165218783</v>
      </c>
      <c r="E947" s="303"/>
      <c r="F947" s="302">
        <v>2.5018038601758619</v>
      </c>
      <c r="G947" s="302">
        <v>0.2257599447075474</v>
      </c>
      <c r="H947" s="302">
        <f t="shared" si="347"/>
        <v>2.7275638048834092</v>
      </c>
      <c r="I947" s="303"/>
      <c r="J947" s="302">
        <v>1.942746279699485</v>
      </c>
      <c r="K947" s="302">
        <v>0.22529922360577936</v>
      </c>
      <c r="L947" s="302">
        <f t="shared" si="348"/>
        <v>2.1680455033052644</v>
      </c>
      <c r="M947" s="236"/>
      <c r="N947" s="236"/>
    </row>
    <row r="948" spans="1:14" x14ac:dyDescent="0.3">
      <c r="A948" s="237" t="str">
        <f>name!E$8</f>
        <v>Skilled trades occupations</v>
      </c>
      <c r="B948" s="302">
        <v>9.7173711291233963E-2</v>
      </c>
      <c r="C948" s="302">
        <v>0.27443535937492569</v>
      </c>
      <c r="D948" s="302">
        <f t="shared" si="346"/>
        <v>0.37160907066615967</v>
      </c>
      <c r="E948" s="303"/>
      <c r="F948" s="302">
        <v>7.3066646554099127E-2</v>
      </c>
      <c r="G948" s="302">
        <v>0.15598357500774504</v>
      </c>
      <c r="H948" s="302">
        <f t="shared" si="347"/>
        <v>0.22905022156184418</v>
      </c>
      <c r="I948" s="303"/>
      <c r="J948" s="302">
        <v>0.18912731587283646</v>
      </c>
      <c r="K948" s="302">
        <v>0.16658947287715609</v>
      </c>
      <c r="L948" s="302">
        <f t="shared" si="348"/>
        <v>0.35571678874999257</v>
      </c>
      <c r="M948" s="236"/>
      <c r="N948" s="236"/>
    </row>
    <row r="949" spans="1:14" x14ac:dyDescent="0.3">
      <c r="A949" s="237" t="str">
        <f>name!E$9</f>
        <v>Caring, leisure and other service occupations</v>
      </c>
      <c r="B949" s="302">
        <v>6.8892265080667009E-2</v>
      </c>
      <c r="C949" s="302">
        <v>2.7018280987421001E-2</v>
      </c>
      <c r="D949" s="302">
        <f t="shared" si="346"/>
        <v>9.5910546068088007E-2</v>
      </c>
      <c r="E949" s="303"/>
      <c r="F949" s="302">
        <v>4.2467766863344143E-2</v>
      </c>
      <c r="G949" s="302">
        <v>1.991229311103667E-2</v>
      </c>
      <c r="H949" s="302">
        <f t="shared" si="347"/>
        <v>6.2380059974380814E-2</v>
      </c>
      <c r="I949" s="303"/>
      <c r="J949" s="302">
        <v>6.9021406979011421E-2</v>
      </c>
      <c r="K949" s="302">
        <v>3.8395071489633607E-2</v>
      </c>
      <c r="L949" s="302">
        <f t="shared" si="348"/>
        <v>0.10741647846864502</v>
      </c>
      <c r="M949" s="236"/>
      <c r="N949" s="236"/>
    </row>
    <row r="950" spans="1:14" x14ac:dyDescent="0.3">
      <c r="A950" s="237" t="str">
        <f>name!E$10</f>
        <v>Sales and customer service occupations</v>
      </c>
      <c r="B950" s="302">
        <v>0.67808690305796537</v>
      </c>
      <c r="C950" s="302">
        <v>0.10381774631716252</v>
      </c>
      <c r="D950" s="302">
        <f t="shared" si="346"/>
        <v>0.78190464937512794</v>
      </c>
      <c r="E950" s="303"/>
      <c r="F950" s="302">
        <v>0.44523757218992943</v>
      </c>
      <c r="G950" s="302">
        <v>7.7171297229489802E-2</v>
      </c>
      <c r="H950" s="302">
        <f t="shared" si="347"/>
        <v>0.52240886941941922</v>
      </c>
      <c r="I950" s="303"/>
      <c r="J950" s="302">
        <v>0.5080624780793469</v>
      </c>
      <c r="K950" s="302">
        <v>0.10529621519651912</v>
      </c>
      <c r="L950" s="302">
        <f t="shared" si="348"/>
        <v>0.61335869327586601</v>
      </c>
      <c r="M950" s="236"/>
      <c r="N950" s="236"/>
    </row>
    <row r="951" spans="1:14" x14ac:dyDescent="0.3">
      <c r="A951" s="237" t="str">
        <f>name!E$11</f>
        <v>Process, plant and machine operatives</v>
      </c>
      <c r="B951" s="302">
        <v>5.1578716685333856E-2</v>
      </c>
      <c r="C951" s="302">
        <v>9.6705261915609866E-2</v>
      </c>
      <c r="D951" s="302">
        <f t="shared" si="346"/>
        <v>0.14828397860094372</v>
      </c>
      <c r="E951" s="303"/>
      <c r="F951" s="302">
        <v>3.3228474943622466E-2</v>
      </c>
      <c r="G951" s="302">
        <v>6.374669534768819E-2</v>
      </c>
      <c r="H951" s="302">
        <f t="shared" si="347"/>
        <v>9.6975170291310656E-2</v>
      </c>
      <c r="I951" s="303"/>
      <c r="J951" s="302">
        <v>5.8686540401245837E-2</v>
      </c>
      <c r="K951" s="302">
        <v>8.3673796071497913E-2</v>
      </c>
      <c r="L951" s="302">
        <f t="shared" si="348"/>
        <v>0.14236033647274376</v>
      </c>
      <c r="M951" s="236"/>
      <c r="N951" s="236"/>
    </row>
    <row r="952" spans="1:14" x14ac:dyDescent="0.3">
      <c r="A952" s="237" t="str">
        <f>name!E$12</f>
        <v>Elementary occupations</v>
      </c>
      <c r="B952" s="302">
        <v>0.20442880199973151</v>
      </c>
      <c r="C952" s="302">
        <v>7.5067687087064905E-2</v>
      </c>
      <c r="D952" s="302">
        <f t="shared" si="346"/>
        <v>0.27949648908679642</v>
      </c>
      <c r="E952" s="303"/>
      <c r="F952" s="302">
        <v>0.13991292377491582</v>
      </c>
      <c r="G952" s="302">
        <v>4.8598130531488197E-2</v>
      </c>
      <c r="H952" s="302">
        <f t="shared" si="347"/>
        <v>0.18851105430640402</v>
      </c>
      <c r="I952" s="303"/>
      <c r="J952" s="302">
        <v>0.13477364004220654</v>
      </c>
      <c r="K952" s="302">
        <v>5.3374378658172413E-2</v>
      </c>
      <c r="L952" s="302">
        <f t="shared" si="348"/>
        <v>0.18814801870037895</v>
      </c>
      <c r="M952" s="236"/>
      <c r="N952" s="236"/>
    </row>
    <row r="953" spans="1:14" x14ac:dyDescent="0.3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  <c r="N953" s="236"/>
    </row>
    <row r="954" spans="1:14" x14ac:dyDescent="0.3">
      <c r="A954" s="244" t="s">
        <v>32</v>
      </c>
      <c r="B954" s="311">
        <f>SUM(B944:B952)</f>
        <v>10.291999999844991</v>
      </c>
      <c r="C954" s="311">
        <f t="shared" ref="C954:D954" si="349">SUM(C944:C952)</f>
        <v>5.4659999999773543</v>
      </c>
      <c r="D954" s="311">
        <f t="shared" si="349"/>
        <v>15.757999999822349</v>
      </c>
      <c r="E954" s="311"/>
      <c r="F954" s="311">
        <f t="shared" ref="F954:H954" si="350">SUM(F944:F952)</f>
        <v>8.6160000000706631</v>
      </c>
      <c r="G954" s="311">
        <f t="shared" si="350"/>
        <v>4.6149999999387941</v>
      </c>
      <c r="H954" s="311">
        <f t="shared" si="350"/>
        <v>13.231000000009457</v>
      </c>
      <c r="I954" s="311"/>
      <c r="J954" s="311">
        <f t="shared" ref="J954:L954" si="351">SUM(J944:J952)</f>
        <v>10.532000000122217</v>
      </c>
      <c r="K954" s="311">
        <f t="shared" si="351"/>
        <v>5.5399999999277627</v>
      </c>
      <c r="L954" s="311">
        <f t="shared" si="351"/>
        <v>16.072000000049982</v>
      </c>
      <c r="M954" s="236"/>
      <c r="N954" s="236"/>
    </row>
    <row r="955" spans="1:14" x14ac:dyDescent="0.3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  <c r="N955" s="236"/>
    </row>
    <row r="956" spans="1:14" x14ac:dyDescent="0.3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56" t="s">
        <v>35</v>
      </c>
      <c r="M956" s="236"/>
      <c r="N956" s="236"/>
    </row>
    <row r="957" spans="1:14" x14ac:dyDescent="0.3">
      <c r="A957" s="242"/>
      <c r="B957" s="250"/>
      <c r="C957" s="250"/>
      <c r="D957" s="250"/>
      <c r="E957" s="250"/>
      <c r="F957" s="250"/>
      <c r="G957" s="250"/>
      <c r="H957" s="250"/>
      <c r="I957" s="250"/>
      <c r="J957" s="250"/>
      <c r="K957" s="250"/>
      <c r="L957" s="236"/>
      <c r="M957" s="236"/>
      <c r="N957" s="236"/>
    </row>
    <row r="958" spans="1:14" x14ac:dyDescent="0.3">
      <c r="A958" s="241" t="str">
        <f>name!A59</f>
        <v>Other professional</v>
      </c>
      <c r="B958" s="373">
        <f>B$6</f>
        <v>2015</v>
      </c>
      <c r="C958" s="373"/>
      <c r="D958" s="373"/>
      <c r="E958" s="253"/>
      <c r="F958" s="373">
        <f>F$6</f>
        <v>2020</v>
      </c>
      <c r="G958" s="373"/>
      <c r="H958" s="373"/>
      <c r="I958" s="253"/>
      <c r="J958" s="373">
        <f>J$6</f>
        <v>2035</v>
      </c>
      <c r="K958" s="373"/>
      <c r="L958" s="373"/>
      <c r="M958" s="236"/>
      <c r="N958" s="236"/>
    </row>
    <row r="959" spans="1:14" x14ac:dyDescent="0.3">
      <c r="A959" s="254"/>
      <c r="B959" s="255" t="s">
        <v>352</v>
      </c>
      <c r="C959" s="255" t="s">
        <v>353</v>
      </c>
      <c r="D959" s="255" t="s">
        <v>32</v>
      </c>
      <c r="E959" s="255"/>
      <c r="F959" s="255" t="s">
        <v>352</v>
      </c>
      <c r="G959" s="255" t="s">
        <v>353</v>
      </c>
      <c r="H959" s="255" t="s">
        <v>32</v>
      </c>
      <c r="I959" s="255"/>
      <c r="J959" s="255" t="s">
        <v>352</v>
      </c>
      <c r="K959" s="255" t="s">
        <v>353</v>
      </c>
      <c r="L959" s="255" t="s">
        <v>32</v>
      </c>
      <c r="M959" s="236"/>
      <c r="N959" s="236"/>
    </row>
    <row r="960" spans="1:14" x14ac:dyDescent="0.3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  <c r="N960" s="236"/>
    </row>
    <row r="961" spans="1:14" x14ac:dyDescent="0.3">
      <c r="A961" s="237" t="str">
        <f>name!E$4</f>
        <v>Managers, directors and senior officials</v>
      </c>
      <c r="B961" s="302">
        <v>1.6961756179834697</v>
      </c>
      <c r="C961" s="302">
        <v>1.4972692306980426</v>
      </c>
      <c r="D961" s="302">
        <f>SUM(B961:C961)</f>
        <v>3.1934448486815121</v>
      </c>
      <c r="E961" s="303"/>
      <c r="F961" s="302">
        <v>2.2687054729212233</v>
      </c>
      <c r="G961" s="302">
        <v>1.9857981188661662</v>
      </c>
      <c r="H961" s="302">
        <f>SUM(F961:G961)</f>
        <v>4.2545035917873895</v>
      </c>
      <c r="I961" s="303"/>
      <c r="J961" s="302">
        <v>3.1735303091561766</v>
      </c>
      <c r="K961" s="302">
        <v>2.5004662170649246</v>
      </c>
      <c r="L961" s="302">
        <f>SUM(J961:K961)</f>
        <v>5.6739965262211012</v>
      </c>
      <c r="M961" s="236"/>
      <c r="N961" s="236"/>
    </row>
    <row r="962" spans="1:14" x14ac:dyDescent="0.3">
      <c r="A962" s="237" t="str">
        <f>name!E$5</f>
        <v>Professional occupations</v>
      </c>
      <c r="B962" s="302">
        <v>2.8917034016168417</v>
      </c>
      <c r="C962" s="302">
        <v>3.9988537441143497</v>
      </c>
      <c r="D962" s="302">
        <f t="shared" ref="D962:D969" si="352">SUM(B962:C962)</f>
        <v>6.8905571457311918</v>
      </c>
      <c r="E962" s="303"/>
      <c r="F962" s="302">
        <v>4.3852461105250917</v>
      </c>
      <c r="G962" s="302">
        <v>5.1424586406429631</v>
      </c>
      <c r="H962" s="302">
        <f t="shared" ref="H962:H969" si="353">SUM(F962:G962)</f>
        <v>9.5277047511680557</v>
      </c>
      <c r="I962" s="303"/>
      <c r="J962" s="302">
        <v>6.6501267939512765</v>
      </c>
      <c r="K962" s="302">
        <v>6.5200721015686938</v>
      </c>
      <c r="L962" s="302">
        <f t="shared" ref="L962:L969" si="354">SUM(J962:K962)</f>
        <v>13.17019889551997</v>
      </c>
      <c r="M962" s="236"/>
      <c r="N962" s="236"/>
    </row>
    <row r="963" spans="1:14" x14ac:dyDescent="0.3">
      <c r="A963" s="237" t="str">
        <f>name!E$6</f>
        <v>Associate professional occupations</v>
      </c>
      <c r="B963" s="302">
        <v>2.7297989946750176</v>
      </c>
      <c r="C963" s="302">
        <v>2.0722518775937373</v>
      </c>
      <c r="D963" s="302">
        <f t="shared" si="352"/>
        <v>4.8020508722687545</v>
      </c>
      <c r="E963" s="303"/>
      <c r="F963" s="302">
        <v>3.3493775623390269</v>
      </c>
      <c r="G963" s="302">
        <v>2.7172129697266181</v>
      </c>
      <c r="H963" s="302">
        <f t="shared" si="353"/>
        <v>6.0665905320656446</v>
      </c>
      <c r="I963" s="303"/>
      <c r="J963" s="302">
        <v>4.5918069062860267</v>
      </c>
      <c r="K963" s="302">
        <v>2.9644271547970691</v>
      </c>
      <c r="L963" s="302">
        <f t="shared" si="354"/>
        <v>7.5562340610830958</v>
      </c>
      <c r="M963" s="236"/>
      <c r="N963" s="236"/>
    </row>
    <row r="964" spans="1:14" x14ac:dyDescent="0.3">
      <c r="A964" s="237" t="str">
        <f>name!E$7</f>
        <v>Administrative and secretarial occupations</v>
      </c>
      <c r="B964" s="302">
        <v>4.1469900713544847</v>
      </c>
      <c r="C964" s="302">
        <v>0.5132258217297736</v>
      </c>
      <c r="D964" s="302">
        <f t="shared" si="352"/>
        <v>4.6602158930842581</v>
      </c>
      <c r="E964" s="303"/>
      <c r="F964" s="302">
        <v>4.81012294368439</v>
      </c>
      <c r="G964" s="302">
        <v>0.61215447619113017</v>
      </c>
      <c r="H964" s="302">
        <f t="shared" si="353"/>
        <v>5.4222774198755204</v>
      </c>
      <c r="I964" s="303"/>
      <c r="J964" s="302">
        <v>4.4534793981953262</v>
      </c>
      <c r="K964" s="302">
        <v>0.75945142676465693</v>
      </c>
      <c r="L964" s="302">
        <f t="shared" si="354"/>
        <v>5.2129308249599831</v>
      </c>
      <c r="M964" s="236"/>
      <c r="N964" s="236"/>
    </row>
    <row r="965" spans="1:14" x14ac:dyDescent="0.3">
      <c r="A965" s="237" t="str">
        <f>name!E$8</f>
        <v>Skilled trades occupations</v>
      </c>
      <c r="B965" s="302">
        <v>0.17696712105580725</v>
      </c>
      <c r="C965" s="302">
        <v>0.58388817391842496</v>
      </c>
      <c r="D965" s="302">
        <f t="shared" si="352"/>
        <v>0.76085529497423221</v>
      </c>
      <c r="E965" s="303"/>
      <c r="F965" s="302">
        <v>0.19286402828859833</v>
      </c>
      <c r="G965" s="302">
        <v>0.50458776141930717</v>
      </c>
      <c r="H965" s="302">
        <f t="shared" si="353"/>
        <v>0.69745178970790556</v>
      </c>
      <c r="I965" s="303"/>
      <c r="J965" s="302">
        <v>0.42121784759612602</v>
      </c>
      <c r="K965" s="302">
        <v>0.50664597995598581</v>
      </c>
      <c r="L965" s="302">
        <f t="shared" si="354"/>
        <v>0.92786382755211183</v>
      </c>
      <c r="M965" s="236"/>
      <c r="N965" s="236"/>
    </row>
    <row r="966" spans="1:14" x14ac:dyDescent="0.3">
      <c r="A966" s="237" t="str">
        <f>name!E$9</f>
        <v>Caring, leisure and other service occupations</v>
      </c>
      <c r="B966" s="302">
        <v>0.92802891929476727</v>
      </c>
      <c r="C966" s="302">
        <v>0.1801720011559691</v>
      </c>
      <c r="D966" s="302">
        <f t="shared" si="352"/>
        <v>1.1082009204507364</v>
      </c>
      <c r="E966" s="303"/>
      <c r="F966" s="302">
        <v>0.97334532184007561</v>
      </c>
      <c r="G966" s="302">
        <v>0.21048257730825812</v>
      </c>
      <c r="H966" s="302">
        <f t="shared" si="353"/>
        <v>1.1838278991483338</v>
      </c>
      <c r="I966" s="303"/>
      <c r="J966" s="302">
        <v>1.2767502454951469</v>
      </c>
      <c r="K966" s="302">
        <v>0.28987375127531417</v>
      </c>
      <c r="L966" s="302">
        <f t="shared" si="354"/>
        <v>1.5666239967704612</v>
      </c>
      <c r="M966" s="236"/>
      <c r="N966" s="236"/>
    </row>
    <row r="967" spans="1:14" x14ac:dyDescent="0.3">
      <c r="A967" s="237" t="str">
        <f>name!E$10</f>
        <v>Sales and customer service occupations</v>
      </c>
      <c r="B967" s="302">
        <v>1.0882393104534713</v>
      </c>
      <c r="C967" s="302">
        <v>0.29535669953779198</v>
      </c>
      <c r="D967" s="302">
        <f t="shared" si="352"/>
        <v>1.3835960099912632</v>
      </c>
      <c r="E967" s="303"/>
      <c r="F967" s="302">
        <v>1.1660527099182891</v>
      </c>
      <c r="G967" s="302">
        <v>0.33835211941106069</v>
      </c>
      <c r="H967" s="302">
        <f t="shared" si="353"/>
        <v>1.5044048293293497</v>
      </c>
      <c r="I967" s="303"/>
      <c r="J967" s="302">
        <v>1.474368824441918</v>
      </c>
      <c r="K967" s="302">
        <v>0.45942538309789438</v>
      </c>
      <c r="L967" s="302">
        <f t="shared" si="354"/>
        <v>1.9337942075398122</v>
      </c>
      <c r="M967" s="236"/>
      <c r="N967" s="236"/>
    </row>
    <row r="968" spans="1:14" x14ac:dyDescent="0.3">
      <c r="A968" s="237" t="str">
        <f>name!E$11</f>
        <v>Process, plant and machine operatives</v>
      </c>
      <c r="B968" s="302">
        <v>0.1315877381902488</v>
      </c>
      <c r="C968" s="302">
        <v>0.31413759342703834</v>
      </c>
      <c r="D968" s="302">
        <f t="shared" si="352"/>
        <v>0.44572533161728711</v>
      </c>
      <c r="E968" s="303"/>
      <c r="F968" s="302">
        <v>0.12097666479639435</v>
      </c>
      <c r="G968" s="302">
        <v>0.33237220863140426</v>
      </c>
      <c r="H968" s="302">
        <f t="shared" si="353"/>
        <v>0.45334887342779862</v>
      </c>
      <c r="I968" s="303"/>
      <c r="J968" s="302">
        <v>0.19402138708401195</v>
      </c>
      <c r="K968" s="302">
        <v>0.37195107062266752</v>
      </c>
      <c r="L968" s="302">
        <f t="shared" si="354"/>
        <v>0.56597245770667948</v>
      </c>
      <c r="M968" s="236"/>
      <c r="N968" s="236"/>
    </row>
    <row r="969" spans="1:14" x14ac:dyDescent="0.3">
      <c r="A969" s="237" t="str">
        <f>name!E$12</f>
        <v>Elementary occupations</v>
      </c>
      <c r="B969" s="302">
        <v>2.2995088252633828</v>
      </c>
      <c r="C969" s="302">
        <v>1.7458448578478551</v>
      </c>
      <c r="D969" s="302">
        <f t="shared" si="352"/>
        <v>4.0453536831112382</v>
      </c>
      <c r="E969" s="303"/>
      <c r="F969" s="302">
        <v>2.1883091857649735</v>
      </c>
      <c r="G969" s="302">
        <v>1.8055811277180682</v>
      </c>
      <c r="H969" s="302">
        <f t="shared" si="353"/>
        <v>3.9938903134830417</v>
      </c>
      <c r="I969" s="303"/>
      <c r="J969" s="302">
        <v>1.4936982879885476</v>
      </c>
      <c r="K969" s="302">
        <v>2.0586869147855822</v>
      </c>
      <c r="L969" s="302">
        <f t="shared" si="354"/>
        <v>3.5523852027741301</v>
      </c>
      <c r="M969" s="236"/>
      <c r="N969" s="236"/>
    </row>
    <row r="970" spans="1:14" x14ac:dyDescent="0.3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  <c r="N970" s="236"/>
    </row>
    <row r="971" spans="1:14" x14ac:dyDescent="0.3">
      <c r="A971" s="244" t="s">
        <v>32</v>
      </c>
      <c r="B971" s="311">
        <f>SUM(B961:B969)</f>
        <v>16.088999999887491</v>
      </c>
      <c r="C971" s="311">
        <f t="shared" ref="C971:D971" si="355">SUM(C961:C969)</f>
        <v>11.201000000022981</v>
      </c>
      <c r="D971" s="311">
        <f t="shared" si="355"/>
        <v>27.289999999910471</v>
      </c>
      <c r="E971" s="311"/>
      <c r="F971" s="311">
        <f t="shared" ref="F971:H971" si="356">SUM(F961:F969)</f>
        <v>19.455000000078066</v>
      </c>
      <c r="G971" s="311">
        <f t="shared" si="356"/>
        <v>13.648999999914977</v>
      </c>
      <c r="H971" s="311">
        <f t="shared" si="356"/>
        <v>33.103999999993036</v>
      </c>
      <c r="I971" s="311"/>
      <c r="J971" s="311">
        <f t="shared" ref="J971:L971" si="357">SUM(J961:J969)</f>
        <v>23.729000000194556</v>
      </c>
      <c r="K971" s="311">
        <f t="shared" si="357"/>
        <v>16.430999999932787</v>
      </c>
      <c r="L971" s="311">
        <f t="shared" si="357"/>
        <v>40.16000000012734</v>
      </c>
      <c r="M971" s="236"/>
      <c r="N971" s="236"/>
    </row>
    <row r="972" spans="1:14" x14ac:dyDescent="0.3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  <c r="N972" s="236"/>
    </row>
    <row r="973" spans="1:14" x14ac:dyDescent="0.3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56" t="s">
        <v>35</v>
      </c>
      <c r="M973" s="236"/>
      <c r="N973" s="236"/>
    </row>
    <row r="974" spans="1:14" x14ac:dyDescent="0.3">
      <c r="A974" s="242"/>
      <c r="B974" s="250"/>
      <c r="C974" s="250"/>
      <c r="D974" s="250"/>
      <c r="E974" s="250"/>
      <c r="F974" s="250"/>
      <c r="G974" s="250"/>
      <c r="H974" s="250"/>
      <c r="I974" s="250"/>
      <c r="J974" s="250"/>
      <c r="K974" s="250"/>
      <c r="L974" s="236"/>
      <c r="M974" s="236"/>
      <c r="N974" s="236"/>
    </row>
    <row r="975" spans="1:14" x14ac:dyDescent="0.3">
      <c r="A975" s="241" t="str">
        <f>name!A60</f>
        <v>Veterinary</v>
      </c>
      <c r="B975" s="373">
        <f>B$6</f>
        <v>2015</v>
      </c>
      <c r="C975" s="373"/>
      <c r="D975" s="373"/>
      <c r="E975" s="253"/>
      <c r="F975" s="373">
        <f>F$6</f>
        <v>2020</v>
      </c>
      <c r="G975" s="373"/>
      <c r="H975" s="373"/>
      <c r="I975" s="253"/>
      <c r="J975" s="373">
        <f>J$6</f>
        <v>2035</v>
      </c>
      <c r="K975" s="373"/>
      <c r="L975" s="373"/>
      <c r="M975" s="236"/>
      <c r="N975" s="236"/>
    </row>
    <row r="976" spans="1:14" x14ac:dyDescent="0.3">
      <c r="A976" s="254"/>
      <c r="B976" s="255" t="s">
        <v>352</v>
      </c>
      <c r="C976" s="255" t="s">
        <v>353</v>
      </c>
      <c r="D976" s="255" t="s">
        <v>32</v>
      </c>
      <c r="E976" s="255"/>
      <c r="F976" s="255" t="s">
        <v>352</v>
      </c>
      <c r="G976" s="255" t="s">
        <v>353</v>
      </c>
      <c r="H976" s="255" t="s">
        <v>32</v>
      </c>
      <c r="I976" s="255"/>
      <c r="J976" s="255" t="s">
        <v>352</v>
      </c>
      <c r="K976" s="255" t="s">
        <v>353</v>
      </c>
      <c r="L976" s="255" t="s">
        <v>32</v>
      </c>
      <c r="M976" s="236"/>
      <c r="N976" s="236"/>
    </row>
    <row r="977" spans="1:14" x14ac:dyDescent="0.3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  <c r="N977" s="236"/>
    </row>
    <row r="978" spans="1:14" x14ac:dyDescent="0.3">
      <c r="A978" s="237" t="str">
        <f>name!E$4</f>
        <v>Managers, directors and senior officials</v>
      </c>
      <c r="B978" s="302">
        <v>0.32648781450999298</v>
      </c>
      <c r="C978" s="302">
        <v>0.26187885994640658</v>
      </c>
      <c r="D978" s="302">
        <f>SUM(B978:C978)</f>
        <v>0.58836667445639956</v>
      </c>
      <c r="E978" s="303"/>
      <c r="F978" s="302">
        <v>0.45250229281197879</v>
      </c>
      <c r="G978" s="302">
        <v>0.38354827744011188</v>
      </c>
      <c r="H978" s="302">
        <f>SUM(F978:G978)</f>
        <v>0.83605057025209062</v>
      </c>
      <c r="I978" s="303"/>
      <c r="J978" s="302">
        <v>0.62041423076547209</v>
      </c>
      <c r="K978" s="302">
        <v>0.39209369157775154</v>
      </c>
      <c r="L978" s="302">
        <f>SUM(J978:K978)</f>
        <v>1.0125079223432236</v>
      </c>
      <c r="M978" s="236"/>
      <c r="N978" s="236"/>
    </row>
    <row r="979" spans="1:14" x14ac:dyDescent="0.3">
      <c r="A979" s="237" t="str">
        <f>name!E$5</f>
        <v>Professional occupations</v>
      </c>
      <c r="B979" s="302">
        <v>1.8554837667065676</v>
      </c>
      <c r="C979" s="302">
        <v>1.0718458052827988</v>
      </c>
      <c r="D979" s="302">
        <f t="shared" ref="D979:D986" si="358">SUM(B979:C979)</f>
        <v>2.9273295719893664</v>
      </c>
      <c r="E979" s="303"/>
      <c r="F979" s="302">
        <v>2.7349337782028935</v>
      </c>
      <c r="G979" s="302">
        <v>1.7765631832326549</v>
      </c>
      <c r="H979" s="302">
        <f t="shared" ref="H979:H986" si="359">SUM(F979:G979)</f>
        <v>4.5114969614355482</v>
      </c>
      <c r="I979" s="303"/>
      <c r="J979" s="302">
        <v>3.719774825991649</v>
      </c>
      <c r="K979" s="302">
        <v>2.0101158103919317</v>
      </c>
      <c r="L979" s="302">
        <f t="shared" ref="L979:L986" si="360">SUM(J979:K979)</f>
        <v>5.7298906363835806</v>
      </c>
      <c r="M979" s="236"/>
      <c r="N979" s="236"/>
    </row>
    <row r="980" spans="1:14" x14ac:dyDescent="0.3">
      <c r="A980" s="237" t="str">
        <f>name!E$6</f>
        <v>Associate professional occupations</v>
      </c>
      <c r="B980" s="302">
        <v>0.93195325283872033</v>
      </c>
      <c r="C980" s="302">
        <v>0.38206488823094409</v>
      </c>
      <c r="D980" s="302">
        <f t="shared" si="358"/>
        <v>1.3140181410696643</v>
      </c>
      <c r="E980" s="303"/>
      <c r="F980" s="302">
        <v>1.2604348080972161</v>
      </c>
      <c r="G980" s="302">
        <v>0.57772148791984634</v>
      </c>
      <c r="H980" s="302">
        <f t="shared" si="359"/>
        <v>1.8381562960170625</v>
      </c>
      <c r="I980" s="303"/>
      <c r="J980" s="302">
        <v>1.6674388814306476</v>
      </c>
      <c r="K980" s="302">
        <v>0.56541193549535063</v>
      </c>
      <c r="L980" s="302">
        <f t="shared" si="360"/>
        <v>2.232850816925998</v>
      </c>
      <c r="M980" s="236"/>
      <c r="N980" s="236"/>
    </row>
    <row r="981" spans="1:14" x14ac:dyDescent="0.3">
      <c r="A981" s="237" t="str">
        <f>name!E$7</f>
        <v>Administrative and secretarial occupations</v>
      </c>
      <c r="B981" s="302">
        <v>0.73337394645691933</v>
      </c>
      <c r="C981" s="302">
        <v>0.19137954728550505</v>
      </c>
      <c r="D981" s="302">
        <f t="shared" si="358"/>
        <v>0.92475349374242444</v>
      </c>
      <c r="E981" s="303"/>
      <c r="F981" s="302">
        <v>0.95438743364711287</v>
      </c>
      <c r="G981" s="302">
        <v>0.27917815714685673</v>
      </c>
      <c r="H981" s="302">
        <f t="shared" si="359"/>
        <v>1.2335655907939695</v>
      </c>
      <c r="I981" s="303"/>
      <c r="J981" s="302">
        <v>0.62857906256250706</v>
      </c>
      <c r="K981" s="302">
        <v>0.28468280074879837</v>
      </c>
      <c r="L981" s="302">
        <f t="shared" si="360"/>
        <v>0.91326186331130543</v>
      </c>
      <c r="M981" s="236"/>
      <c r="N981" s="236"/>
    </row>
    <row r="982" spans="1:14" x14ac:dyDescent="0.3">
      <c r="A982" s="237" t="str">
        <f>name!E$8</f>
        <v>Skilled trades occupations</v>
      </c>
      <c r="B982" s="302">
        <v>4.9650715859000494E-2</v>
      </c>
      <c r="C982" s="302">
        <v>0.11904171543608902</v>
      </c>
      <c r="D982" s="302">
        <f t="shared" si="358"/>
        <v>0.16869243129508951</v>
      </c>
      <c r="E982" s="303"/>
      <c r="F982" s="302">
        <v>5.7057771770504216E-2</v>
      </c>
      <c r="G982" s="302">
        <v>0.11894356105734348</v>
      </c>
      <c r="H982" s="302">
        <f t="shared" si="359"/>
        <v>0.17600133282784769</v>
      </c>
      <c r="I982" s="303"/>
      <c r="J982" s="302">
        <v>4.4506541817353397E-2</v>
      </c>
      <c r="K982" s="302">
        <v>0.10018212818592447</v>
      </c>
      <c r="L982" s="302">
        <f t="shared" si="360"/>
        <v>0.14468867000327787</v>
      </c>
      <c r="M982" s="236"/>
      <c r="N982" s="236"/>
    </row>
    <row r="983" spans="1:14" x14ac:dyDescent="0.3">
      <c r="A983" s="237" t="str">
        <f>name!E$9</f>
        <v>Caring, leisure and other service occupations</v>
      </c>
      <c r="B983" s="302">
        <v>2.8217226419293042</v>
      </c>
      <c r="C983" s="302">
        <v>0.82915056333778481</v>
      </c>
      <c r="D983" s="302">
        <f t="shared" si="358"/>
        <v>3.6508732052670889</v>
      </c>
      <c r="E983" s="303"/>
      <c r="F983" s="302">
        <v>3.5748061712521313</v>
      </c>
      <c r="G983" s="302">
        <v>1.1865134736307619</v>
      </c>
      <c r="H983" s="302">
        <f t="shared" si="359"/>
        <v>4.7613196448828932</v>
      </c>
      <c r="I983" s="303"/>
      <c r="J983" s="302">
        <v>4.5506562306763341</v>
      </c>
      <c r="K983" s="302">
        <v>1.9101275352534601</v>
      </c>
      <c r="L983" s="302">
        <f t="shared" si="360"/>
        <v>6.4607837659297944</v>
      </c>
      <c r="M983" s="236"/>
      <c r="N983" s="236"/>
    </row>
    <row r="984" spans="1:14" x14ac:dyDescent="0.3">
      <c r="A984" s="237" t="str">
        <f>name!E$10</f>
        <v>Sales and customer service occupations</v>
      </c>
      <c r="B984" s="302">
        <v>9.9774519285175417E-2</v>
      </c>
      <c r="C984" s="302">
        <v>3.8594989312699585E-2</v>
      </c>
      <c r="D984" s="302">
        <f t="shared" si="358"/>
        <v>0.138369508597875</v>
      </c>
      <c r="E984" s="303"/>
      <c r="F984" s="302">
        <v>0.12030194340694488</v>
      </c>
      <c r="G984" s="302">
        <v>4.9667919960080527E-2</v>
      </c>
      <c r="H984" s="302">
        <f t="shared" si="359"/>
        <v>0.16996986336702541</v>
      </c>
      <c r="I984" s="303"/>
      <c r="J984" s="302">
        <v>0.15061516971323233</v>
      </c>
      <c r="K984" s="302">
        <v>5.3398560572768615E-2</v>
      </c>
      <c r="L984" s="302">
        <f t="shared" si="360"/>
        <v>0.20401373028600095</v>
      </c>
      <c r="M984" s="236"/>
      <c r="N984" s="236"/>
    </row>
    <row r="985" spans="1:14" x14ac:dyDescent="0.3">
      <c r="A985" s="237" t="str">
        <f>name!E$11</f>
        <v>Process, plant and machine operatives</v>
      </c>
      <c r="B985" s="302">
        <v>1.0156257410095937E-2</v>
      </c>
      <c r="C985" s="302">
        <v>3.4447570980701316E-2</v>
      </c>
      <c r="D985" s="302">
        <f t="shared" si="358"/>
        <v>4.4603828390797254E-2</v>
      </c>
      <c r="E985" s="303"/>
      <c r="F985" s="302">
        <v>1.1737906718876995E-2</v>
      </c>
      <c r="G985" s="302">
        <v>4.2428463481171595E-2</v>
      </c>
      <c r="H985" s="302">
        <f t="shared" si="359"/>
        <v>5.4166370200048594E-2</v>
      </c>
      <c r="I985" s="303"/>
      <c r="J985" s="302">
        <v>1.1294501592053878E-2</v>
      </c>
      <c r="K985" s="302">
        <v>3.4194655659116835E-2</v>
      </c>
      <c r="L985" s="302">
        <f t="shared" si="360"/>
        <v>4.5489157251170712E-2</v>
      </c>
      <c r="M985" s="236"/>
      <c r="N985" s="236"/>
    </row>
    <row r="986" spans="1:14" x14ac:dyDescent="0.3">
      <c r="A986" s="237" t="str">
        <f>name!E$12</f>
        <v>Elementary occupations</v>
      </c>
      <c r="B986" s="302">
        <v>8.7397084761984031E-2</v>
      </c>
      <c r="C986" s="302">
        <v>0.17459606019704257</v>
      </c>
      <c r="D986" s="302">
        <f t="shared" si="358"/>
        <v>0.26199314495902659</v>
      </c>
      <c r="E986" s="303"/>
      <c r="F986" s="302">
        <v>0.11683789427102559</v>
      </c>
      <c r="G986" s="302">
        <v>0.20443547611707313</v>
      </c>
      <c r="H986" s="302">
        <f t="shared" si="359"/>
        <v>0.32127337038809872</v>
      </c>
      <c r="I986" s="303"/>
      <c r="J986" s="302">
        <v>5.8720555490691315E-2</v>
      </c>
      <c r="K986" s="302">
        <v>0.1987928820916918</v>
      </c>
      <c r="L986" s="302">
        <f t="shared" si="360"/>
        <v>0.2575134375823831</v>
      </c>
      <c r="M986" s="236"/>
      <c r="N986" s="236"/>
    </row>
    <row r="987" spans="1:14" x14ac:dyDescent="0.3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  <c r="N987" s="236"/>
    </row>
    <row r="988" spans="1:14" x14ac:dyDescent="0.3">
      <c r="A988" s="244" t="s">
        <v>32</v>
      </c>
      <c r="B988" s="311">
        <f>SUM(B978:B986)</f>
        <v>6.9159999997577613</v>
      </c>
      <c r="C988" s="311">
        <f t="shared" ref="C988:D988" si="361">SUM(C978:C986)</f>
        <v>3.1030000000099722</v>
      </c>
      <c r="D988" s="311">
        <f t="shared" si="361"/>
        <v>10.018999999767734</v>
      </c>
      <c r="E988" s="311"/>
      <c r="F988" s="311">
        <f t="shared" ref="F988:H988" si="362">SUM(F978:F986)</f>
        <v>9.2830000001786832</v>
      </c>
      <c r="G988" s="311">
        <f t="shared" si="362"/>
        <v>4.6189999999859008</v>
      </c>
      <c r="H988" s="311">
        <f t="shared" si="362"/>
        <v>13.902000000164586</v>
      </c>
      <c r="I988" s="311"/>
      <c r="J988" s="311">
        <f t="shared" ref="J988:L988" si="363">SUM(J978:J986)</f>
        <v>11.452000000039941</v>
      </c>
      <c r="K988" s="311">
        <f t="shared" si="363"/>
        <v>5.5489999999767941</v>
      </c>
      <c r="L988" s="311">
        <f t="shared" si="363"/>
        <v>17.001000000016735</v>
      </c>
      <c r="M988" s="236"/>
      <c r="N988" s="236"/>
    </row>
    <row r="989" spans="1:14" x14ac:dyDescent="0.3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  <c r="N989" s="236"/>
    </row>
    <row r="990" spans="1:14" x14ac:dyDescent="0.3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56" t="s">
        <v>35</v>
      </c>
      <c r="M990" s="236"/>
      <c r="N990" s="236"/>
    </row>
    <row r="991" spans="1:14" x14ac:dyDescent="0.3">
      <c r="A991" s="242"/>
      <c r="B991" s="250"/>
      <c r="C991" s="250"/>
      <c r="D991" s="250"/>
      <c r="E991" s="250"/>
      <c r="F991" s="250"/>
      <c r="G991" s="250"/>
      <c r="H991" s="250"/>
      <c r="I991" s="250"/>
      <c r="J991" s="250"/>
      <c r="K991" s="250"/>
      <c r="L991" s="236"/>
      <c r="M991" s="236"/>
      <c r="N991" s="236"/>
    </row>
    <row r="992" spans="1:14" x14ac:dyDescent="0.3">
      <c r="A992" s="241" t="str">
        <f>name!A61</f>
        <v>Rental and leasing</v>
      </c>
      <c r="B992" s="373">
        <f>B$6</f>
        <v>2015</v>
      </c>
      <c r="C992" s="373"/>
      <c r="D992" s="373"/>
      <c r="E992" s="253"/>
      <c r="F992" s="373">
        <f>F$6</f>
        <v>2020</v>
      </c>
      <c r="G992" s="373"/>
      <c r="H992" s="373"/>
      <c r="I992" s="253"/>
      <c r="J992" s="373">
        <f>J$6</f>
        <v>2035</v>
      </c>
      <c r="K992" s="373"/>
      <c r="L992" s="373"/>
      <c r="M992" s="236"/>
      <c r="N992" s="236"/>
    </row>
    <row r="993" spans="1:14" x14ac:dyDescent="0.3">
      <c r="A993" s="254"/>
      <c r="B993" s="255" t="s">
        <v>352</v>
      </c>
      <c r="C993" s="255" t="s">
        <v>353</v>
      </c>
      <c r="D993" s="255" t="s">
        <v>32</v>
      </c>
      <c r="E993" s="255"/>
      <c r="F993" s="255" t="s">
        <v>352</v>
      </c>
      <c r="G993" s="255" t="s">
        <v>353</v>
      </c>
      <c r="H993" s="255" t="s">
        <v>32</v>
      </c>
      <c r="I993" s="255"/>
      <c r="J993" s="255" t="s">
        <v>352</v>
      </c>
      <c r="K993" s="255" t="s">
        <v>353</v>
      </c>
      <c r="L993" s="255" t="s">
        <v>32</v>
      </c>
      <c r="M993" s="236"/>
      <c r="N993" s="236"/>
    </row>
    <row r="994" spans="1:14" x14ac:dyDescent="0.3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  <c r="N994" s="236"/>
    </row>
    <row r="995" spans="1:14" x14ac:dyDescent="0.3">
      <c r="A995" s="237" t="str">
        <f>name!E$4</f>
        <v>Managers, directors and senior officials</v>
      </c>
      <c r="B995" s="302">
        <v>0.63316779158850778</v>
      </c>
      <c r="C995" s="302">
        <v>4.9744163513888822</v>
      </c>
      <c r="D995" s="302">
        <f>SUM(B995:C995)</f>
        <v>5.6075841429773901</v>
      </c>
      <c r="E995" s="303"/>
      <c r="F995" s="302">
        <v>0.31996491900007396</v>
      </c>
      <c r="G995" s="302">
        <v>2.5265978503243844</v>
      </c>
      <c r="H995" s="302">
        <f>SUM(F995:G995)</f>
        <v>2.8465627693244584</v>
      </c>
      <c r="I995" s="303"/>
      <c r="J995" s="302">
        <v>0.39101422008348502</v>
      </c>
      <c r="K995" s="302">
        <v>2.9676428321352897</v>
      </c>
      <c r="L995" s="302">
        <f>SUM(J995:K995)</f>
        <v>3.3586570522187746</v>
      </c>
      <c r="M995" s="236"/>
      <c r="N995" s="236"/>
    </row>
    <row r="996" spans="1:14" x14ac:dyDescent="0.3">
      <c r="A996" s="237" t="str">
        <f>name!E$5</f>
        <v>Professional occupations</v>
      </c>
      <c r="B996" s="302">
        <v>0.55370837474283097</v>
      </c>
      <c r="C996" s="302">
        <v>4.1771863996522738</v>
      </c>
      <c r="D996" s="302">
        <f t="shared" ref="D996:D1003" si="364">SUM(B996:C996)</f>
        <v>4.7308947743951046</v>
      </c>
      <c r="E996" s="303"/>
      <c r="F996" s="302">
        <v>0.30511232150487816</v>
      </c>
      <c r="G996" s="302">
        <v>2.3359102152806397</v>
      </c>
      <c r="H996" s="302">
        <f t="shared" ref="H996:H1003" si="365">SUM(F996:G996)</f>
        <v>2.6410225367855178</v>
      </c>
      <c r="I996" s="303"/>
      <c r="J996" s="302">
        <v>0.39362780040827966</v>
      </c>
      <c r="K996" s="302">
        <v>3.1398695749292536</v>
      </c>
      <c r="L996" s="302">
        <f t="shared" ref="L996:L1003" si="366">SUM(J996:K996)</f>
        <v>3.5334973753375332</v>
      </c>
      <c r="M996" s="236"/>
      <c r="N996" s="236"/>
    </row>
    <row r="997" spans="1:14" x14ac:dyDescent="0.3">
      <c r="A997" s="237" t="str">
        <f>name!E$6</f>
        <v>Associate professional occupations</v>
      </c>
      <c r="B997" s="302">
        <v>0.59738923053759241</v>
      </c>
      <c r="C997" s="302">
        <v>2.9021505880703269</v>
      </c>
      <c r="D997" s="302">
        <f t="shared" si="364"/>
        <v>3.4995398186079192</v>
      </c>
      <c r="E997" s="303"/>
      <c r="F997" s="302">
        <v>0.3109994866367537</v>
      </c>
      <c r="G997" s="302">
        <v>1.5295666161601549</v>
      </c>
      <c r="H997" s="302">
        <f t="shared" si="365"/>
        <v>1.8405661027969087</v>
      </c>
      <c r="I997" s="303"/>
      <c r="J997" s="302">
        <v>0.35876205448198173</v>
      </c>
      <c r="K997" s="302">
        <v>1.6505974816509019</v>
      </c>
      <c r="L997" s="302">
        <f t="shared" si="366"/>
        <v>2.0093595361328838</v>
      </c>
      <c r="M997" s="236"/>
      <c r="N997" s="236"/>
    </row>
    <row r="998" spans="1:14" x14ac:dyDescent="0.3">
      <c r="A998" s="237" t="str">
        <f>name!E$7</f>
        <v>Administrative and secretarial occupations</v>
      </c>
      <c r="B998" s="302">
        <v>1.2289255603918574</v>
      </c>
      <c r="C998" s="302">
        <v>1.2186815565905877</v>
      </c>
      <c r="D998" s="302">
        <f t="shared" si="364"/>
        <v>2.4476071169824452</v>
      </c>
      <c r="E998" s="303"/>
      <c r="F998" s="302">
        <v>0.67602565588301522</v>
      </c>
      <c r="G998" s="302">
        <v>0.59229058864693707</v>
      </c>
      <c r="H998" s="302">
        <f t="shared" si="365"/>
        <v>1.2683162445299523</v>
      </c>
      <c r="I998" s="303"/>
      <c r="J998" s="302">
        <v>0.59118689044298567</v>
      </c>
      <c r="K998" s="302">
        <v>0.77233197760708705</v>
      </c>
      <c r="L998" s="302">
        <f t="shared" si="366"/>
        <v>1.3635188680500727</v>
      </c>
      <c r="M998" s="236"/>
      <c r="N998" s="236"/>
    </row>
    <row r="999" spans="1:14" x14ac:dyDescent="0.3">
      <c r="A999" s="237" t="str">
        <f>name!E$8</f>
        <v>Skilled trades occupations</v>
      </c>
      <c r="B999" s="302">
        <v>0.15228580711144257</v>
      </c>
      <c r="C999" s="302">
        <v>3.3864261914952043</v>
      </c>
      <c r="D999" s="302">
        <f t="shared" si="364"/>
        <v>3.5387119986066469</v>
      </c>
      <c r="E999" s="303"/>
      <c r="F999" s="302">
        <v>7.7045464033255906E-2</v>
      </c>
      <c r="G999" s="302">
        <v>1.2412019054350558</v>
      </c>
      <c r="H999" s="302">
        <f t="shared" si="365"/>
        <v>1.3182473694683117</v>
      </c>
      <c r="I999" s="303"/>
      <c r="J999" s="302">
        <v>0.15694988984659647</v>
      </c>
      <c r="K999" s="302">
        <v>1.130132758089333</v>
      </c>
      <c r="L999" s="302">
        <f t="shared" si="366"/>
        <v>1.2870826479359294</v>
      </c>
      <c r="M999" s="236"/>
      <c r="N999" s="236"/>
    </row>
    <row r="1000" spans="1:14" x14ac:dyDescent="0.3">
      <c r="A1000" s="237" t="str">
        <f>name!E$9</f>
        <v>Caring, leisure and other service occupations</v>
      </c>
      <c r="B1000" s="302">
        <v>0.15175671214877909</v>
      </c>
      <c r="C1000" s="302">
        <v>0.62702635003142637</v>
      </c>
      <c r="D1000" s="302">
        <f t="shared" si="364"/>
        <v>0.77878306218020543</v>
      </c>
      <c r="E1000" s="303"/>
      <c r="F1000" s="302">
        <v>6.8336408787958075E-2</v>
      </c>
      <c r="G1000" s="302">
        <v>0.32475409083173368</v>
      </c>
      <c r="H1000" s="302">
        <f t="shared" si="365"/>
        <v>0.39309049961969178</v>
      </c>
      <c r="I1000" s="303"/>
      <c r="J1000" s="302">
        <v>7.4602112304020904E-2</v>
      </c>
      <c r="K1000" s="302">
        <v>0.50135862133143649</v>
      </c>
      <c r="L1000" s="302">
        <f t="shared" si="366"/>
        <v>0.57596073363545741</v>
      </c>
      <c r="M1000" s="236"/>
      <c r="N1000" s="236"/>
    </row>
    <row r="1001" spans="1:14" x14ac:dyDescent="0.3">
      <c r="A1001" s="237" t="str">
        <f>name!E$10</f>
        <v>Sales and customer service occupations</v>
      </c>
      <c r="B1001" s="302">
        <v>1.0782140338506714</v>
      </c>
      <c r="C1001" s="302">
        <v>1.0156332688300986</v>
      </c>
      <c r="D1001" s="302">
        <f t="shared" si="364"/>
        <v>2.09384730268077</v>
      </c>
      <c r="E1001" s="303"/>
      <c r="F1001" s="302">
        <v>0.58460737269881291</v>
      </c>
      <c r="G1001" s="302">
        <v>0.48212966901219417</v>
      </c>
      <c r="H1001" s="302">
        <f t="shared" si="365"/>
        <v>1.0667370417110071</v>
      </c>
      <c r="I1001" s="303"/>
      <c r="J1001" s="302">
        <v>0.71342047983291978</v>
      </c>
      <c r="K1001" s="302">
        <v>0.47912166449178489</v>
      </c>
      <c r="L1001" s="302">
        <f t="shared" si="366"/>
        <v>1.1925421443247046</v>
      </c>
      <c r="M1001" s="236"/>
      <c r="N1001" s="236"/>
    </row>
    <row r="1002" spans="1:14" x14ac:dyDescent="0.3">
      <c r="A1002" s="237" t="str">
        <f>name!E$11</f>
        <v>Process, plant and machine operatives</v>
      </c>
      <c r="B1002" s="302">
        <v>0.12999532097472885</v>
      </c>
      <c r="C1002" s="302">
        <v>2.9062447511345941</v>
      </c>
      <c r="D1002" s="302">
        <f t="shared" si="364"/>
        <v>3.0362400721093228</v>
      </c>
      <c r="E1002" s="303"/>
      <c r="F1002" s="302">
        <v>5.3753798932441893E-2</v>
      </c>
      <c r="G1002" s="302">
        <v>1.4987798825371768</v>
      </c>
      <c r="H1002" s="302">
        <f t="shared" si="365"/>
        <v>1.5525336814696187</v>
      </c>
      <c r="I1002" s="303"/>
      <c r="J1002" s="302">
        <v>0.10235547350667645</v>
      </c>
      <c r="K1002" s="302">
        <v>1.4263303088396291</v>
      </c>
      <c r="L1002" s="302">
        <f t="shared" si="366"/>
        <v>1.5286857823463056</v>
      </c>
      <c r="M1002" s="236"/>
      <c r="N1002" s="236"/>
    </row>
    <row r="1003" spans="1:14" x14ac:dyDescent="0.3">
      <c r="A1003" s="237" t="str">
        <f>name!E$12</f>
        <v>Elementary occupations</v>
      </c>
      <c r="B1003" s="302">
        <v>0.13455716866180797</v>
      </c>
      <c r="C1003" s="302">
        <v>0.64023454281614955</v>
      </c>
      <c r="D1003" s="302">
        <f t="shared" si="364"/>
        <v>0.77479171147795756</v>
      </c>
      <c r="E1003" s="303"/>
      <c r="F1003" s="302">
        <v>7.7154572517719996E-2</v>
      </c>
      <c r="G1003" s="302">
        <v>0.27376918176882764</v>
      </c>
      <c r="H1003" s="302">
        <f t="shared" si="365"/>
        <v>0.35092375428654765</v>
      </c>
      <c r="I1003" s="303"/>
      <c r="J1003" s="302">
        <v>6.0081079079095365E-2</v>
      </c>
      <c r="K1003" s="302">
        <v>0.3106147809304533</v>
      </c>
      <c r="L1003" s="302">
        <f t="shared" si="366"/>
        <v>0.37069586000954868</v>
      </c>
      <c r="M1003" s="236"/>
      <c r="N1003" s="236"/>
    </row>
    <row r="1004" spans="1:14" x14ac:dyDescent="0.3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  <c r="N1004" s="236"/>
    </row>
    <row r="1005" spans="1:14" x14ac:dyDescent="0.3">
      <c r="A1005" s="244" t="s">
        <v>32</v>
      </c>
      <c r="B1005" s="311">
        <f>SUM(B995:B1003)</f>
        <v>4.6600000000082185</v>
      </c>
      <c r="C1005" s="311">
        <f t="shared" ref="C1005:D1005" si="367">SUM(C995:C1003)</f>
        <v>21.848000000009542</v>
      </c>
      <c r="D1005" s="311">
        <f t="shared" si="367"/>
        <v>26.508000000017763</v>
      </c>
      <c r="E1005" s="311"/>
      <c r="F1005" s="311">
        <f t="shared" ref="F1005:H1005" si="368">SUM(F995:F1003)</f>
        <v>2.4729999999949097</v>
      </c>
      <c r="G1005" s="311">
        <f t="shared" si="368"/>
        <v>10.804999999997102</v>
      </c>
      <c r="H1005" s="311">
        <f t="shared" si="368"/>
        <v>13.277999999992014</v>
      </c>
      <c r="I1005" s="311"/>
      <c r="J1005" s="311">
        <f t="shared" ref="J1005:L1005" si="369">SUM(J995:J1003)</f>
        <v>2.841999999986041</v>
      </c>
      <c r="K1005" s="311">
        <f t="shared" si="369"/>
        <v>12.378000000005169</v>
      </c>
      <c r="L1005" s="311">
        <f t="shared" si="369"/>
        <v>15.219999999991211</v>
      </c>
      <c r="M1005" s="236"/>
      <c r="N1005" s="236"/>
    </row>
    <row r="1006" spans="1:14" x14ac:dyDescent="0.3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  <c r="N1006" s="236"/>
    </row>
    <row r="1007" spans="1:14" x14ac:dyDescent="0.3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56" t="s">
        <v>35</v>
      </c>
      <c r="M1007" s="236"/>
      <c r="N1007" s="236"/>
    </row>
    <row r="1008" spans="1:14" x14ac:dyDescent="0.3">
      <c r="A1008" s="242"/>
      <c r="B1008" s="250"/>
      <c r="C1008" s="250"/>
      <c r="D1008" s="250"/>
      <c r="E1008" s="250"/>
      <c r="F1008" s="250"/>
      <c r="G1008" s="250"/>
      <c r="H1008" s="250"/>
      <c r="I1008" s="250"/>
      <c r="J1008" s="250"/>
      <c r="K1008" s="250"/>
      <c r="L1008" s="236"/>
      <c r="M1008" s="236"/>
      <c r="N1008" s="236"/>
    </row>
    <row r="1009" spans="1:14" x14ac:dyDescent="0.3">
      <c r="A1009" s="241" t="str">
        <f>name!A62</f>
        <v>Employment activities</v>
      </c>
      <c r="B1009" s="373">
        <f>B$6</f>
        <v>2015</v>
      </c>
      <c r="C1009" s="373"/>
      <c r="D1009" s="373"/>
      <c r="E1009" s="253"/>
      <c r="F1009" s="373">
        <f>F$6</f>
        <v>2020</v>
      </c>
      <c r="G1009" s="373"/>
      <c r="H1009" s="373"/>
      <c r="I1009" s="253"/>
      <c r="J1009" s="373">
        <f>J$6</f>
        <v>2035</v>
      </c>
      <c r="K1009" s="373"/>
      <c r="L1009" s="373"/>
      <c r="M1009" s="236"/>
      <c r="N1009" s="236"/>
    </row>
    <row r="1010" spans="1:14" x14ac:dyDescent="0.3">
      <c r="A1010" s="254"/>
      <c r="B1010" s="255" t="s">
        <v>352</v>
      </c>
      <c r="C1010" s="255" t="s">
        <v>353</v>
      </c>
      <c r="D1010" s="255" t="s">
        <v>32</v>
      </c>
      <c r="E1010" s="255"/>
      <c r="F1010" s="255" t="s">
        <v>352</v>
      </c>
      <c r="G1010" s="255" t="s">
        <v>353</v>
      </c>
      <c r="H1010" s="255" t="s">
        <v>32</v>
      </c>
      <c r="I1010" s="255"/>
      <c r="J1010" s="255" t="s">
        <v>352</v>
      </c>
      <c r="K1010" s="255" t="s">
        <v>353</v>
      </c>
      <c r="L1010" s="255" t="s">
        <v>32</v>
      </c>
      <c r="M1010" s="236"/>
      <c r="N1010" s="236"/>
    </row>
    <row r="1011" spans="1:14" x14ac:dyDescent="0.3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  <c r="N1011" s="236"/>
    </row>
    <row r="1012" spans="1:14" x14ac:dyDescent="0.3">
      <c r="A1012" s="237" t="str">
        <f>name!E$4</f>
        <v>Managers, directors and senior officials</v>
      </c>
      <c r="B1012" s="302">
        <v>3.3382497434498211</v>
      </c>
      <c r="C1012" s="302">
        <v>8.1542889939318268</v>
      </c>
      <c r="D1012" s="302">
        <f>SUM(B1012:C1012)</f>
        <v>11.492538737381647</v>
      </c>
      <c r="E1012" s="303"/>
      <c r="F1012" s="302">
        <v>3.3607520607727448</v>
      </c>
      <c r="G1012" s="302">
        <v>8.4642793470903754</v>
      </c>
      <c r="H1012" s="302">
        <f>SUM(F1012:G1012)</f>
        <v>11.82503140786312</v>
      </c>
      <c r="I1012" s="303"/>
      <c r="J1012" s="302">
        <v>4.8049209664687833</v>
      </c>
      <c r="K1012" s="302">
        <v>9.4681556980326409</v>
      </c>
      <c r="L1012" s="302">
        <f>SUM(J1012:K1012)</f>
        <v>14.273076664501424</v>
      </c>
      <c r="M1012" s="236"/>
      <c r="N1012" s="236"/>
    </row>
    <row r="1013" spans="1:14" x14ac:dyDescent="0.3">
      <c r="A1013" s="237" t="str">
        <f>name!E$5</f>
        <v>Professional occupations</v>
      </c>
      <c r="B1013" s="302">
        <v>3.3898767415701112</v>
      </c>
      <c r="C1013" s="302">
        <v>8.7482585018477081</v>
      </c>
      <c r="D1013" s="302">
        <f t="shared" ref="D1013:D1020" si="370">SUM(B1013:C1013)</f>
        <v>12.138135243417819</v>
      </c>
      <c r="E1013" s="303"/>
      <c r="F1013" s="302">
        <v>3.4465614954796226</v>
      </c>
      <c r="G1013" s="302">
        <v>10.016727508987248</v>
      </c>
      <c r="H1013" s="302">
        <f t="shared" ref="H1013:H1020" si="371">SUM(F1013:G1013)</f>
        <v>13.463289004466871</v>
      </c>
      <c r="I1013" s="303"/>
      <c r="J1013" s="302">
        <v>4.4643942314714824</v>
      </c>
      <c r="K1013" s="302">
        <v>13.459178314784886</v>
      </c>
      <c r="L1013" s="302">
        <f t="shared" ref="L1013:L1020" si="372">SUM(J1013:K1013)</f>
        <v>17.923572546256366</v>
      </c>
      <c r="M1013" s="236"/>
      <c r="N1013" s="236"/>
    </row>
    <row r="1014" spans="1:14" x14ac:dyDescent="0.3">
      <c r="A1014" s="237" t="str">
        <f>name!E$6</f>
        <v>Associate professional occupations</v>
      </c>
      <c r="B1014" s="302">
        <v>6.6330671944786754</v>
      </c>
      <c r="C1014" s="302">
        <v>13.832481212074208</v>
      </c>
      <c r="D1014" s="302">
        <f t="shared" si="370"/>
        <v>20.465548406552884</v>
      </c>
      <c r="E1014" s="303"/>
      <c r="F1014" s="302">
        <v>5.5937316416083087</v>
      </c>
      <c r="G1014" s="302">
        <v>13.629112806883635</v>
      </c>
      <c r="H1014" s="302">
        <f t="shared" si="371"/>
        <v>19.222844448491944</v>
      </c>
      <c r="I1014" s="303"/>
      <c r="J1014" s="302">
        <v>6.3219870629169215</v>
      </c>
      <c r="K1014" s="302">
        <v>14.334232651862305</v>
      </c>
      <c r="L1014" s="302">
        <f t="shared" si="372"/>
        <v>20.656219714779226</v>
      </c>
      <c r="M1014" s="236"/>
      <c r="N1014" s="236"/>
    </row>
    <row r="1015" spans="1:14" x14ac:dyDescent="0.3">
      <c r="A1015" s="237" t="str">
        <f>name!E$7</f>
        <v>Administrative and secretarial occupations</v>
      </c>
      <c r="B1015" s="302">
        <v>6.6971334332828389</v>
      </c>
      <c r="C1015" s="302">
        <v>3.3203516355401361</v>
      </c>
      <c r="D1015" s="302">
        <f t="shared" si="370"/>
        <v>10.017485068822975</v>
      </c>
      <c r="E1015" s="303"/>
      <c r="F1015" s="302">
        <v>6.0322237559116836</v>
      </c>
      <c r="G1015" s="302">
        <v>3.2563549554747868</v>
      </c>
      <c r="H1015" s="302">
        <f t="shared" si="371"/>
        <v>9.2885787113864708</v>
      </c>
      <c r="I1015" s="303"/>
      <c r="J1015" s="302">
        <v>6.288441941846747</v>
      </c>
      <c r="K1015" s="302">
        <v>3.7813274529815728</v>
      </c>
      <c r="L1015" s="302">
        <f t="shared" si="372"/>
        <v>10.06976939482832</v>
      </c>
      <c r="M1015" s="236"/>
      <c r="N1015" s="236"/>
    </row>
    <row r="1016" spans="1:14" x14ac:dyDescent="0.3">
      <c r="A1016" s="237" t="str">
        <f>name!E$8</f>
        <v>Skilled trades occupations</v>
      </c>
      <c r="B1016" s="302">
        <v>0.7837550678453673</v>
      </c>
      <c r="C1016" s="302">
        <v>4.7054084270948371</v>
      </c>
      <c r="D1016" s="302">
        <f t="shared" si="370"/>
        <v>5.4891634949402039</v>
      </c>
      <c r="E1016" s="303"/>
      <c r="F1016" s="302">
        <v>0.69526989974322972</v>
      </c>
      <c r="G1016" s="302">
        <v>3.1253550347926358</v>
      </c>
      <c r="H1016" s="302">
        <f t="shared" si="371"/>
        <v>3.8206249345358656</v>
      </c>
      <c r="I1016" s="303"/>
      <c r="J1016" s="302">
        <v>1.2432691014718309</v>
      </c>
      <c r="K1016" s="302">
        <v>2.8597141402619424</v>
      </c>
      <c r="L1016" s="302">
        <f t="shared" si="372"/>
        <v>4.1029832417337735</v>
      </c>
      <c r="M1016" s="236"/>
      <c r="N1016" s="236"/>
    </row>
    <row r="1017" spans="1:14" x14ac:dyDescent="0.3">
      <c r="A1017" s="237" t="str">
        <f>name!E$9</f>
        <v>Caring, leisure and other service occupations</v>
      </c>
      <c r="B1017" s="302">
        <v>4.5726176076540659</v>
      </c>
      <c r="C1017" s="302">
        <v>2.6820666858683051</v>
      </c>
      <c r="D1017" s="302">
        <f t="shared" si="370"/>
        <v>7.254684293522371</v>
      </c>
      <c r="E1017" s="303"/>
      <c r="F1017" s="302">
        <v>4.0711185340318021</v>
      </c>
      <c r="G1017" s="302">
        <v>3.2257806813937302</v>
      </c>
      <c r="H1017" s="302">
        <f t="shared" si="371"/>
        <v>7.2968992154255323</v>
      </c>
      <c r="I1017" s="303"/>
      <c r="J1017" s="302">
        <v>5.4154979795593627</v>
      </c>
      <c r="K1017" s="302">
        <v>3.9845040879516516</v>
      </c>
      <c r="L1017" s="302">
        <f t="shared" si="372"/>
        <v>9.4000020675110143</v>
      </c>
      <c r="M1017" s="236"/>
      <c r="N1017" s="236"/>
    </row>
    <row r="1018" spans="1:14" x14ac:dyDescent="0.3">
      <c r="A1018" s="237" t="str">
        <f>name!E$10</f>
        <v>Sales and customer service occupations</v>
      </c>
      <c r="B1018" s="302">
        <v>2.6203500953965815</v>
      </c>
      <c r="C1018" s="302">
        <v>3.3586763188670252</v>
      </c>
      <c r="D1018" s="302">
        <f t="shared" si="370"/>
        <v>5.9790264142636067</v>
      </c>
      <c r="E1018" s="303"/>
      <c r="F1018" s="302">
        <v>2.3561490621678449</v>
      </c>
      <c r="G1018" s="302">
        <v>3.113828078963091</v>
      </c>
      <c r="H1018" s="302">
        <f t="shared" si="371"/>
        <v>5.4699771411309364</v>
      </c>
      <c r="I1018" s="303"/>
      <c r="J1018" s="302">
        <v>3.6567887852627212</v>
      </c>
      <c r="K1018" s="302">
        <v>3.7794642750467502</v>
      </c>
      <c r="L1018" s="302">
        <f t="shared" si="372"/>
        <v>7.4362530603094719</v>
      </c>
      <c r="M1018" s="236"/>
      <c r="N1018" s="236"/>
    </row>
    <row r="1019" spans="1:14" x14ac:dyDescent="0.3">
      <c r="A1019" s="237" t="str">
        <f>name!E$11</f>
        <v>Process, plant and machine operatives</v>
      </c>
      <c r="B1019" s="302">
        <v>0.43123795350620869</v>
      </c>
      <c r="C1019" s="302">
        <v>4.1393532643388644</v>
      </c>
      <c r="D1019" s="302">
        <f t="shared" si="370"/>
        <v>4.5705912178450729</v>
      </c>
      <c r="E1019" s="303"/>
      <c r="F1019" s="302">
        <v>0.30307052200356027</v>
      </c>
      <c r="G1019" s="302">
        <v>4.0830958075231889</v>
      </c>
      <c r="H1019" s="302">
        <f t="shared" si="371"/>
        <v>4.3861663295267492</v>
      </c>
      <c r="I1019" s="303"/>
      <c r="J1019" s="302">
        <v>0.55990438254693209</v>
      </c>
      <c r="K1019" s="302">
        <v>4.5072727745265366</v>
      </c>
      <c r="L1019" s="302">
        <f t="shared" si="372"/>
        <v>5.0671771570734689</v>
      </c>
      <c r="M1019" s="236"/>
      <c r="N1019" s="236"/>
    </row>
    <row r="1020" spans="1:14" ht="13.5" customHeight="1" x14ac:dyDescent="0.3">
      <c r="A1020" s="237" t="str">
        <f>name!E$12</f>
        <v>Elementary occupations</v>
      </c>
      <c r="B1020" s="302">
        <v>11.205712163235525</v>
      </c>
      <c r="C1020" s="302">
        <v>31.10611496094624</v>
      </c>
      <c r="D1020" s="302">
        <f t="shared" si="370"/>
        <v>42.311827124181761</v>
      </c>
      <c r="E1020" s="303"/>
      <c r="F1020" s="302">
        <v>10.012123027943105</v>
      </c>
      <c r="G1020" s="302">
        <v>28.86346577931107</v>
      </c>
      <c r="H1020" s="302">
        <f t="shared" si="371"/>
        <v>38.875588807254175</v>
      </c>
      <c r="I1020" s="303"/>
      <c r="J1020" s="302">
        <v>8.0527955482321723</v>
      </c>
      <c r="K1020" s="302">
        <v>32.699150605419376</v>
      </c>
      <c r="L1020" s="302">
        <f t="shared" si="372"/>
        <v>40.751946153651545</v>
      </c>
      <c r="M1020" s="236"/>
      <c r="N1020" s="236"/>
    </row>
    <row r="1021" spans="1:14" ht="13.5" customHeight="1" x14ac:dyDescent="0.3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  <c r="N1021" s="236"/>
    </row>
    <row r="1022" spans="1:14" x14ac:dyDescent="0.3">
      <c r="A1022" s="244" t="s">
        <v>32</v>
      </c>
      <c r="B1022" s="311">
        <f>SUM(B1012:B1020)</f>
        <v>39.672000000419196</v>
      </c>
      <c r="C1022" s="311">
        <f t="shared" ref="C1022:D1022" si="373">SUM(C1012:C1020)</f>
        <v>80.047000000509158</v>
      </c>
      <c r="D1022" s="311">
        <f t="shared" si="373"/>
        <v>119.71900000092833</v>
      </c>
      <c r="E1022" s="311"/>
      <c r="F1022" s="311">
        <f t="shared" ref="F1022:H1022" si="374">SUM(F1012:F1020)</f>
        <v>35.870999999661898</v>
      </c>
      <c r="G1022" s="311">
        <f t="shared" si="374"/>
        <v>77.778000000419752</v>
      </c>
      <c r="H1022" s="311">
        <f t="shared" si="374"/>
        <v>113.64900000008166</v>
      </c>
      <c r="I1022" s="311"/>
      <c r="J1022" s="311">
        <f t="shared" ref="J1022:L1022" si="375">SUM(J1012:J1020)</f>
        <v>40.807999999776953</v>
      </c>
      <c r="K1022" s="311">
        <f t="shared" si="375"/>
        <v>88.873000000867648</v>
      </c>
      <c r="L1022" s="311">
        <f t="shared" si="375"/>
        <v>129.68100000064459</v>
      </c>
      <c r="M1022" s="236"/>
      <c r="N1022" s="236"/>
    </row>
    <row r="1023" spans="1:14" x14ac:dyDescent="0.3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  <c r="N1023" s="236"/>
    </row>
    <row r="1024" spans="1:14" x14ac:dyDescent="0.3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56" t="s">
        <v>35</v>
      </c>
      <c r="M1024" s="236"/>
      <c r="N1024" s="236"/>
    </row>
    <row r="1025" spans="1:14" x14ac:dyDescent="0.3">
      <c r="A1025" s="242"/>
      <c r="B1025" s="250"/>
      <c r="C1025" s="250"/>
      <c r="D1025" s="250"/>
      <c r="E1025" s="250"/>
      <c r="F1025" s="250"/>
      <c r="G1025" s="250"/>
      <c r="H1025" s="250"/>
      <c r="I1025" s="250"/>
      <c r="J1025" s="250"/>
      <c r="K1025" s="250"/>
      <c r="L1025" s="236"/>
      <c r="M1025" s="236"/>
      <c r="N1025" s="236"/>
    </row>
    <row r="1026" spans="1:14" x14ac:dyDescent="0.3">
      <c r="A1026" s="241" t="str">
        <f>name!A63</f>
        <v>Travel, etc</v>
      </c>
      <c r="B1026" s="373">
        <f>B$6</f>
        <v>2015</v>
      </c>
      <c r="C1026" s="373"/>
      <c r="D1026" s="373"/>
      <c r="E1026" s="253"/>
      <c r="F1026" s="373">
        <f>F$6</f>
        <v>2020</v>
      </c>
      <c r="G1026" s="373"/>
      <c r="H1026" s="373"/>
      <c r="I1026" s="253"/>
      <c r="J1026" s="373">
        <f>J$6</f>
        <v>2035</v>
      </c>
      <c r="K1026" s="373"/>
      <c r="L1026" s="373"/>
      <c r="M1026" s="236"/>
      <c r="N1026" s="236"/>
    </row>
    <row r="1027" spans="1:14" x14ac:dyDescent="0.3">
      <c r="A1027" s="254"/>
      <c r="B1027" s="255" t="s">
        <v>352</v>
      </c>
      <c r="C1027" s="255" t="s">
        <v>353</v>
      </c>
      <c r="D1027" s="255" t="s">
        <v>32</v>
      </c>
      <c r="E1027" s="255"/>
      <c r="F1027" s="255" t="s">
        <v>352</v>
      </c>
      <c r="G1027" s="255" t="s">
        <v>353</v>
      </c>
      <c r="H1027" s="255" t="s">
        <v>32</v>
      </c>
      <c r="I1027" s="255"/>
      <c r="J1027" s="255" t="s">
        <v>352</v>
      </c>
      <c r="K1027" s="255" t="s">
        <v>353</v>
      </c>
      <c r="L1027" s="255" t="s">
        <v>32</v>
      </c>
      <c r="M1027" s="236"/>
      <c r="N1027" s="236"/>
    </row>
    <row r="1028" spans="1:14" x14ac:dyDescent="0.3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  <c r="N1028" s="236"/>
    </row>
    <row r="1029" spans="1:14" x14ac:dyDescent="0.3">
      <c r="A1029" s="237" t="str">
        <f>name!E$4</f>
        <v>Managers, directors and senior officials</v>
      </c>
      <c r="B1029" s="302">
        <v>0.14869427283604839</v>
      </c>
      <c r="C1029" s="302">
        <v>0.50958589129110254</v>
      </c>
      <c r="D1029" s="302">
        <f>SUM(B1029:C1029)</f>
        <v>0.65828016412715096</v>
      </c>
      <c r="E1029" s="303"/>
      <c r="F1029" s="302">
        <v>0.16142866988707896</v>
      </c>
      <c r="G1029" s="302">
        <v>0.60993132899178504</v>
      </c>
      <c r="H1029" s="302">
        <f>SUM(F1029:G1029)</f>
        <v>0.77135999887886397</v>
      </c>
      <c r="I1029" s="303"/>
      <c r="J1029" s="302">
        <v>0.19732914315449349</v>
      </c>
      <c r="K1029" s="302">
        <v>0.71573699726942597</v>
      </c>
      <c r="L1029" s="302">
        <f>SUM(J1029:K1029)</f>
        <v>0.91306614042391943</v>
      </c>
      <c r="M1029" s="236"/>
      <c r="N1029" s="236"/>
    </row>
    <row r="1030" spans="1:14" x14ac:dyDescent="0.3">
      <c r="A1030" s="237" t="str">
        <f>name!E$5</f>
        <v>Professional occupations</v>
      </c>
      <c r="B1030" s="302">
        <v>7.8950388555694806E-2</v>
      </c>
      <c r="C1030" s="302">
        <v>0.32876917765727448</v>
      </c>
      <c r="D1030" s="302">
        <f t="shared" ref="D1030:D1037" si="376">SUM(B1030:C1030)</f>
        <v>0.40771956621296929</v>
      </c>
      <c r="E1030" s="303"/>
      <c r="F1030" s="302">
        <v>0.1030300518588768</v>
      </c>
      <c r="G1030" s="302">
        <v>0.45095883053273839</v>
      </c>
      <c r="H1030" s="302">
        <f t="shared" ref="H1030:H1037" si="377">SUM(F1030:G1030)</f>
        <v>0.55398888239161515</v>
      </c>
      <c r="I1030" s="303"/>
      <c r="J1030" s="302">
        <v>0.14760753359907813</v>
      </c>
      <c r="K1030" s="302">
        <v>0.65538487453460903</v>
      </c>
      <c r="L1030" s="302">
        <f t="shared" ref="L1030:L1037" si="378">SUM(J1030:K1030)</f>
        <v>0.80299240813368722</v>
      </c>
      <c r="M1030" s="236"/>
      <c r="N1030" s="236"/>
    </row>
    <row r="1031" spans="1:14" x14ac:dyDescent="0.3">
      <c r="A1031" s="237" t="str">
        <f>name!E$6</f>
        <v>Associate professional occupations</v>
      </c>
      <c r="B1031" s="302">
        <v>9.8529886505947323E-2</v>
      </c>
      <c r="C1031" s="302">
        <v>0.27662235175061484</v>
      </c>
      <c r="D1031" s="302">
        <f t="shared" si="376"/>
        <v>0.37515223825656219</v>
      </c>
      <c r="E1031" s="303"/>
      <c r="F1031" s="302">
        <v>0.10622376958340016</v>
      </c>
      <c r="G1031" s="302">
        <v>0.33702981263886433</v>
      </c>
      <c r="H1031" s="302">
        <f t="shared" si="377"/>
        <v>0.44325358222226452</v>
      </c>
      <c r="I1031" s="303"/>
      <c r="J1031" s="302">
        <v>0.13707007088972323</v>
      </c>
      <c r="K1031" s="302">
        <v>0.36890993111706488</v>
      </c>
      <c r="L1031" s="302">
        <f t="shared" si="378"/>
        <v>0.50598000200678817</v>
      </c>
      <c r="M1031" s="236"/>
      <c r="N1031" s="236"/>
    </row>
    <row r="1032" spans="1:14" x14ac:dyDescent="0.3">
      <c r="A1032" s="237" t="str">
        <f>name!E$7</f>
        <v>Administrative and secretarial occupations</v>
      </c>
      <c r="B1032" s="302">
        <v>0.33837953903787577</v>
      </c>
      <c r="C1032" s="302">
        <v>0.35027772600264545</v>
      </c>
      <c r="D1032" s="302">
        <f t="shared" si="376"/>
        <v>0.68865726504052116</v>
      </c>
      <c r="E1032" s="303"/>
      <c r="F1032" s="302">
        <v>0.31732959518705928</v>
      </c>
      <c r="G1032" s="302">
        <v>0.41643534696311502</v>
      </c>
      <c r="H1032" s="302">
        <f t="shared" si="377"/>
        <v>0.73376494215017429</v>
      </c>
      <c r="I1032" s="303"/>
      <c r="J1032" s="302">
        <v>0.28292888934783872</v>
      </c>
      <c r="K1032" s="302">
        <v>0.47609301113763258</v>
      </c>
      <c r="L1032" s="302">
        <f t="shared" si="378"/>
        <v>0.75902190048547125</v>
      </c>
      <c r="M1032" s="236"/>
      <c r="N1032" s="236"/>
    </row>
    <row r="1033" spans="1:14" x14ac:dyDescent="0.3">
      <c r="A1033" s="237" t="str">
        <f>name!E$8</f>
        <v>Skilled trades occupations</v>
      </c>
      <c r="B1033" s="302">
        <v>1.6991097128875938E-2</v>
      </c>
      <c r="C1033" s="302">
        <v>0.16863874560357348</v>
      </c>
      <c r="D1033" s="302">
        <f t="shared" si="376"/>
        <v>0.18562984273244942</v>
      </c>
      <c r="E1033" s="303"/>
      <c r="F1033" s="302">
        <v>1.5733982504834886E-2</v>
      </c>
      <c r="G1033" s="302">
        <v>0.12562214689878456</v>
      </c>
      <c r="H1033" s="302">
        <f t="shared" si="377"/>
        <v>0.14135612940361944</v>
      </c>
      <c r="I1033" s="303"/>
      <c r="J1033" s="302">
        <v>3.5778414350103413E-2</v>
      </c>
      <c r="K1033" s="302">
        <v>0.15363204538520234</v>
      </c>
      <c r="L1033" s="302">
        <f t="shared" si="378"/>
        <v>0.18941045973530574</v>
      </c>
      <c r="M1033" s="236"/>
      <c r="N1033" s="236"/>
    </row>
    <row r="1034" spans="1:14" x14ac:dyDescent="0.3">
      <c r="A1034" s="237" t="str">
        <f>name!E$9</f>
        <v>Caring, leisure and other service occupations</v>
      </c>
      <c r="B1034" s="302">
        <v>1.0297166233927415</v>
      </c>
      <c r="C1034" s="302">
        <v>0.25722921707687685</v>
      </c>
      <c r="D1034" s="302">
        <f t="shared" si="376"/>
        <v>1.2869458404696184</v>
      </c>
      <c r="E1034" s="303"/>
      <c r="F1034" s="302">
        <v>0.72388865353040022</v>
      </c>
      <c r="G1034" s="302">
        <v>0.25603722350525004</v>
      </c>
      <c r="H1034" s="302">
        <f t="shared" si="377"/>
        <v>0.97992587703565026</v>
      </c>
      <c r="I1034" s="303"/>
      <c r="J1034" s="302">
        <v>0.77986961616144168</v>
      </c>
      <c r="K1034" s="302">
        <v>0.32515698190454589</v>
      </c>
      <c r="L1034" s="302">
        <f t="shared" si="378"/>
        <v>1.1050265980659875</v>
      </c>
      <c r="M1034" s="236"/>
      <c r="N1034" s="236"/>
    </row>
    <row r="1035" spans="1:14" x14ac:dyDescent="0.3">
      <c r="A1035" s="237" t="str">
        <f>name!E$10</f>
        <v>Sales and customer service occupations</v>
      </c>
      <c r="B1035" s="302">
        <v>0.12078560607956099</v>
      </c>
      <c r="C1035" s="302">
        <v>0.20168432117627033</v>
      </c>
      <c r="D1035" s="302">
        <f t="shared" si="376"/>
        <v>0.32246992725583135</v>
      </c>
      <c r="E1035" s="303"/>
      <c r="F1035" s="302">
        <v>0.10729402544087056</v>
      </c>
      <c r="G1035" s="302">
        <v>0.19443827563816862</v>
      </c>
      <c r="H1035" s="302">
        <f t="shared" si="377"/>
        <v>0.3017323010790392</v>
      </c>
      <c r="I1035" s="303"/>
      <c r="J1035" s="302">
        <v>0.14014196436317378</v>
      </c>
      <c r="K1035" s="302">
        <v>0.24561879495592753</v>
      </c>
      <c r="L1035" s="302">
        <f t="shared" si="378"/>
        <v>0.38576075931910131</v>
      </c>
      <c r="M1035" s="236"/>
      <c r="N1035" s="236"/>
    </row>
    <row r="1036" spans="1:14" x14ac:dyDescent="0.3">
      <c r="A1036" s="237" t="str">
        <f>name!E$11</f>
        <v>Process, plant and machine operatives</v>
      </c>
      <c r="B1036" s="302">
        <v>7.3597211474149937E-2</v>
      </c>
      <c r="C1036" s="302">
        <v>0.99131551923559902</v>
      </c>
      <c r="D1036" s="302">
        <f t="shared" si="376"/>
        <v>1.064912730709749</v>
      </c>
      <c r="E1036" s="303"/>
      <c r="F1036" s="302">
        <v>6.2579853501888258E-2</v>
      </c>
      <c r="G1036" s="302">
        <v>0.94838125240896498</v>
      </c>
      <c r="H1036" s="302">
        <f t="shared" si="377"/>
        <v>1.0109611059108532</v>
      </c>
      <c r="I1036" s="303"/>
      <c r="J1036" s="302">
        <v>0.1354190837274778</v>
      </c>
      <c r="K1036" s="302">
        <v>1.1197207907786253</v>
      </c>
      <c r="L1036" s="302">
        <f t="shared" si="378"/>
        <v>1.2551398745061031</v>
      </c>
      <c r="M1036" s="236"/>
      <c r="N1036" s="236"/>
    </row>
    <row r="1037" spans="1:14" x14ac:dyDescent="0.3">
      <c r="A1037" s="237" t="str">
        <f>name!E$12</f>
        <v>Elementary occupations</v>
      </c>
      <c r="B1037" s="302">
        <v>0.17435537501369214</v>
      </c>
      <c r="C1037" s="302">
        <v>1.0738770502220978</v>
      </c>
      <c r="D1037" s="302">
        <f t="shared" si="376"/>
        <v>1.2482324252357899</v>
      </c>
      <c r="E1037" s="303"/>
      <c r="F1037" s="302">
        <v>0.13549139847397906</v>
      </c>
      <c r="G1037" s="302">
        <v>0.89616578244525891</v>
      </c>
      <c r="H1037" s="302">
        <f t="shared" si="377"/>
        <v>1.0316571809192379</v>
      </c>
      <c r="I1037" s="303"/>
      <c r="J1037" s="302">
        <v>0.14185528439037309</v>
      </c>
      <c r="K1037" s="302">
        <v>0.79174657296841011</v>
      </c>
      <c r="L1037" s="302">
        <f t="shared" si="378"/>
        <v>0.9336018573587832</v>
      </c>
      <c r="M1037" s="236"/>
      <c r="N1037" s="236"/>
    </row>
    <row r="1038" spans="1:14" x14ac:dyDescent="0.3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  <c r="N1038" s="236"/>
    </row>
    <row r="1039" spans="1:14" x14ac:dyDescent="0.3">
      <c r="A1039" s="244" t="s">
        <v>32</v>
      </c>
      <c r="B1039" s="311">
        <f>SUM(B1029:B1037)</f>
        <v>2.0800000000245866</v>
      </c>
      <c r="C1039" s="311">
        <f t="shared" ref="C1039:D1039" si="379">SUM(C1029:C1037)</f>
        <v>4.1580000000160551</v>
      </c>
      <c r="D1039" s="311">
        <f t="shared" si="379"/>
        <v>6.2380000000406426</v>
      </c>
      <c r="E1039" s="311"/>
      <c r="F1039" s="311">
        <f t="shared" ref="F1039:H1039" si="380">SUM(F1029:F1037)</f>
        <v>1.732999999968388</v>
      </c>
      <c r="G1039" s="311">
        <f t="shared" si="380"/>
        <v>4.2350000000229295</v>
      </c>
      <c r="H1039" s="311">
        <f t="shared" si="380"/>
        <v>5.967999999991318</v>
      </c>
      <c r="I1039" s="311"/>
      <c r="J1039" s="311">
        <f t="shared" ref="J1039:L1039" si="381">SUM(J1029:J1037)</f>
        <v>1.9979999999837035</v>
      </c>
      <c r="K1039" s="311">
        <f t="shared" si="381"/>
        <v>4.8520000000514436</v>
      </c>
      <c r="L1039" s="311">
        <f t="shared" si="381"/>
        <v>6.8500000000351475</v>
      </c>
      <c r="M1039" s="236"/>
      <c r="N1039" s="236"/>
    </row>
    <row r="1040" spans="1:14" x14ac:dyDescent="0.3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  <c r="N1040" s="236"/>
    </row>
    <row r="1041" spans="1:14" x14ac:dyDescent="0.3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56" t="s">
        <v>35</v>
      </c>
      <c r="M1041" s="236"/>
      <c r="N1041" s="236"/>
    </row>
    <row r="1042" spans="1:14" x14ac:dyDescent="0.3">
      <c r="A1042" s="242"/>
      <c r="B1042" s="250"/>
      <c r="C1042" s="250"/>
      <c r="D1042" s="250"/>
      <c r="E1042" s="250"/>
      <c r="F1042" s="250"/>
      <c r="G1042" s="250"/>
      <c r="H1042" s="250"/>
      <c r="I1042" s="250"/>
      <c r="J1042" s="250"/>
      <c r="K1042" s="250"/>
      <c r="L1042" s="236"/>
      <c r="M1042" s="236"/>
      <c r="N1042" s="236"/>
    </row>
    <row r="1043" spans="1:14" x14ac:dyDescent="0.3">
      <c r="A1043" s="241" t="str">
        <f>name!A64</f>
        <v>Security, etc</v>
      </c>
      <c r="B1043" s="373">
        <f>B$6</f>
        <v>2015</v>
      </c>
      <c r="C1043" s="373"/>
      <c r="D1043" s="373"/>
      <c r="E1043" s="253"/>
      <c r="F1043" s="373">
        <f>F$6</f>
        <v>2020</v>
      </c>
      <c r="G1043" s="373"/>
      <c r="H1043" s="373"/>
      <c r="I1043" s="253"/>
      <c r="J1043" s="373">
        <f>J$6</f>
        <v>2035</v>
      </c>
      <c r="K1043" s="373"/>
      <c r="L1043" s="373"/>
      <c r="M1043" s="236"/>
      <c r="N1043" s="236"/>
    </row>
    <row r="1044" spans="1:14" x14ac:dyDescent="0.3">
      <c r="A1044" s="254"/>
      <c r="B1044" s="255" t="s">
        <v>352</v>
      </c>
      <c r="C1044" s="255" t="s">
        <v>353</v>
      </c>
      <c r="D1044" s="255" t="s">
        <v>32</v>
      </c>
      <c r="E1044" s="255"/>
      <c r="F1044" s="255" t="s">
        <v>352</v>
      </c>
      <c r="G1044" s="255" t="s">
        <v>353</v>
      </c>
      <c r="H1044" s="255" t="s">
        <v>32</v>
      </c>
      <c r="I1044" s="255"/>
      <c r="J1044" s="255" t="s">
        <v>352</v>
      </c>
      <c r="K1044" s="255" t="s">
        <v>353</v>
      </c>
      <c r="L1044" s="255" t="s">
        <v>32</v>
      </c>
      <c r="M1044" s="236"/>
      <c r="N1044" s="236"/>
    </row>
    <row r="1045" spans="1:14" x14ac:dyDescent="0.3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  <c r="N1045" s="236"/>
    </row>
    <row r="1046" spans="1:14" x14ac:dyDescent="0.3">
      <c r="A1046" s="237" t="str">
        <f>name!E$4</f>
        <v>Managers, directors and senior officials</v>
      </c>
      <c r="B1046" s="302">
        <v>0.25478400350182734</v>
      </c>
      <c r="C1046" s="302">
        <v>1.023907369136271</v>
      </c>
      <c r="D1046" s="302">
        <f>SUM(B1046:C1046)</f>
        <v>1.2786913726380984</v>
      </c>
      <c r="E1046" s="303"/>
      <c r="F1046" s="302">
        <v>0.38803934377444282</v>
      </c>
      <c r="G1046" s="302">
        <v>1.6005258596613925</v>
      </c>
      <c r="H1046" s="302">
        <f>SUM(F1046:G1046)</f>
        <v>1.9885652034358352</v>
      </c>
      <c r="I1046" s="303"/>
      <c r="J1046" s="302">
        <v>0.50789937087755443</v>
      </c>
      <c r="K1046" s="302">
        <v>1.7976430494164879</v>
      </c>
      <c r="L1046" s="302">
        <f>SUM(J1046:K1046)</f>
        <v>2.3055424202940422</v>
      </c>
      <c r="M1046" s="236"/>
      <c r="N1046" s="236"/>
    </row>
    <row r="1047" spans="1:14" x14ac:dyDescent="0.3">
      <c r="A1047" s="237" t="str">
        <f>name!E$5</f>
        <v>Professional occupations</v>
      </c>
      <c r="B1047" s="302">
        <v>0.27828314314801234</v>
      </c>
      <c r="C1047" s="302">
        <v>1.0803117425794606</v>
      </c>
      <c r="D1047" s="302">
        <f t="shared" ref="D1047:D1054" si="382">SUM(B1047:C1047)</f>
        <v>1.358594885727473</v>
      </c>
      <c r="E1047" s="303"/>
      <c r="F1047" s="302">
        <v>0.48463210361694836</v>
      </c>
      <c r="G1047" s="302">
        <v>1.8356896065954262</v>
      </c>
      <c r="H1047" s="302">
        <f t="shared" ref="H1047:H1054" si="383">SUM(F1047:G1047)</f>
        <v>2.3203217102123745</v>
      </c>
      <c r="I1047" s="303"/>
      <c r="J1047" s="302">
        <v>0.66496097232394735</v>
      </c>
      <c r="K1047" s="302">
        <v>2.3821935607498772</v>
      </c>
      <c r="L1047" s="302">
        <f t="shared" ref="L1047:L1054" si="384">SUM(J1047:K1047)</f>
        <v>3.0471545330738246</v>
      </c>
      <c r="M1047" s="236"/>
      <c r="N1047" s="236"/>
    </row>
    <row r="1048" spans="1:14" x14ac:dyDescent="0.3">
      <c r="A1048" s="237" t="str">
        <f>name!E$6</f>
        <v>Associate professional occupations</v>
      </c>
      <c r="B1048" s="302">
        <v>0.4398685111626971</v>
      </c>
      <c r="C1048" s="302">
        <v>1.6871688294690004</v>
      </c>
      <c r="D1048" s="302">
        <f t="shared" si="382"/>
        <v>2.1270373406316976</v>
      </c>
      <c r="E1048" s="303"/>
      <c r="F1048" s="302">
        <v>0.67728130996469871</v>
      </c>
      <c r="G1048" s="302">
        <v>2.5319660818477034</v>
      </c>
      <c r="H1048" s="302">
        <f t="shared" si="383"/>
        <v>3.209247391812402</v>
      </c>
      <c r="I1048" s="303"/>
      <c r="J1048" s="302">
        <v>0.82976329060629583</v>
      </c>
      <c r="K1048" s="302">
        <v>2.6504411171381768</v>
      </c>
      <c r="L1048" s="302">
        <f t="shared" si="384"/>
        <v>3.4802044077444725</v>
      </c>
      <c r="M1048" s="236"/>
      <c r="N1048" s="236"/>
    </row>
    <row r="1049" spans="1:14" x14ac:dyDescent="0.3">
      <c r="A1049" s="237" t="str">
        <f>name!E$7</f>
        <v>Administrative and secretarial occupations</v>
      </c>
      <c r="B1049" s="302">
        <v>0.64872778673421971</v>
      </c>
      <c r="C1049" s="302">
        <v>0.43727598285153407</v>
      </c>
      <c r="D1049" s="302">
        <f t="shared" si="382"/>
        <v>1.0860037695857538</v>
      </c>
      <c r="E1049" s="303"/>
      <c r="F1049" s="302">
        <v>0.93190582227956598</v>
      </c>
      <c r="G1049" s="302">
        <v>0.63757246335799422</v>
      </c>
      <c r="H1049" s="302">
        <f t="shared" si="383"/>
        <v>1.5694782856375602</v>
      </c>
      <c r="I1049" s="303"/>
      <c r="J1049" s="302">
        <v>0.96201524180794173</v>
      </c>
      <c r="K1049" s="302">
        <v>0.80547074698111032</v>
      </c>
      <c r="L1049" s="302">
        <f t="shared" si="384"/>
        <v>1.7674859887890522</v>
      </c>
      <c r="M1049" s="236"/>
      <c r="N1049" s="236"/>
    </row>
    <row r="1050" spans="1:14" x14ac:dyDescent="0.3">
      <c r="A1050" s="237" t="str">
        <f>name!E$8</f>
        <v>Skilled trades occupations</v>
      </c>
      <c r="B1050" s="302">
        <v>3.8973145951634452E-2</v>
      </c>
      <c r="C1050" s="302">
        <v>0.57007001317956307</v>
      </c>
      <c r="D1050" s="302">
        <f t="shared" si="382"/>
        <v>0.60904315913119755</v>
      </c>
      <c r="E1050" s="303"/>
      <c r="F1050" s="302">
        <v>5.5857434159689558E-2</v>
      </c>
      <c r="G1050" s="302">
        <v>0.58247536388335941</v>
      </c>
      <c r="H1050" s="302">
        <f t="shared" si="383"/>
        <v>0.63833279804304899</v>
      </c>
      <c r="I1050" s="303"/>
      <c r="J1050" s="302">
        <v>9.6342416165581174E-2</v>
      </c>
      <c r="K1050" s="302">
        <v>0.51778374237635993</v>
      </c>
      <c r="L1050" s="302">
        <f t="shared" si="384"/>
        <v>0.61412615854194108</v>
      </c>
      <c r="M1050" s="236"/>
      <c r="N1050" s="236"/>
    </row>
    <row r="1051" spans="1:14" x14ac:dyDescent="0.3">
      <c r="A1051" s="237" t="str">
        <f>name!E$9</f>
        <v>Caring, leisure and other service occupations</v>
      </c>
      <c r="B1051" s="302">
        <v>0.39973653866333075</v>
      </c>
      <c r="C1051" s="302">
        <v>0.26047582146986431</v>
      </c>
      <c r="D1051" s="302">
        <f t="shared" si="382"/>
        <v>0.66021236013319506</v>
      </c>
      <c r="E1051" s="303"/>
      <c r="F1051" s="302">
        <v>0.5737954069946587</v>
      </c>
      <c r="G1051" s="302">
        <v>0.47098149612821</v>
      </c>
      <c r="H1051" s="302">
        <f t="shared" si="383"/>
        <v>1.0447769031228686</v>
      </c>
      <c r="I1051" s="303"/>
      <c r="J1051" s="302">
        <v>0.74551182376385294</v>
      </c>
      <c r="K1051" s="302">
        <v>0.59570358539530122</v>
      </c>
      <c r="L1051" s="302">
        <f t="shared" si="384"/>
        <v>1.3412154091591542</v>
      </c>
      <c r="M1051" s="236"/>
      <c r="N1051" s="236"/>
    </row>
    <row r="1052" spans="1:14" x14ac:dyDescent="0.3">
      <c r="A1052" s="237" t="str">
        <f>name!E$10</f>
        <v>Sales and customer service occupations</v>
      </c>
      <c r="B1052" s="302">
        <v>0.24682251503148017</v>
      </c>
      <c r="C1052" s="302">
        <v>0.38896828198245192</v>
      </c>
      <c r="D1052" s="302">
        <f t="shared" si="382"/>
        <v>0.63579079701393204</v>
      </c>
      <c r="E1052" s="303"/>
      <c r="F1052" s="302">
        <v>0.36146758766054204</v>
      </c>
      <c r="G1052" s="302">
        <v>0.54929500680419419</v>
      </c>
      <c r="H1052" s="302">
        <f t="shared" si="383"/>
        <v>0.91076259446473617</v>
      </c>
      <c r="I1052" s="303"/>
      <c r="J1052" s="302">
        <v>0.57014015051915679</v>
      </c>
      <c r="K1052" s="302">
        <v>0.69520406548518188</v>
      </c>
      <c r="L1052" s="302">
        <f t="shared" si="384"/>
        <v>1.2653442160043387</v>
      </c>
      <c r="M1052" s="236"/>
      <c r="N1052" s="236"/>
    </row>
    <row r="1053" spans="1:14" x14ac:dyDescent="0.3">
      <c r="A1053" s="237" t="str">
        <f>name!E$11</f>
        <v>Process, plant and machine operatives</v>
      </c>
      <c r="B1053" s="302">
        <v>4.5146771791396804E-2</v>
      </c>
      <c r="C1053" s="302">
        <v>0.43471869713514549</v>
      </c>
      <c r="D1053" s="302">
        <f t="shared" si="382"/>
        <v>0.4798654689265423</v>
      </c>
      <c r="E1053" s="303"/>
      <c r="F1053" s="302">
        <v>4.9362923320462118E-2</v>
      </c>
      <c r="G1053" s="302">
        <v>0.62774661313411995</v>
      </c>
      <c r="H1053" s="302">
        <f t="shared" si="383"/>
        <v>0.67710953645458205</v>
      </c>
      <c r="I1053" s="303"/>
      <c r="J1053" s="302">
        <v>9.1182661450775637E-2</v>
      </c>
      <c r="K1053" s="302">
        <v>0.65462589229020607</v>
      </c>
      <c r="L1053" s="302">
        <f t="shared" si="384"/>
        <v>0.74580855374098176</v>
      </c>
      <c r="M1053" s="236"/>
      <c r="N1053" s="236"/>
    </row>
    <row r="1054" spans="1:14" x14ac:dyDescent="0.3">
      <c r="A1054" s="237" t="str">
        <f>name!E$12</f>
        <v>Elementary occupations</v>
      </c>
      <c r="B1054" s="302">
        <v>1.0226575840494498</v>
      </c>
      <c r="C1054" s="302">
        <v>3.1141032622437428</v>
      </c>
      <c r="D1054" s="302">
        <f t="shared" si="382"/>
        <v>4.1367608462931926</v>
      </c>
      <c r="E1054" s="303"/>
      <c r="F1054" s="302">
        <v>1.5886580681724254</v>
      </c>
      <c r="G1054" s="302">
        <v>4.4317475086545493</v>
      </c>
      <c r="H1054" s="302">
        <f t="shared" si="383"/>
        <v>6.0204055768269749</v>
      </c>
      <c r="I1054" s="303"/>
      <c r="J1054" s="302">
        <v>1.3711840724405078</v>
      </c>
      <c r="K1054" s="302">
        <v>5.0759342403023266</v>
      </c>
      <c r="L1054" s="302">
        <f t="shared" si="384"/>
        <v>6.447118312742834</v>
      </c>
      <c r="M1054" s="236"/>
      <c r="N1054" s="236"/>
    </row>
    <row r="1055" spans="1:14" x14ac:dyDescent="0.3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  <c r="N1055" s="236"/>
    </row>
    <row r="1056" spans="1:14" x14ac:dyDescent="0.3">
      <c r="A1056" s="244" t="s">
        <v>32</v>
      </c>
      <c r="B1056" s="311">
        <f>SUM(B1046:B1054)</f>
        <v>3.3750000000340488</v>
      </c>
      <c r="C1056" s="311">
        <f t="shared" ref="C1056:D1056" si="385">SUM(C1046:C1054)</f>
        <v>8.9970000000470325</v>
      </c>
      <c r="D1056" s="311">
        <f t="shared" si="385"/>
        <v>12.372000000081083</v>
      </c>
      <c r="E1056" s="311"/>
      <c r="F1056" s="311">
        <f t="shared" ref="F1056:H1056" si="386">SUM(F1046:F1054)</f>
        <v>5.1109999999434335</v>
      </c>
      <c r="G1056" s="311">
        <f t="shared" si="386"/>
        <v>13.268000000066948</v>
      </c>
      <c r="H1056" s="311">
        <f t="shared" si="386"/>
        <v>18.379000000010382</v>
      </c>
      <c r="I1056" s="311"/>
      <c r="J1056" s="311">
        <f t="shared" ref="J1056:L1056" si="387">SUM(J1046:J1054)</f>
        <v>5.8389999999556128</v>
      </c>
      <c r="K1056" s="311">
        <f t="shared" si="387"/>
        <v>15.175000000135029</v>
      </c>
      <c r="L1056" s="311">
        <f t="shared" si="387"/>
        <v>21.01400000009064</v>
      </c>
      <c r="M1056" s="236"/>
      <c r="N1056" s="236"/>
    </row>
    <row r="1057" spans="1:14" x14ac:dyDescent="0.3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  <c r="N1057" s="236"/>
    </row>
    <row r="1058" spans="1:14" x14ac:dyDescent="0.3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56" t="s">
        <v>35</v>
      </c>
      <c r="M1058" s="236"/>
      <c r="N1058" s="236"/>
    </row>
    <row r="1059" spans="1:14" x14ac:dyDescent="0.3">
      <c r="A1059" s="242"/>
      <c r="B1059" s="250"/>
      <c r="C1059" s="250"/>
      <c r="D1059" s="250"/>
      <c r="E1059" s="250"/>
      <c r="F1059" s="250"/>
      <c r="G1059" s="250"/>
      <c r="H1059" s="250"/>
      <c r="I1059" s="250"/>
      <c r="J1059" s="250"/>
      <c r="K1059" s="250"/>
      <c r="L1059" s="236"/>
      <c r="M1059" s="236"/>
      <c r="N1059" s="236"/>
    </row>
    <row r="1060" spans="1:14" x14ac:dyDescent="0.3">
      <c r="A1060" s="241" t="str">
        <f>name!A65</f>
        <v>Services to buildings</v>
      </c>
      <c r="B1060" s="373">
        <f>B$6</f>
        <v>2015</v>
      </c>
      <c r="C1060" s="373"/>
      <c r="D1060" s="373"/>
      <c r="E1060" s="253"/>
      <c r="F1060" s="373">
        <f>F$6</f>
        <v>2020</v>
      </c>
      <c r="G1060" s="373"/>
      <c r="H1060" s="373"/>
      <c r="I1060" s="253"/>
      <c r="J1060" s="373">
        <f>J$6</f>
        <v>2035</v>
      </c>
      <c r="K1060" s="373"/>
      <c r="L1060" s="373"/>
      <c r="M1060" s="236"/>
      <c r="N1060" s="236"/>
    </row>
    <row r="1061" spans="1:14" x14ac:dyDescent="0.3">
      <c r="A1061" s="254"/>
      <c r="B1061" s="255" t="s">
        <v>352</v>
      </c>
      <c r="C1061" s="255" t="s">
        <v>353</v>
      </c>
      <c r="D1061" s="255" t="s">
        <v>32</v>
      </c>
      <c r="E1061" s="255"/>
      <c r="F1061" s="255" t="s">
        <v>352</v>
      </c>
      <c r="G1061" s="255" t="s">
        <v>353</v>
      </c>
      <c r="H1061" s="255" t="s">
        <v>32</v>
      </c>
      <c r="I1061" s="255"/>
      <c r="J1061" s="255" t="s">
        <v>352</v>
      </c>
      <c r="K1061" s="255" t="s">
        <v>353</v>
      </c>
      <c r="L1061" s="255" t="s">
        <v>32</v>
      </c>
      <c r="M1061" s="236"/>
      <c r="N1061" s="236"/>
    </row>
    <row r="1062" spans="1:14" x14ac:dyDescent="0.3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  <c r="N1062" s="236"/>
    </row>
    <row r="1063" spans="1:14" x14ac:dyDescent="0.3">
      <c r="A1063" s="237" t="str">
        <f>name!E$4</f>
        <v>Managers, directors and senior officials</v>
      </c>
      <c r="B1063" s="302">
        <v>5.1456705743960907</v>
      </c>
      <c r="C1063" s="302">
        <v>3.6738622140878734</v>
      </c>
      <c r="D1063" s="302">
        <f>SUM(B1063:C1063)</f>
        <v>8.8195327884839649</v>
      </c>
      <c r="E1063" s="303"/>
      <c r="F1063" s="302">
        <v>5.568397493225774</v>
      </c>
      <c r="G1063" s="302">
        <v>4.3219665800419591</v>
      </c>
      <c r="H1063" s="302">
        <f>SUM(F1063:G1063)</f>
        <v>9.8903640732677331</v>
      </c>
      <c r="I1063" s="303"/>
      <c r="J1063" s="302">
        <v>6.7368091505010854</v>
      </c>
      <c r="K1063" s="302">
        <v>4.8082046236637055</v>
      </c>
      <c r="L1063" s="302">
        <f>SUM(J1063:K1063)</f>
        <v>11.54501377416479</v>
      </c>
      <c r="M1063" s="236"/>
      <c r="N1063" s="236"/>
    </row>
    <row r="1064" spans="1:14" x14ac:dyDescent="0.3">
      <c r="A1064" s="237" t="str">
        <f>name!E$5</f>
        <v>Professional occupations</v>
      </c>
      <c r="B1064" s="302">
        <v>5.3282849445686828</v>
      </c>
      <c r="C1064" s="302">
        <v>3.5483215666099004</v>
      </c>
      <c r="D1064" s="302">
        <f t="shared" ref="D1064:D1071" si="388">SUM(B1064:C1064)</f>
        <v>8.8766065111785828</v>
      </c>
      <c r="E1064" s="303"/>
      <c r="F1064" s="302">
        <v>6.7579774197607669</v>
      </c>
      <c r="G1064" s="302">
        <v>4.7438051421123477</v>
      </c>
      <c r="H1064" s="302">
        <f t="shared" ref="H1064:H1071" si="389">SUM(F1064:G1064)</f>
        <v>11.501782561873114</v>
      </c>
      <c r="I1064" s="303"/>
      <c r="J1064" s="302">
        <v>8.9038476703197169</v>
      </c>
      <c r="K1064" s="302">
        <v>5.9559200931591931</v>
      </c>
      <c r="L1064" s="302">
        <f t="shared" ref="L1064:L1071" si="390">SUM(J1064:K1064)</f>
        <v>14.85976776347891</v>
      </c>
      <c r="M1064" s="236"/>
      <c r="N1064" s="236"/>
    </row>
    <row r="1065" spans="1:14" x14ac:dyDescent="0.3">
      <c r="A1065" s="237" t="str">
        <f>name!E$6</f>
        <v>Associate professional occupations</v>
      </c>
      <c r="B1065" s="302">
        <v>7.4195187214787284</v>
      </c>
      <c r="C1065" s="302">
        <v>4.9961833269200744</v>
      </c>
      <c r="D1065" s="302">
        <f t="shared" si="388"/>
        <v>12.415702048398803</v>
      </c>
      <c r="E1065" s="303"/>
      <c r="F1065" s="302">
        <v>8.2260319792963159</v>
      </c>
      <c r="G1065" s="302">
        <v>5.9743928887122086</v>
      </c>
      <c r="H1065" s="302">
        <f t="shared" si="389"/>
        <v>14.200424868008525</v>
      </c>
      <c r="I1065" s="303"/>
      <c r="J1065" s="302">
        <v>10.125374665319768</v>
      </c>
      <c r="K1065" s="302">
        <v>6.2748356278112896</v>
      </c>
      <c r="L1065" s="302">
        <f t="shared" si="390"/>
        <v>16.400210293131057</v>
      </c>
      <c r="M1065" s="236"/>
      <c r="N1065" s="236"/>
    </row>
    <row r="1066" spans="1:14" x14ac:dyDescent="0.3">
      <c r="A1066" s="237" t="str">
        <f>name!E$7</f>
        <v>Administrative and secretarial occupations</v>
      </c>
      <c r="B1066" s="302">
        <v>12.88171167972307</v>
      </c>
      <c r="C1066" s="302">
        <v>1.3412631559122346</v>
      </c>
      <c r="D1066" s="302">
        <f t="shared" si="388"/>
        <v>14.222974835635304</v>
      </c>
      <c r="E1066" s="303"/>
      <c r="F1066" s="302">
        <v>12.325195937264514</v>
      </c>
      <c r="G1066" s="302">
        <v>1.5307294398092526</v>
      </c>
      <c r="H1066" s="302">
        <f t="shared" si="389"/>
        <v>13.855925377073767</v>
      </c>
      <c r="I1066" s="303"/>
      <c r="J1066" s="302">
        <v>12.24341467333918</v>
      </c>
      <c r="K1066" s="302">
        <v>1.9588057884592101</v>
      </c>
      <c r="L1066" s="302">
        <f t="shared" si="390"/>
        <v>14.20222046179839</v>
      </c>
      <c r="M1066" s="236"/>
      <c r="N1066" s="236"/>
    </row>
    <row r="1067" spans="1:14" x14ac:dyDescent="0.3">
      <c r="A1067" s="237" t="str">
        <f>name!E$8</f>
        <v>Skilled trades occupations</v>
      </c>
      <c r="B1067" s="302">
        <v>1.0191061040558755</v>
      </c>
      <c r="C1067" s="302">
        <v>2.2385459362470295</v>
      </c>
      <c r="D1067" s="302">
        <f t="shared" si="388"/>
        <v>3.2576520403029052</v>
      </c>
      <c r="E1067" s="303"/>
      <c r="F1067" s="302">
        <v>0.94238496408377936</v>
      </c>
      <c r="G1067" s="302">
        <v>1.6468665724208778</v>
      </c>
      <c r="H1067" s="302">
        <f t="shared" si="389"/>
        <v>2.5892515365046571</v>
      </c>
      <c r="I1067" s="303"/>
      <c r="J1067" s="302">
        <v>1.6844756703417256</v>
      </c>
      <c r="K1067" s="302">
        <v>1.395342443409771</v>
      </c>
      <c r="L1067" s="302">
        <f t="shared" si="390"/>
        <v>3.0798181137514966</v>
      </c>
      <c r="M1067" s="236"/>
      <c r="N1067" s="236"/>
    </row>
    <row r="1068" spans="1:14" x14ac:dyDescent="0.3">
      <c r="A1068" s="237" t="str">
        <f>name!E$9</f>
        <v>Caring, leisure and other service occupations</v>
      </c>
      <c r="B1068" s="302">
        <v>7.9387718233823703</v>
      </c>
      <c r="C1068" s="302">
        <v>1.0042297434560403</v>
      </c>
      <c r="D1068" s="302">
        <f t="shared" si="388"/>
        <v>8.9430015668384115</v>
      </c>
      <c r="E1068" s="303"/>
      <c r="F1068" s="302">
        <v>7.7621277293639066</v>
      </c>
      <c r="G1068" s="302">
        <v>1.1512519036502729</v>
      </c>
      <c r="H1068" s="302">
        <f t="shared" si="389"/>
        <v>8.9133796330141788</v>
      </c>
      <c r="I1068" s="303"/>
      <c r="J1068" s="302">
        <v>10.015950919571134</v>
      </c>
      <c r="K1068" s="302">
        <v>1.5153399438010491</v>
      </c>
      <c r="L1068" s="302">
        <f t="shared" si="390"/>
        <v>11.531290863372183</v>
      </c>
      <c r="M1068" s="236"/>
      <c r="N1068" s="236"/>
    </row>
    <row r="1069" spans="1:14" x14ac:dyDescent="0.3">
      <c r="A1069" s="237" t="str">
        <f>name!E$10</f>
        <v>Sales and customer service occupations</v>
      </c>
      <c r="B1069" s="302">
        <v>5.0433896995585714</v>
      </c>
      <c r="C1069" s="302">
        <v>1.2795426112224622</v>
      </c>
      <c r="D1069" s="302">
        <f t="shared" si="388"/>
        <v>6.3229323107810336</v>
      </c>
      <c r="E1069" s="303"/>
      <c r="F1069" s="302">
        <v>4.8368115482459411</v>
      </c>
      <c r="G1069" s="302">
        <v>1.339679035712918</v>
      </c>
      <c r="H1069" s="302">
        <f t="shared" si="389"/>
        <v>6.1764905839588593</v>
      </c>
      <c r="I1069" s="303"/>
      <c r="J1069" s="302">
        <v>7.2254890554117281</v>
      </c>
      <c r="K1069" s="302">
        <v>1.7034587159659671</v>
      </c>
      <c r="L1069" s="302">
        <f t="shared" si="390"/>
        <v>8.928947771377695</v>
      </c>
      <c r="M1069" s="236"/>
      <c r="N1069" s="236"/>
    </row>
    <row r="1070" spans="1:14" x14ac:dyDescent="0.3">
      <c r="A1070" s="237" t="str">
        <f>name!E$11</f>
        <v>Process, plant and machine operatives</v>
      </c>
      <c r="B1070" s="302">
        <v>0.65979090357498471</v>
      </c>
      <c r="C1070" s="302">
        <v>1.3264383007713596</v>
      </c>
      <c r="D1070" s="302">
        <f t="shared" si="388"/>
        <v>1.9862292043463443</v>
      </c>
      <c r="E1070" s="303"/>
      <c r="F1070" s="302">
        <v>0.53957320431417477</v>
      </c>
      <c r="G1070" s="302">
        <v>1.3241930470274477</v>
      </c>
      <c r="H1070" s="302">
        <f t="shared" si="389"/>
        <v>1.8637662513416224</v>
      </c>
      <c r="I1070" s="303"/>
      <c r="J1070" s="302">
        <v>1.0928776015780377</v>
      </c>
      <c r="K1070" s="302">
        <v>1.363441458654219</v>
      </c>
      <c r="L1070" s="302">
        <f t="shared" si="390"/>
        <v>2.4563190602322567</v>
      </c>
      <c r="M1070" s="236"/>
      <c r="N1070" s="236"/>
    </row>
    <row r="1071" spans="1:14" x14ac:dyDescent="0.3">
      <c r="A1071" s="237" t="str">
        <f>name!E$12</f>
        <v>Elementary occupations</v>
      </c>
      <c r="B1071" s="302">
        <v>23.151755550187492</v>
      </c>
      <c r="C1071" s="302">
        <v>9.5356131449254171</v>
      </c>
      <c r="D1071" s="302">
        <f t="shared" si="388"/>
        <v>32.687368695112909</v>
      </c>
      <c r="E1071" s="303"/>
      <c r="F1071" s="302">
        <v>19.278499723785771</v>
      </c>
      <c r="G1071" s="302">
        <v>8.9571153906369805</v>
      </c>
      <c r="H1071" s="302">
        <f t="shared" si="389"/>
        <v>28.23561511442275</v>
      </c>
      <c r="I1071" s="303"/>
      <c r="J1071" s="302">
        <v>17.293760593105002</v>
      </c>
      <c r="K1071" s="302">
        <v>10.481651305343945</v>
      </c>
      <c r="L1071" s="302">
        <f t="shared" si="390"/>
        <v>27.775411898448947</v>
      </c>
      <c r="M1071" s="236"/>
      <c r="N1071" s="236"/>
    </row>
    <row r="1072" spans="1:14" x14ac:dyDescent="0.3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  <c r="N1072" s="236"/>
    </row>
    <row r="1073" spans="1:14" x14ac:dyDescent="0.3">
      <c r="A1073" s="244" t="s">
        <v>32</v>
      </c>
      <c r="B1073" s="311">
        <f>SUM(B1063:B1071)</f>
        <v>68.588000000925874</v>
      </c>
      <c r="C1073" s="311">
        <f t="shared" ref="C1073:D1073" si="391">SUM(C1063:C1071)</f>
        <v>28.944000000152393</v>
      </c>
      <c r="D1073" s="311">
        <f t="shared" si="391"/>
        <v>97.532000001078259</v>
      </c>
      <c r="E1073" s="311"/>
      <c r="F1073" s="311">
        <f t="shared" ref="F1073:H1073" si="392">SUM(F1063:F1071)</f>
        <v>66.236999999340938</v>
      </c>
      <c r="G1073" s="311">
        <f t="shared" si="392"/>
        <v>30.990000000124262</v>
      </c>
      <c r="H1073" s="311">
        <f t="shared" si="392"/>
        <v>97.226999999465193</v>
      </c>
      <c r="I1073" s="311"/>
      <c r="J1073" s="311">
        <f t="shared" ref="J1073:L1073" si="393">SUM(J1063:J1071)</f>
        <v>75.321999999487375</v>
      </c>
      <c r="K1073" s="311">
        <f t="shared" si="393"/>
        <v>35.457000000268351</v>
      </c>
      <c r="L1073" s="311">
        <f t="shared" si="393"/>
        <v>110.77899999975573</v>
      </c>
      <c r="M1073" s="236"/>
      <c r="N1073" s="236"/>
    </row>
    <row r="1074" spans="1:14" x14ac:dyDescent="0.3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  <c r="N1074" s="236"/>
    </row>
    <row r="1075" spans="1:14" x14ac:dyDescent="0.3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56" t="s">
        <v>35</v>
      </c>
      <c r="M1075" s="236"/>
      <c r="N1075" s="236"/>
    </row>
    <row r="1076" spans="1:14" x14ac:dyDescent="0.3">
      <c r="A1076" s="242"/>
      <c r="B1076" s="250"/>
      <c r="C1076" s="250"/>
      <c r="D1076" s="250"/>
      <c r="E1076" s="250"/>
      <c r="F1076" s="250"/>
      <c r="G1076" s="250"/>
      <c r="H1076" s="250"/>
      <c r="I1076" s="250"/>
      <c r="J1076" s="250"/>
      <c r="K1076" s="250"/>
      <c r="L1076" s="236"/>
      <c r="M1076" s="236"/>
      <c r="N1076" s="236"/>
    </row>
    <row r="1077" spans="1:14" x14ac:dyDescent="0.3">
      <c r="A1077" s="241" t="str">
        <f>name!A66</f>
        <v>Office administrative</v>
      </c>
      <c r="B1077" s="373">
        <f>B$6</f>
        <v>2015</v>
      </c>
      <c r="C1077" s="373"/>
      <c r="D1077" s="373"/>
      <c r="E1077" s="253"/>
      <c r="F1077" s="373">
        <f>F$6</f>
        <v>2020</v>
      </c>
      <c r="G1077" s="373"/>
      <c r="H1077" s="373"/>
      <c r="I1077" s="253"/>
      <c r="J1077" s="373">
        <f>J$6</f>
        <v>2035</v>
      </c>
      <c r="K1077" s="373"/>
      <c r="L1077" s="373"/>
      <c r="M1077" s="236"/>
      <c r="N1077" s="236"/>
    </row>
    <row r="1078" spans="1:14" x14ac:dyDescent="0.3">
      <c r="A1078" s="254"/>
      <c r="B1078" s="255" t="s">
        <v>352</v>
      </c>
      <c r="C1078" s="255" t="s">
        <v>353</v>
      </c>
      <c r="D1078" s="255" t="s">
        <v>32</v>
      </c>
      <c r="E1078" s="255"/>
      <c r="F1078" s="255" t="s">
        <v>352</v>
      </c>
      <c r="G1078" s="255" t="s">
        <v>353</v>
      </c>
      <c r="H1078" s="255" t="s">
        <v>32</v>
      </c>
      <c r="I1078" s="255"/>
      <c r="J1078" s="255" t="s">
        <v>352</v>
      </c>
      <c r="K1078" s="255" t="s">
        <v>353</v>
      </c>
      <c r="L1078" s="255" t="s">
        <v>32</v>
      </c>
      <c r="M1078" s="236"/>
      <c r="N1078" s="236"/>
    </row>
    <row r="1079" spans="1:14" x14ac:dyDescent="0.3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  <c r="N1079" s="236"/>
    </row>
    <row r="1080" spans="1:14" x14ac:dyDescent="0.3">
      <c r="A1080" s="237" t="str">
        <f>name!E$4</f>
        <v>Managers, directors and senior officials</v>
      </c>
      <c r="B1080" s="302">
        <v>1.3333487577209513</v>
      </c>
      <c r="C1080" s="302">
        <v>3.1536549309953812</v>
      </c>
      <c r="D1080" s="302">
        <f>SUM(B1080:C1080)</f>
        <v>4.4870036887163325</v>
      </c>
      <c r="E1080" s="303"/>
      <c r="F1080" s="302">
        <v>1.399618884771926</v>
      </c>
      <c r="G1080" s="302">
        <v>3.5265834173397734</v>
      </c>
      <c r="H1080" s="302">
        <f>SUM(F1080:G1080)</f>
        <v>4.9262023021116992</v>
      </c>
      <c r="I1080" s="303"/>
      <c r="J1080" s="302">
        <v>1.8000182552946178</v>
      </c>
      <c r="K1080" s="302">
        <v>3.9431564864654183</v>
      </c>
      <c r="L1080" s="302">
        <f>SUM(J1080:K1080)</f>
        <v>5.7431747417600363</v>
      </c>
      <c r="M1080" s="236"/>
      <c r="N1080" s="236"/>
    </row>
    <row r="1081" spans="1:14" x14ac:dyDescent="0.3">
      <c r="A1081" s="237" t="str">
        <f>name!E$5</f>
        <v>Professional occupations</v>
      </c>
      <c r="B1081" s="302">
        <v>1.3659663301602909</v>
      </c>
      <c r="C1081" s="302">
        <v>3.4235681261734503</v>
      </c>
      <c r="D1081" s="302">
        <f t="shared" ref="D1081:D1088" si="394">SUM(B1081:C1081)</f>
        <v>4.7895344563337412</v>
      </c>
      <c r="E1081" s="303"/>
      <c r="F1081" s="302">
        <v>1.6134652930539486</v>
      </c>
      <c r="G1081" s="302">
        <v>4.1708134570889923</v>
      </c>
      <c r="H1081" s="302">
        <f t="shared" ref="H1081:H1088" si="395">SUM(F1081:G1081)</f>
        <v>5.7842787501429411</v>
      </c>
      <c r="I1081" s="303"/>
      <c r="J1081" s="302">
        <v>2.1749344913482118</v>
      </c>
      <c r="K1081" s="302">
        <v>5.4398136776881563</v>
      </c>
      <c r="L1081" s="302">
        <f t="shared" ref="L1081:L1088" si="396">SUM(J1081:K1081)</f>
        <v>7.6147481690363676</v>
      </c>
      <c r="M1081" s="236"/>
      <c r="N1081" s="236"/>
    </row>
    <row r="1082" spans="1:14" x14ac:dyDescent="0.3">
      <c r="A1082" s="237" t="str">
        <f>name!E$6</f>
        <v>Associate professional occupations</v>
      </c>
      <c r="B1082" s="302">
        <v>2.3414073615148863</v>
      </c>
      <c r="C1082" s="302">
        <v>5.1882163748173244</v>
      </c>
      <c r="D1082" s="302">
        <f t="shared" si="394"/>
        <v>7.5296237363322103</v>
      </c>
      <c r="E1082" s="303"/>
      <c r="F1082" s="302">
        <v>2.4110850766019141</v>
      </c>
      <c r="G1082" s="302">
        <v>5.6412393782211323</v>
      </c>
      <c r="H1082" s="302">
        <f t="shared" si="395"/>
        <v>8.0523244548230473</v>
      </c>
      <c r="I1082" s="303"/>
      <c r="J1082" s="302">
        <v>2.8857033407233956</v>
      </c>
      <c r="K1082" s="302">
        <v>5.9135859684413949</v>
      </c>
      <c r="L1082" s="302">
        <f t="shared" si="396"/>
        <v>8.7992893091647915</v>
      </c>
      <c r="M1082" s="236"/>
      <c r="N1082" s="236"/>
    </row>
    <row r="1083" spans="1:14" x14ac:dyDescent="0.3">
      <c r="A1083" s="237" t="str">
        <f>name!E$7</f>
        <v>Administrative and secretarial occupations</v>
      </c>
      <c r="B1083" s="302">
        <v>2.7211620947106594</v>
      </c>
      <c r="C1083" s="302">
        <v>1.3277313616096991</v>
      </c>
      <c r="D1083" s="302">
        <f t="shared" si="394"/>
        <v>4.0488934563203589</v>
      </c>
      <c r="E1083" s="303"/>
      <c r="F1083" s="302">
        <v>2.6251574231520292</v>
      </c>
      <c r="G1083" s="302">
        <v>1.4329763547999652</v>
      </c>
      <c r="H1083" s="302">
        <f t="shared" si="395"/>
        <v>4.0581337779519941</v>
      </c>
      <c r="I1083" s="303"/>
      <c r="J1083" s="302">
        <v>2.4445117083325059</v>
      </c>
      <c r="K1083" s="302">
        <v>1.8367526456400129</v>
      </c>
      <c r="L1083" s="302">
        <f t="shared" si="396"/>
        <v>4.281264353972519</v>
      </c>
      <c r="M1083" s="236"/>
      <c r="N1083" s="236"/>
    </row>
    <row r="1084" spans="1:14" x14ac:dyDescent="0.3">
      <c r="A1084" s="237" t="str">
        <f>name!E$8</f>
        <v>Skilled trades occupations</v>
      </c>
      <c r="B1084" s="302">
        <v>0.2105245504717283</v>
      </c>
      <c r="C1084" s="302">
        <v>1.5998766090757615</v>
      </c>
      <c r="D1084" s="302">
        <f t="shared" si="394"/>
        <v>1.8104011595474898</v>
      </c>
      <c r="E1084" s="303"/>
      <c r="F1084" s="302">
        <v>0.21224999552022683</v>
      </c>
      <c r="G1084" s="302">
        <v>1.2035634781655091</v>
      </c>
      <c r="H1084" s="302">
        <f t="shared" si="395"/>
        <v>1.415813473685736</v>
      </c>
      <c r="I1084" s="303"/>
      <c r="J1084" s="302">
        <v>0.36824783269301847</v>
      </c>
      <c r="K1084" s="302">
        <v>1.072330147038943</v>
      </c>
      <c r="L1084" s="302">
        <f t="shared" si="396"/>
        <v>1.4405779797319616</v>
      </c>
      <c r="M1084" s="236"/>
      <c r="N1084" s="236"/>
    </row>
    <row r="1085" spans="1:14" x14ac:dyDescent="0.3">
      <c r="A1085" s="237" t="str">
        <f>name!E$9</f>
        <v>Caring, leisure and other service occupations</v>
      </c>
      <c r="B1085" s="302">
        <v>1.8328379068966583</v>
      </c>
      <c r="C1085" s="302">
        <v>0.65077203188012389</v>
      </c>
      <c r="D1085" s="302">
        <f t="shared" si="394"/>
        <v>2.483609938776782</v>
      </c>
      <c r="E1085" s="303"/>
      <c r="F1085" s="302">
        <v>1.7983356626004905</v>
      </c>
      <c r="G1085" s="302">
        <v>0.85881193786122012</v>
      </c>
      <c r="H1085" s="302">
        <f t="shared" si="395"/>
        <v>2.6571476004617107</v>
      </c>
      <c r="I1085" s="303"/>
      <c r="J1085" s="302">
        <v>2.3551761293978108</v>
      </c>
      <c r="K1085" s="302">
        <v>1.0565471845180319</v>
      </c>
      <c r="L1085" s="302">
        <f t="shared" si="396"/>
        <v>3.4117233139158429</v>
      </c>
      <c r="M1085" s="236"/>
      <c r="N1085" s="236"/>
    </row>
    <row r="1086" spans="1:14" x14ac:dyDescent="0.3">
      <c r="A1086" s="237" t="str">
        <f>name!E$10</f>
        <v>Sales and customer service occupations</v>
      </c>
      <c r="B1086" s="302">
        <v>1.0973148089960756</v>
      </c>
      <c r="C1086" s="302">
        <v>1.1919773326843623</v>
      </c>
      <c r="D1086" s="302">
        <f t="shared" si="394"/>
        <v>2.2892921416804377</v>
      </c>
      <c r="E1086" s="303"/>
      <c r="F1086" s="302">
        <v>1.033197962804929</v>
      </c>
      <c r="G1086" s="302">
        <v>1.2135513452507078</v>
      </c>
      <c r="H1086" s="302">
        <f t="shared" si="395"/>
        <v>2.2467493080556369</v>
      </c>
      <c r="I1086" s="303"/>
      <c r="J1086" s="302">
        <v>1.4764638908989864</v>
      </c>
      <c r="K1086" s="302">
        <v>1.5970236127780053</v>
      </c>
      <c r="L1086" s="302">
        <f t="shared" si="396"/>
        <v>3.0734875036769918</v>
      </c>
      <c r="M1086" s="236"/>
      <c r="N1086" s="236"/>
    </row>
    <row r="1087" spans="1:14" x14ac:dyDescent="0.3">
      <c r="A1087" s="237" t="str">
        <f>name!E$11</f>
        <v>Process, plant and machine operatives</v>
      </c>
      <c r="B1087" s="302">
        <v>0.20551222134116734</v>
      </c>
      <c r="C1087" s="302">
        <v>1.2708356023379148</v>
      </c>
      <c r="D1087" s="302">
        <f t="shared" si="394"/>
        <v>1.4763478236790821</v>
      </c>
      <c r="E1087" s="303"/>
      <c r="F1087" s="302">
        <v>0.15588661389237204</v>
      </c>
      <c r="G1087" s="302">
        <v>1.2611155902045845</v>
      </c>
      <c r="H1087" s="302">
        <f t="shared" si="395"/>
        <v>1.4170022040969565</v>
      </c>
      <c r="I1087" s="303"/>
      <c r="J1087" s="302">
        <v>0.26086954129589163</v>
      </c>
      <c r="K1087" s="302">
        <v>1.2631730806663304</v>
      </c>
      <c r="L1087" s="302">
        <f t="shared" si="396"/>
        <v>1.5240426219622221</v>
      </c>
      <c r="M1087" s="236"/>
      <c r="N1087" s="236"/>
    </row>
    <row r="1088" spans="1:14" x14ac:dyDescent="0.3">
      <c r="A1088" s="237" t="str">
        <f>name!E$12</f>
        <v>Elementary occupations</v>
      </c>
      <c r="B1088" s="302">
        <v>2.9969259682627811</v>
      </c>
      <c r="C1088" s="302">
        <v>8.3553676305128413</v>
      </c>
      <c r="D1088" s="302">
        <f t="shared" si="394"/>
        <v>11.352293598775622</v>
      </c>
      <c r="E1088" s="303"/>
      <c r="F1088" s="302">
        <v>3.3510030874357786</v>
      </c>
      <c r="G1088" s="302">
        <v>8.6053450411806569</v>
      </c>
      <c r="H1088" s="302">
        <f t="shared" si="395"/>
        <v>11.956348128616435</v>
      </c>
      <c r="I1088" s="303"/>
      <c r="J1088" s="302">
        <v>3.1560748099024769</v>
      </c>
      <c r="K1088" s="302">
        <v>9.8516171969974025</v>
      </c>
      <c r="L1088" s="302">
        <f t="shared" si="396"/>
        <v>13.00769200689988</v>
      </c>
      <c r="M1088" s="236"/>
      <c r="N1088" s="236"/>
    </row>
    <row r="1089" spans="1:14" x14ac:dyDescent="0.3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  <c r="N1089" s="236"/>
    </row>
    <row r="1090" spans="1:14" x14ac:dyDescent="0.3">
      <c r="A1090" s="244" t="s">
        <v>32</v>
      </c>
      <c r="B1090" s="311">
        <f>SUM(B1080:B1088)</f>
        <v>14.105000000075199</v>
      </c>
      <c r="C1090" s="311">
        <f t="shared" ref="C1090:D1090" si="397">SUM(C1080:C1088)</f>
        <v>26.162000000086859</v>
      </c>
      <c r="D1090" s="311">
        <f t="shared" si="397"/>
        <v>40.267000000162056</v>
      </c>
      <c r="E1090" s="311"/>
      <c r="F1090" s="311">
        <f t="shared" ref="F1090:H1090" si="398">SUM(F1080:F1088)</f>
        <v>14.599999999833612</v>
      </c>
      <c r="G1090" s="311">
        <f t="shared" si="398"/>
        <v>27.914000000112544</v>
      </c>
      <c r="H1090" s="311">
        <f t="shared" si="398"/>
        <v>42.513999999946158</v>
      </c>
      <c r="I1090" s="311"/>
      <c r="J1090" s="311">
        <f t="shared" ref="J1090:L1090" si="399">SUM(J1080:J1088)</f>
        <v>16.921999999886914</v>
      </c>
      <c r="K1090" s="311">
        <f t="shared" si="399"/>
        <v>31.974000000233694</v>
      </c>
      <c r="L1090" s="311">
        <f t="shared" si="399"/>
        <v>48.896000000120615</v>
      </c>
      <c r="M1090" s="236"/>
      <c r="N1090" s="236"/>
    </row>
    <row r="1091" spans="1:14" x14ac:dyDescent="0.3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  <c r="N1091" s="236"/>
    </row>
    <row r="1092" spans="1:14" x14ac:dyDescent="0.3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56" t="s">
        <v>35</v>
      </c>
      <c r="M1092" s="236"/>
      <c r="N1092" s="236"/>
    </row>
    <row r="1093" spans="1:14" x14ac:dyDescent="0.3">
      <c r="A1093" s="242"/>
      <c r="B1093" s="250"/>
      <c r="C1093" s="250"/>
      <c r="D1093" s="250"/>
      <c r="E1093" s="250"/>
      <c r="F1093" s="250"/>
      <c r="G1093" s="250"/>
      <c r="H1093" s="250"/>
      <c r="I1093" s="250"/>
      <c r="J1093" s="250"/>
      <c r="K1093" s="250"/>
      <c r="L1093" s="236"/>
      <c r="M1093" s="236"/>
      <c r="N1093" s="236"/>
    </row>
    <row r="1094" spans="1:14" x14ac:dyDescent="0.3">
      <c r="A1094" s="241" t="str">
        <f>name!A67</f>
        <v>Public administration and defence</v>
      </c>
      <c r="B1094" s="373">
        <f>B$6</f>
        <v>2015</v>
      </c>
      <c r="C1094" s="373"/>
      <c r="D1094" s="373"/>
      <c r="E1094" s="253"/>
      <c r="F1094" s="373">
        <f>F$6</f>
        <v>2020</v>
      </c>
      <c r="G1094" s="373"/>
      <c r="H1094" s="373"/>
      <c r="I1094" s="253"/>
      <c r="J1094" s="373">
        <f>J$6</f>
        <v>2035</v>
      </c>
      <c r="K1094" s="373"/>
      <c r="L1094" s="373"/>
      <c r="M1094" s="236"/>
      <c r="N1094" s="236"/>
    </row>
    <row r="1095" spans="1:14" x14ac:dyDescent="0.3">
      <c r="A1095" s="254"/>
      <c r="B1095" s="255" t="s">
        <v>352</v>
      </c>
      <c r="C1095" s="255" t="s">
        <v>353</v>
      </c>
      <c r="D1095" s="255" t="s">
        <v>32</v>
      </c>
      <c r="E1095" s="255"/>
      <c r="F1095" s="255" t="s">
        <v>352</v>
      </c>
      <c r="G1095" s="255" t="s">
        <v>353</v>
      </c>
      <c r="H1095" s="255" t="s">
        <v>32</v>
      </c>
      <c r="I1095" s="255"/>
      <c r="J1095" s="255" t="s">
        <v>352</v>
      </c>
      <c r="K1095" s="255" t="s">
        <v>353</v>
      </c>
      <c r="L1095" s="255" t="s">
        <v>32</v>
      </c>
      <c r="M1095" s="236"/>
      <c r="N1095" s="236"/>
    </row>
    <row r="1096" spans="1:14" x14ac:dyDescent="0.3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  <c r="N1096" s="236"/>
    </row>
    <row r="1097" spans="1:14" x14ac:dyDescent="0.3">
      <c r="A1097" s="237" t="str">
        <f>name!E$4</f>
        <v>Managers, directors and senior officials</v>
      </c>
      <c r="B1097" s="302">
        <v>2.5765193957266788</v>
      </c>
      <c r="C1097" s="302">
        <v>4.5951371901562128</v>
      </c>
      <c r="D1097" s="302">
        <f>SUM(B1097:C1097)</f>
        <v>7.1716565858828911</v>
      </c>
      <c r="E1097" s="303"/>
      <c r="F1097" s="302">
        <v>2.9667660480463911</v>
      </c>
      <c r="G1097" s="302">
        <v>4.6040594187280064</v>
      </c>
      <c r="H1097" s="302">
        <f>SUM(F1097:G1097)</f>
        <v>7.5708254667743979</v>
      </c>
      <c r="I1097" s="303"/>
      <c r="J1097" s="302">
        <v>3.6517480565971572</v>
      </c>
      <c r="K1097" s="302">
        <v>4.9614357026088465</v>
      </c>
      <c r="L1097" s="302">
        <f>SUM(J1097:K1097)</f>
        <v>8.6131837592060041</v>
      </c>
      <c r="M1097" s="236"/>
      <c r="N1097" s="236"/>
    </row>
    <row r="1098" spans="1:14" x14ac:dyDescent="0.3">
      <c r="A1098" s="237" t="str">
        <f>name!E$5</f>
        <v>Professional occupations</v>
      </c>
      <c r="B1098" s="302">
        <v>8.3868946143924266</v>
      </c>
      <c r="C1098" s="302">
        <v>6.9083341988476681</v>
      </c>
      <c r="D1098" s="302">
        <f t="shared" ref="D1098:D1105" si="400">SUM(B1098:C1098)</f>
        <v>15.295228813240094</v>
      </c>
      <c r="E1098" s="303"/>
      <c r="F1098" s="302">
        <v>10.010838212955404</v>
      </c>
      <c r="G1098" s="302">
        <v>7.3803443576111292</v>
      </c>
      <c r="H1098" s="302">
        <f t="shared" ref="H1098:H1105" si="401">SUM(F1098:G1098)</f>
        <v>17.391182570566535</v>
      </c>
      <c r="I1098" s="303"/>
      <c r="J1098" s="302">
        <v>12.901206369899779</v>
      </c>
      <c r="K1098" s="302">
        <v>9.1745056628600619</v>
      </c>
      <c r="L1098" s="302">
        <f t="shared" ref="L1098:L1105" si="402">SUM(J1098:K1098)</f>
        <v>22.075712032759839</v>
      </c>
      <c r="M1098" s="236"/>
      <c r="N1098" s="236"/>
    </row>
    <row r="1099" spans="1:14" x14ac:dyDescent="0.3">
      <c r="A1099" s="237" t="str">
        <f>name!E$6</f>
        <v>Associate professional occupations</v>
      </c>
      <c r="B1099" s="302">
        <v>11.389932880492513</v>
      </c>
      <c r="C1099" s="302">
        <v>15.706988899294357</v>
      </c>
      <c r="D1099" s="302">
        <f t="shared" si="400"/>
        <v>27.096921779786868</v>
      </c>
      <c r="E1099" s="303"/>
      <c r="F1099" s="302">
        <v>12.467418860281173</v>
      </c>
      <c r="G1099" s="302">
        <v>15.747048193242913</v>
      </c>
      <c r="H1099" s="302">
        <f t="shared" si="401"/>
        <v>28.214467053524086</v>
      </c>
      <c r="I1099" s="303"/>
      <c r="J1099" s="302">
        <v>18.304779611941086</v>
      </c>
      <c r="K1099" s="302">
        <v>17.371950352704008</v>
      </c>
      <c r="L1099" s="302">
        <f t="shared" si="402"/>
        <v>35.676729964645091</v>
      </c>
      <c r="M1099" s="236"/>
      <c r="N1099" s="236"/>
    </row>
    <row r="1100" spans="1:14" x14ac:dyDescent="0.3">
      <c r="A1100" s="237" t="str">
        <f>name!E$7</f>
        <v>Administrative and secretarial occupations</v>
      </c>
      <c r="B1100" s="302">
        <v>24.846864747465226</v>
      </c>
      <c r="C1100" s="302">
        <v>6.1892598490040021</v>
      </c>
      <c r="D1100" s="302">
        <f t="shared" si="400"/>
        <v>31.036124596469229</v>
      </c>
      <c r="E1100" s="303"/>
      <c r="F1100" s="302">
        <v>20.345822151891387</v>
      </c>
      <c r="G1100" s="302">
        <v>6.138577087341373</v>
      </c>
      <c r="H1100" s="302">
        <f t="shared" si="401"/>
        <v>26.484399239232758</v>
      </c>
      <c r="I1100" s="303"/>
      <c r="J1100" s="302">
        <v>16.8720859628651</v>
      </c>
      <c r="K1100" s="302">
        <v>5.9830911879233799</v>
      </c>
      <c r="L1100" s="302">
        <f t="shared" si="402"/>
        <v>22.855177150788478</v>
      </c>
      <c r="M1100" s="236"/>
      <c r="N1100" s="236"/>
    </row>
    <row r="1101" spans="1:14" x14ac:dyDescent="0.3">
      <c r="A1101" s="237" t="str">
        <f>name!E$8</f>
        <v>Skilled trades occupations</v>
      </c>
      <c r="B1101" s="302">
        <v>0.19717011663627323</v>
      </c>
      <c r="C1101" s="302">
        <v>1.4625069851997545</v>
      </c>
      <c r="D1101" s="302">
        <f t="shared" si="400"/>
        <v>1.6596771018360277</v>
      </c>
      <c r="E1101" s="303"/>
      <c r="F1101" s="302">
        <v>0.19390812450905032</v>
      </c>
      <c r="G1101" s="302">
        <v>0.83550581106437638</v>
      </c>
      <c r="H1101" s="302">
        <f t="shared" si="401"/>
        <v>1.0294139355734266</v>
      </c>
      <c r="I1101" s="303"/>
      <c r="J1101" s="302">
        <v>0.52671104510242506</v>
      </c>
      <c r="K1101" s="302">
        <v>0.80386212604751284</v>
      </c>
      <c r="L1101" s="302">
        <f t="shared" si="402"/>
        <v>1.330573171149938</v>
      </c>
      <c r="M1101" s="236"/>
      <c r="N1101" s="236"/>
    </row>
    <row r="1102" spans="1:14" x14ac:dyDescent="0.3">
      <c r="A1102" s="237" t="str">
        <f>name!E$9</f>
        <v>Caring, leisure and other service occupations</v>
      </c>
      <c r="B1102" s="302">
        <v>2.0730541966219143</v>
      </c>
      <c r="C1102" s="302">
        <v>1.055913870469521</v>
      </c>
      <c r="D1102" s="302">
        <f t="shared" si="400"/>
        <v>3.128968067091435</v>
      </c>
      <c r="E1102" s="303"/>
      <c r="F1102" s="302">
        <v>1.7661030675283127</v>
      </c>
      <c r="G1102" s="302">
        <v>0.97835468176275597</v>
      </c>
      <c r="H1102" s="302">
        <f t="shared" si="401"/>
        <v>2.7444577492910689</v>
      </c>
      <c r="I1102" s="303"/>
      <c r="J1102" s="302">
        <v>2.1088333877418548</v>
      </c>
      <c r="K1102" s="302">
        <v>1.1416270201208933</v>
      </c>
      <c r="L1102" s="302">
        <f t="shared" si="402"/>
        <v>3.2504604078627484</v>
      </c>
      <c r="M1102" s="236"/>
      <c r="N1102" s="236"/>
    </row>
    <row r="1103" spans="1:14" x14ac:dyDescent="0.3">
      <c r="A1103" s="237" t="str">
        <f>name!E$10</f>
        <v>Sales and customer service occupations</v>
      </c>
      <c r="B1103" s="302">
        <v>2.0416220064519393</v>
      </c>
      <c r="C1103" s="302">
        <v>0.75725981291547706</v>
      </c>
      <c r="D1103" s="302">
        <f t="shared" si="400"/>
        <v>2.7988818193674163</v>
      </c>
      <c r="E1103" s="303"/>
      <c r="F1103" s="302">
        <v>1.8127784854602693</v>
      </c>
      <c r="G1103" s="302">
        <v>0.64385952854963657</v>
      </c>
      <c r="H1103" s="302">
        <f t="shared" si="401"/>
        <v>2.456638014009906</v>
      </c>
      <c r="I1103" s="303"/>
      <c r="J1103" s="302">
        <v>2.3645339522849222</v>
      </c>
      <c r="K1103" s="302">
        <v>0.94551523659588155</v>
      </c>
      <c r="L1103" s="302">
        <f t="shared" si="402"/>
        <v>3.3100491888808037</v>
      </c>
      <c r="M1103" s="236"/>
      <c r="N1103" s="236"/>
    </row>
    <row r="1104" spans="1:14" x14ac:dyDescent="0.3">
      <c r="A1104" s="237" t="str">
        <f>name!E$11</f>
        <v>Process, plant and machine operatives</v>
      </c>
      <c r="B1104" s="302">
        <v>0.15604645327858549</v>
      </c>
      <c r="C1104" s="302">
        <v>0.8603860892360301</v>
      </c>
      <c r="D1104" s="302">
        <f t="shared" si="400"/>
        <v>1.0164325425146157</v>
      </c>
      <c r="E1104" s="303"/>
      <c r="F1104" s="302">
        <v>9.1086088931782744E-2</v>
      </c>
      <c r="G1104" s="302">
        <v>0.58751280019139251</v>
      </c>
      <c r="H1104" s="302">
        <f t="shared" si="401"/>
        <v>0.67859888912317523</v>
      </c>
      <c r="I1104" s="303"/>
      <c r="J1104" s="302">
        <v>0.19718207167859597</v>
      </c>
      <c r="K1104" s="302">
        <v>0.74827273158885022</v>
      </c>
      <c r="L1104" s="302">
        <f t="shared" si="402"/>
        <v>0.94545480326744613</v>
      </c>
      <c r="M1104" s="236"/>
      <c r="N1104" s="236"/>
    </row>
    <row r="1105" spans="1:14" x14ac:dyDescent="0.3">
      <c r="A1105" s="237" t="str">
        <f>name!E$12</f>
        <v>Elementary occupations</v>
      </c>
      <c r="B1105" s="302">
        <v>2.0848955884839961</v>
      </c>
      <c r="C1105" s="302">
        <v>1.8812131046725</v>
      </c>
      <c r="D1105" s="302">
        <f t="shared" si="400"/>
        <v>3.9661086931564959</v>
      </c>
      <c r="E1105" s="303"/>
      <c r="F1105" s="302">
        <v>1.4022789605349868</v>
      </c>
      <c r="G1105" s="302">
        <v>1.3727381211943688</v>
      </c>
      <c r="H1105" s="302">
        <f t="shared" si="401"/>
        <v>2.7750170817293558</v>
      </c>
      <c r="I1105" s="303"/>
      <c r="J1105" s="302">
        <v>1.5449195421562905</v>
      </c>
      <c r="K1105" s="302">
        <v>1.3307399790823748</v>
      </c>
      <c r="L1105" s="302">
        <f t="shared" si="402"/>
        <v>2.8756595212386653</v>
      </c>
      <c r="M1105" s="236"/>
      <c r="N1105" s="236"/>
    </row>
    <row r="1106" spans="1:14" x14ac:dyDescent="0.3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  <c r="N1106" s="236"/>
    </row>
    <row r="1107" spans="1:14" x14ac:dyDescent="0.3">
      <c r="A1107" s="244" t="s">
        <v>32</v>
      </c>
      <c r="B1107" s="311">
        <f>SUM(B1097:B1105)</f>
        <v>53.752999999549552</v>
      </c>
      <c r="C1107" s="311">
        <f t="shared" ref="C1107:D1107" si="403">SUM(C1097:C1105)</f>
        <v>39.416999999795522</v>
      </c>
      <c r="D1107" s="311">
        <f t="shared" si="403"/>
        <v>93.16999999934508</v>
      </c>
      <c r="E1107" s="311"/>
      <c r="F1107" s="311">
        <f t="shared" ref="F1107:H1107" si="404">SUM(F1097:F1105)</f>
        <v>51.057000000138757</v>
      </c>
      <c r="G1107" s="311">
        <f t="shared" si="404"/>
        <v>38.287999999685951</v>
      </c>
      <c r="H1107" s="311">
        <f t="shared" si="404"/>
        <v>89.344999999824736</v>
      </c>
      <c r="I1107" s="311"/>
      <c r="J1107" s="311">
        <f t="shared" ref="J1107:L1107" si="405">SUM(J1097:J1105)</f>
        <v>58.472000000267215</v>
      </c>
      <c r="K1107" s="311">
        <f t="shared" si="405"/>
        <v>42.460999999531808</v>
      </c>
      <c r="L1107" s="311">
        <f t="shared" si="405"/>
        <v>100.93299999979902</v>
      </c>
      <c r="M1107" s="236"/>
      <c r="N1107" s="236"/>
    </row>
    <row r="1108" spans="1:14" x14ac:dyDescent="0.3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  <c r="N1108" s="236"/>
    </row>
    <row r="1109" spans="1:14" x14ac:dyDescent="0.3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56" t="s">
        <v>35</v>
      </c>
      <c r="M1109" s="236"/>
      <c r="N1109" s="236"/>
    </row>
    <row r="1110" spans="1:14" x14ac:dyDescent="0.3">
      <c r="A1110" s="242"/>
      <c r="B1110" s="250"/>
      <c r="C1110" s="250"/>
      <c r="D1110" s="250"/>
      <c r="E1110" s="250"/>
      <c r="F1110" s="250"/>
      <c r="G1110" s="250"/>
      <c r="H1110" s="250"/>
      <c r="I1110" s="250"/>
      <c r="J1110" s="250"/>
      <c r="K1110" s="250"/>
      <c r="L1110" s="236"/>
      <c r="M1110" s="236"/>
      <c r="N1110" s="236"/>
    </row>
    <row r="1111" spans="1:14" x14ac:dyDescent="0.3">
      <c r="A1111" s="241" t="str">
        <f>name!A68</f>
        <v xml:space="preserve">Education </v>
      </c>
      <c r="B1111" s="373">
        <f>B$6</f>
        <v>2015</v>
      </c>
      <c r="C1111" s="373"/>
      <c r="D1111" s="373"/>
      <c r="E1111" s="253"/>
      <c r="F1111" s="373">
        <f>F$6</f>
        <v>2020</v>
      </c>
      <c r="G1111" s="373"/>
      <c r="H1111" s="373"/>
      <c r="I1111" s="253"/>
      <c r="J1111" s="373">
        <f>J$6</f>
        <v>2035</v>
      </c>
      <c r="K1111" s="373"/>
      <c r="L1111" s="373"/>
      <c r="M1111" s="236"/>
      <c r="N1111" s="236"/>
    </row>
    <row r="1112" spans="1:14" x14ac:dyDescent="0.3">
      <c r="A1112" s="254"/>
      <c r="B1112" s="255" t="s">
        <v>352</v>
      </c>
      <c r="C1112" s="255" t="s">
        <v>353</v>
      </c>
      <c r="D1112" s="255" t="s">
        <v>32</v>
      </c>
      <c r="E1112" s="255"/>
      <c r="F1112" s="255" t="s">
        <v>352</v>
      </c>
      <c r="G1112" s="255" t="s">
        <v>353</v>
      </c>
      <c r="H1112" s="255" t="s">
        <v>32</v>
      </c>
      <c r="I1112" s="255"/>
      <c r="J1112" s="255" t="s">
        <v>352</v>
      </c>
      <c r="K1112" s="255" t="s">
        <v>353</v>
      </c>
      <c r="L1112" s="255" t="s">
        <v>32</v>
      </c>
      <c r="M1112" s="236"/>
      <c r="N1112" s="236"/>
    </row>
    <row r="1113" spans="1:14" x14ac:dyDescent="0.3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  <c r="N1113" s="236"/>
    </row>
    <row r="1114" spans="1:14" x14ac:dyDescent="0.3">
      <c r="A1114" s="237" t="str">
        <f>name!E$4</f>
        <v>Managers, directors and senior officials</v>
      </c>
      <c r="B1114" s="302">
        <v>3.5741408486376423</v>
      </c>
      <c r="C1114" s="302">
        <v>3.7059056745319676</v>
      </c>
      <c r="D1114" s="302">
        <f>SUM(B1114:C1114)</f>
        <v>7.2800465231696094</v>
      </c>
      <c r="E1114" s="303"/>
      <c r="F1114" s="302">
        <v>4.4860938455911112</v>
      </c>
      <c r="G1114" s="302">
        <v>3.6054931358345712</v>
      </c>
      <c r="H1114" s="302">
        <f>SUM(F1114:G1114)</f>
        <v>8.0915869814256816</v>
      </c>
      <c r="I1114" s="303"/>
      <c r="J1114" s="302">
        <v>4.7243012464549556</v>
      </c>
      <c r="K1114" s="302">
        <v>3.5137239854360849</v>
      </c>
      <c r="L1114" s="302">
        <f>SUM(J1114:K1114)</f>
        <v>8.2380252318910401</v>
      </c>
      <c r="M1114" s="236"/>
      <c r="N1114" s="236"/>
    </row>
    <row r="1115" spans="1:14" x14ac:dyDescent="0.3">
      <c r="A1115" s="237" t="str">
        <f>name!E$5</f>
        <v>Professional occupations</v>
      </c>
      <c r="B1115" s="302">
        <v>79.137611379472276</v>
      </c>
      <c r="C1115" s="302">
        <v>46.861607241330198</v>
      </c>
      <c r="D1115" s="302">
        <f t="shared" ref="D1115:D1122" si="406">SUM(B1115:C1115)</f>
        <v>125.99921862080248</v>
      </c>
      <c r="E1115" s="303"/>
      <c r="F1115" s="302">
        <v>98.607718658789551</v>
      </c>
      <c r="G1115" s="302">
        <v>48.369353864983715</v>
      </c>
      <c r="H1115" s="302">
        <f t="shared" ref="H1115:H1122" si="407">SUM(F1115:G1115)</f>
        <v>146.97707252377327</v>
      </c>
      <c r="I1115" s="303"/>
      <c r="J1115" s="302">
        <v>111.57024382033107</v>
      </c>
      <c r="K1115" s="302">
        <v>51.598603489573989</v>
      </c>
      <c r="L1115" s="302">
        <f t="shared" ref="L1115:L1122" si="408">SUM(J1115:K1115)</f>
        <v>163.16884730990506</v>
      </c>
      <c r="M1115" s="236"/>
      <c r="N1115" s="236"/>
    </row>
    <row r="1116" spans="1:14" x14ac:dyDescent="0.3">
      <c r="A1116" s="237" t="str">
        <f>name!E$6</f>
        <v>Associate professional occupations</v>
      </c>
      <c r="B1116" s="302">
        <v>12.792967859666216</v>
      </c>
      <c r="C1116" s="302">
        <v>6.9646526488798042</v>
      </c>
      <c r="D1116" s="302">
        <f t="shared" si="406"/>
        <v>19.757620508546019</v>
      </c>
      <c r="E1116" s="303"/>
      <c r="F1116" s="302">
        <v>14.716707618945744</v>
      </c>
      <c r="G1116" s="302">
        <v>6.8529169103506113</v>
      </c>
      <c r="H1116" s="302">
        <f t="shared" si="407"/>
        <v>21.569624529296355</v>
      </c>
      <c r="I1116" s="303"/>
      <c r="J1116" s="302">
        <v>15.0553921874205</v>
      </c>
      <c r="K1116" s="302">
        <v>5.2775676438388395</v>
      </c>
      <c r="L1116" s="302">
        <f t="shared" si="408"/>
        <v>20.332959831259338</v>
      </c>
      <c r="M1116" s="236"/>
      <c r="N1116" s="236"/>
    </row>
    <row r="1117" spans="1:14" x14ac:dyDescent="0.3">
      <c r="A1117" s="237" t="str">
        <f>name!E$7</f>
        <v>Administrative and secretarial occupations</v>
      </c>
      <c r="B1117" s="302">
        <v>16.993910359380404</v>
      </c>
      <c r="C1117" s="302">
        <v>2.389585410279524</v>
      </c>
      <c r="D1117" s="302">
        <f t="shared" si="406"/>
        <v>19.383495769659927</v>
      </c>
      <c r="E1117" s="303"/>
      <c r="F1117" s="302">
        <v>16.896642476799911</v>
      </c>
      <c r="G1117" s="302">
        <v>2.0630037078115921</v>
      </c>
      <c r="H1117" s="302">
        <f t="shared" si="407"/>
        <v>18.959646184611504</v>
      </c>
      <c r="I1117" s="303"/>
      <c r="J1117" s="302">
        <v>6.7906023390075196</v>
      </c>
      <c r="K1117" s="302">
        <v>1.7801308787061325</v>
      </c>
      <c r="L1117" s="302">
        <f t="shared" si="408"/>
        <v>8.5707332177136522</v>
      </c>
      <c r="M1117" s="236"/>
      <c r="N1117" s="236"/>
    </row>
    <row r="1118" spans="1:14" x14ac:dyDescent="0.3">
      <c r="A1118" s="237" t="str">
        <f>name!E$8</f>
        <v>Skilled trades occupations</v>
      </c>
      <c r="B1118" s="302">
        <v>2.1444948258822283</v>
      </c>
      <c r="C1118" s="302">
        <v>1.9793391914050396</v>
      </c>
      <c r="D1118" s="302">
        <f t="shared" si="406"/>
        <v>4.1238340172872681</v>
      </c>
      <c r="E1118" s="303"/>
      <c r="F1118" s="302">
        <v>1.8981457471893151</v>
      </c>
      <c r="G1118" s="302">
        <v>1.2351705352898275</v>
      </c>
      <c r="H1118" s="302">
        <f t="shared" si="407"/>
        <v>3.1333162824791425</v>
      </c>
      <c r="I1118" s="303"/>
      <c r="J1118" s="302">
        <v>1.1141403682643825</v>
      </c>
      <c r="K1118" s="302">
        <v>0.85488394725271555</v>
      </c>
      <c r="L1118" s="302">
        <f t="shared" si="408"/>
        <v>1.9690243155170979</v>
      </c>
      <c r="M1118" s="236"/>
      <c r="N1118" s="236"/>
    </row>
    <row r="1119" spans="1:14" x14ac:dyDescent="0.3">
      <c r="A1119" s="237" t="str">
        <f>name!E$9</f>
        <v>Caring, leisure and other service occupations</v>
      </c>
      <c r="B1119" s="302">
        <v>53.69124315561438</v>
      </c>
      <c r="C1119" s="302">
        <v>6.1153530044049784</v>
      </c>
      <c r="D1119" s="302">
        <f t="shared" si="406"/>
        <v>59.80659616001936</v>
      </c>
      <c r="E1119" s="303"/>
      <c r="F1119" s="302">
        <v>55.720200388537911</v>
      </c>
      <c r="G1119" s="302">
        <v>5.7820024264782779</v>
      </c>
      <c r="H1119" s="302">
        <f t="shared" si="407"/>
        <v>61.50220281501619</v>
      </c>
      <c r="I1119" s="303"/>
      <c r="J1119" s="302">
        <v>59.398953686269657</v>
      </c>
      <c r="K1119" s="302">
        <v>6.0643115746083787</v>
      </c>
      <c r="L1119" s="302">
        <f t="shared" si="408"/>
        <v>65.463265260878032</v>
      </c>
      <c r="M1119" s="236"/>
      <c r="N1119" s="236"/>
    </row>
    <row r="1120" spans="1:14" x14ac:dyDescent="0.3">
      <c r="A1120" s="237" t="str">
        <f>name!E$10</f>
        <v>Sales and customer service occupations</v>
      </c>
      <c r="B1120" s="302">
        <v>1.4787224214403383</v>
      </c>
      <c r="C1120" s="302">
        <v>0.42604218321926407</v>
      </c>
      <c r="D1120" s="302">
        <f t="shared" si="406"/>
        <v>1.9047646046596023</v>
      </c>
      <c r="E1120" s="303"/>
      <c r="F1120" s="302">
        <v>1.4227301712832818</v>
      </c>
      <c r="G1120" s="302">
        <v>0.33012386875604066</v>
      </c>
      <c r="H1120" s="302">
        <f t="shared" si="407"/>
        <v>1.7528540400393224</v>
      </c>
      <c r="I1120" s="303"/>
      <c r="J1120" s="302">
        <v>1.2874854730828986</v>
      </c>
      <c r="K1120" s="302">
        <v>0.34728169655826407</v>
      </c>
      <c r="L1120" s="302">
        <f t="shared" si="408"/>
        <v>1.6347671696411628</v>
      </c>
      <c r="M1120" s="236"/>
      <c r="N1120" s="236"/>
    </row>
    <row r="1121" spans="1:14" x14ac:dyDescent="0.3">
      <c r="A1121" s="237" t="str">
        <f>name!E$11</f>
        <v>Process, plant and machine operatives</v>
      </c>
      <c r="B1121" s="302">
        <v>1.1767308653357329</v>
      </c>
      <c r="C1121" s="302">
        <v>2.5505263830809199</v>
      </c>
      <c r="D1121" s="302">
        <f t="shared" si="406"/>
        <v>3.7272572484166528</v>
      </c>
      <c r="E1121" s="303"/>
      <c r="F1121" s="302">
        <v>1.0360090757719345</v>
      </c>
      <c r="G1121" s="302">
        <v>2.3718787868528759</v>
      </c>
      <c r="H1121" s="302">
        <f t="shared" si="407"/>
        <v>3.4078878626248104</v>
      </c>
      <c r="I1121" s="303"/>
      <c r="J1121" s="302">
        <v>1.1148976553699348</v>
      </c>
      <c r="K1121" s="302">
        <v>2.3846491929512879</v>
      </c>
      <c r="L1121" s="302">
        <f t="shared" si="408"/>
        <v>3.4995468483212226</v>
      </c>
      <c r="M1121" s="236"/>
      <c r="N1121" s="236"/>
    </row>
    <row r="1122" spans="1:14" x14ac:dyDescent="0.3">
      <c r="A1122" s="237" t="str">
        <f>name!E$12</f>
        <v>Elementary occupations</v>
      </c>
      <c r="B1122" s="302">
        <v>17.433178280654126</v>
      </c>
      <c r="C1122" s="302">
        <v>3.7429882637381739</v>
      </c>
      <c r="D1122" s="302">
        <f t="shared" si="406"/>
        <v>21.176166544392299</v>
      </c>
      <c r="E1122" s="303"/>
      <c r="F1122" s="302">
        <v>15.302752019361431</v>
      </c>
      <c r="G1122" s="302">
        <v>2.538056764788502</v>
      </c>
      <c r="H1122" s="302">
        <f t="shared" si="407"/>
        <v>17.840808784149935</v>
      </c>
      <c r="I1122" s="303"/>
      <c r="J1122" s="302">
        <v>9.2039832280383305</v>
      </c>
      <c r="K1122" s="302">
        <v>1.6808475894114838</v>
      </c>
      <c r="L1122" s="302">
        <f t="shared" si="408"/>
        <v>10.884830817449814</v>
      </c>
      <c r="M1122" s="236"/>
      <c r="N1122" s="236"/>
    </row>
    <row r="1123" spans="1:14" x14ac:dyDescent="0.3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  <c r="N1123" s="236"/>
    </row>
    <row r="1124" spans="1:14" x14ac:dyDescent="0.3">
      <c r="A1124" s="244" t="s">
        <v>32</v>
      </c>
      <c r="B1124" s="311">
        <f>SUM(B1114:B1122)</f>
        <v>188.42299999608338</v>
      </c>
      <c r="C1124" s="311">
        <f t="shared" ref="C1124:D1124" si="409">SUM(C1114:C1122)</f>
        <v>74.736000000869865</v>
      </c>
      <c r="D1124" s="311">
        <f t="shared" si="409"/>
        <v>263.15899999695318</v>
      </c>
      <c r="E1124" s="311"/>
      <c r="F1124" s="311">
        <f t="shared" ref="F1124:H1124" si="410">SUM(F1114:F1122)</f>
        <v>210.0870000022702</v>
      </c>
      <c r="G1124" s="311">
        <f t="shared" si="410"/>
        <v>73.148000001146016</v>
      </c>
      <c r="H1124" s="311">
        <f t="shared" si="410"/>
        <v>283.23500000341625</v>
      </c>
      <c r="I1124" s="311"/>
      <c r="J1124" s="311">
        <f t="shared" ref="J1124:L1124" si="411">SUM(J1114:J1122)</f>
        <v>210.26000000423926</v>
      </c>
      <c r="K1124" s="311">
        <f t="shared" si="411"/>
        <v>73.501999998337183</v>
      </c>
      <c r="L1124" s="311">
        <f t="shared" si="411"/>
        <v>283.76200000257649</v>
      </c>
      <c r="M1124" s="236"/>
      <c r="N1124" s="236"/>
    </row>
    <row r="1125" spans="1:14" x14ac:dyDescent="0.3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  <c r="N1125" s="236"/>
    </row>
    <row r="1126" spans="1:14" x14ac:dyDescent="0.3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56" t="s">
        <v>35</v>
      </c>
      <c r="M1126" s="236"/>
      <c r="N1126" s="236"/>
    </row>
    <row r="1127" spans="1:14" x14ac:dyDescent="0.3">
      <c r="A1127" s="242"/>
      <c r="B1127" s="250"/>
      <c r="C1127" s="250"/>
      <c r="D1127" s="250"/>
      <c r="E1127" s="250"/>
      <c r="F1127" s="250"/>
      <c r="G1127" s="250"/>
      <c r="H1127" s="250"/>
      <c r="I1127" s="250"/>
      <c r="J1127" s="250"/>
      <c r="K1127" s="250"/>
      <c r="L1127" s="236"/>
      <c r="M1127" s="236"/>
      <c r="N1127" s="236"/>
    </row>
    <row r="1128" spans="1:14" x14ac:dyDescent="0.3">
      <c r="A1128" s="241" t="str">
        <f>name!A69</f>
        <v>Health</v>
      </c>
      <c r="B1128" s="373">
        <f>B$6</f>
        <v>2015</v>
      </c>
      <c r="C1128" s="373"/>
      <c r="D1128" s="373"/>
      <c r="E1128" s="253"/>
      <c r="F1128" s="373">
        <f>F$6</f>
        <v>2020</v>
      </c>
      <c r="G1128" s="373"/>
      <c r="H1128" s="373"/>
      <c r="I1128" s="253"/>
      <c r="J1128" s="373">
        <f>J$6</f>
        <v>2035</v>
      </c>
      <c r="K1128" s="373"/>
      <c r="L1128" s="373"/>
      <c r="M1128" s="236"/>
      <c r="N1128" s="236"/>
    </row>
    <row r="1129" spans="1:14" x14ac:dyDescent="0.3">
      <c r="A1129" s="254"/>
      <c r="B1129" s="255" t="s">
        <v>352</v>
      </c>
      <c r="C1129" s="255" t="s">
        <v>353</v>
      </c>
      <c r="D1129" s="255" t="s">
        <v>32</v>
      </c>
      <c r="E1129" s="255"/>
      <c r="F1129" s="255" t="s">
        <v>352</v>
      </c>
      <c r="G1129" s="255" t="s">
        <v>353</v>
      </c>
      <c r="H1129" s="255" t="s">
        <v>32</v>
      </c>
      <c r="I1129" s="255"/>
      <c r="J1129" s="255" t="s">
        <v>352</v>
      </c>
      <c r="K1129" s="255" t="s">
        <v>353</v>
      </c>
      <c r="L1129" s="255" t="s">
        <v>32</v>
      </c>
      <c r="M1129" s="236"/>
      <c r="N1129" s="236"/>
    </row>
    <row r="1130" spans="1:14" x14ac:dyDescent="0.3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  <c r="N1130" s="236"/>
    </row>
    <row r="1131" spans="1:14" x14ac:dyDescent="0.3">
      <c r="A1131" s="237" t="str">
        <f>name!E$4</f>
        <v>Managers, directors and senior officials</v>
      </c>
      <c r="B1131" s="302">
        <v>5.1515719661538446</v>
      </c>
      <c r="C1131" s="302">
        <v>3.4285691017518256</v>
      </c>
      <c r="D1131" s="302">
        <f>SUM(B1131:C1131)</f>
        <v>8.5801410679056698</v>
      </c>
      <c r="E1131" s="303"/>
      <c r="F1131" s="302">
        <v>7.3320685313329692</v>
      </c>
      <c r="G1131" s="302">
        <v>3.451799416068281</v>
      </c>
      <c r="H1131" s="302">
        <f>SUM(F1131:G1131)</f>
        <v>10.78386794740125</v>
      </c>
      <c r="I1131" s="303"/>
      <c r="J1131" s="302">
        <v>10.641937876731596</v>
      </c>
      <c r="K1131" s="302">
        <v>3.9410262579823043</v>
      </c>
      <c r="L1131" s="302">
        <f>SUM(J1131:K1131)</f>
        <v>14.582964134713901</v>
      </c>
      <c r="M1131" s="236"/>
      <c r="N1131" s="236"/>
    </row>
    <row r="1132" spans="1:14" x14ac:dyDescent="0.3">
      <c r="A1132" s="237" t="str">
        <f>name!E$5</f>
        <v>Professional occupations</v>
      </c>
      <c r="B1132" s="302">
        <v>34.140488483901237</v>
      </c>
      <c r="C1132" s="302">
        <v>13.938848265265115</v>
      </c>
      <c r="D1132" s="302">
        <f t="shared" ref="D1132:D1139" si="412">SUM(B1132:C1132)</f>
        <v>48.079336749166352</v>
      </c>
      <c r="E1132" s="303"/>
      <c r="F1132" s="302">
        <v>46.606028589489448</v>
      </c>
      <c r="G1132" s="302">
        <v>15.349540610198567</v>
      </c>
      <c r="H1132" s="302">
        <f t="shared" ref="H1132:H1139" si="413">SUM(F1132:G1132)</f>
        <v>61.955569199688014</v>
      </c>
      <c r="I1132" s="303"/>
      <c r="J1132" s="302">
        <v>65.046979794844063</v>
      </c>
      <c r="K1132" s="302">
        <v>18.788340956912744</v>
      </c>
      <c r="L1132" s="302">
        <f t="shared" ref="L1132:L1139" si="414">SUM(J1132:K1132)</f>
        <v>83.835320751756811</v>
      </c>
      <c r="M1132" s="236"/>
      <c r="N1132" s="236"/>
    </row>
    <row r="1133" spans="1:14" x14ac:dyDescent="0.3">
      <c r="A1133" s="237" t="str">
        <f>name!E$6</f>
        <v>Associate professional occupations</v>
      </c>
      <c r="B1133" s="302">
        <v>16.639504788632035</v>
      </c>
      <c r="C1133" s="302">
        <v>4.9683278580924046</v>
      </c>
      <c r="D1133" s="302">
        <f t="shared" si="412"/>
        <v>21.607832646724439</v>
      </c>
      <c r="E1133" s="303"/>
      <c r="F1133" s="302">
        <v>22.311224076754471</v>
      </c>
      <c r="G1133" s="302">
        <v>5.1696638509217241</v>
      </c>
      <c r="H1133" s="302">
        <f t="shared" si="413"/>
        <v>27.480887927676193</v>
      </c>
      <c r="I1133" s="303"/>
      <c r="J1133" s="302">
        <v>29.102021070389956</v>
      </c>
      <c r="K1133" s="302">
        <v>5.1389908984162433</v>
      </c>
      <c r="L1133" s="302">
        <f t="shared" si="414"/>
        <v>34.241011968806198</v>
      </c>
      <c r="M1133" s="236"/>
      <c r="N1133" s="236"/>
    </row>
    <row r="1134" spans="1:14" x14ac:dyDescent="0.3">
      <c r="A1134" s="237" t="str">
        <f>name!E$7</f>
        <v>Administrative and secretarial occupations</v>
      </c>
      <c r="B1134" s="302">
        <v>19.004855688716276</v>
      </c>
      <c r="C1134" s="302">
        <v>2.5440491599352453</v>
      </c>
      <c r="D1134" s="302">
        <f t="shared" si="412"/>
        <v>21.548904848651521</v>
      </c>
      <c r="E1134" s="303"/>
      <c r="F1134" s="302">
        <v>20.392163491001252</v>
      </c>
      <c r="G1134" s="302">
        <v>2.373923297829645</v>
      </c>
      <c r="H1134" s="302">
        <f t="shared" si="413"/>
        <v>22.766086788830897</v>
      </c>
      <c r="I1134" s="303"/>
      <c r="J1134" s="302">
        <v>16.036846135007238</v>
      </c>
      <c r="K1134" s="302">
        <v>2.4130207005232087</v>
      </c>
      <c r="L1134" s="302">
        <f t="shared" si="414"/>
        <v>18.449866835530447</v>
      </c>
      <c r="M1134" s="236"/>
      <c r="N1134" s="236"/>
    </row>
    <row r="1135" spans="1:14" x14ac:dyDescent="0.3">
      <c r="A1135" s="237" t="str">
        <f>name!E$8</f>
        <v>Skilled trades occupations</v>
      </c>
      <c r="B1135" s="302">
        <v>1.1774152431472349</v>
      </c>
      <c r="C1135" s="302">
        <v>1.61562713477547</v>
      </c>
      <c r="D1135" s="302">
        <f t="shared" si="412"/>
        <v>2.7930423779227049</v>
      </c>
      <c r="E1135" s="303"/>
      <c r="F1135" s="302">
        <v>1.1817386714037899</v>
      </c>
      <c r="G1135" s="302">
        <v>1.1182716983317116</v>
      </c>
      <c r="H1135" s="302">
        <f t="shared" si="413"/>
        <v>2.3000103697355012</v>
      </c>
      <c r="I1135" s="303"/>
      <c r="J1135" s="302">
        <v>1.2158707417840087</v>
      </c>
      <c r="K1135" s="302">
        <v>1.0354768891690165</v>
      </c>
      <c r="L1135" s="302">
        <f t="shared" si="414"/>
        <v>2.2513476309530249</v>
      </c>
      <c r="M1135" s="236"/>
      <c r="N1135" s="236"/>
    </row>
    <row r="1136" spans="1:14" x14ac:dyDescent="0.3">
      <c r="A1136" s="237" t="str">
        <f>name!E$9</f>
        <v>Caring, leisure and other service occupations</v>
      </c>
      <c r="B1136" s="302">
        <v>53.929326868196597</v>
      </c>
      <c r="C1136" s="302">
        <v>10.566105784284378</v>
      </c>
      <c r="D1136" s="302">
        <f t="shared" si="412"/>
        <v>64.495432652480972</v>
      </c>
      <c r="E1136" s="303"/>
      <c r="F1136" s="302">
        <v>63.355479340883178</v>
      </c>
      <c r="G1136" s="302">
        <v>10.691595558887244</v>
      </c>
      <c r="H1136" s="302">
        <f t="shared" si="413"/>
        <v>74.047074899770422</v>
      </c>
      <c r="I1136" s="303"/>
      <c r="J1136" s="302">
        <v>82.758756729921458</v>
      </c>
      <c r="K1136" s="302">
        <v>17.792128605528227</v>
      </c>
      <c r="L1136" s="302">
        <f t="shared" si="414"/>
        <v>100.55088533544969</v>
      </c>
      <c r="M1136" s="236"/>
      <c r="N1136" s="236"/>
    </row>
    <row r="1137" spans="1:14" x14ac:dyDescent="0.3">
      <c r="A1137" s="237" t="str">
        <f>name!E$10</f>
        <v>Sales and customer service occupations</v>
      </c>
      <c r="B1137" s="302">
        <v>2.2159428560090895</v>
      </c>
      <c r="C1137" s="302">
        <v>0.50615005079742459</v>
      </c>
      <c r="D1137" s="302">
        <f t="shared" si="412"/>
        <v>2.7220929068065143</v>
      </c>
      <c r="E1137" s="303"/>
      <c r="F1137" s="302">
        <v>2.4090397110248221</v>
      </c>
      <c r="G1137" s="302">
        <v>0.40980366329377355</v>
      </c>
      <c r="H1137" s="302">
        <f t="shared" si="413"/>
        <v>2.8188433743185954</v>
      </c>
      <c r="I1137" s="303"/>
      <c r="J1137" s="302">
        <v>3.1384036742074297</v>
      </c>
      <c r="K1137" s="302">
        <v>0.46739609685905786</v>
      </c>
      <c r="L1137" s="302">
        <f t="shared" si="414"/>
        <v>3.6057997710664877</v>
      </c>
      <c r="M1137" s="236"/>
      <c r="N1137" s="236"/>
    </row>
    <row r="1138" spans="1:14" x14ac:dyDescent="0.3">
      <c r="A1138" s="237" t="str">
        <f>name!E$11</f>
        <v>Process, plant and machine operatives</v>
      </c>
      <c r="B1138" s="302">
        <v>0.30667800840548687</v>
      </c>
      <c r="C1138" s="302">
        <v>0.46098335743951985</v>
      </c>
      <c r="D1138" s="302">
        <f t="shared" si="412"/>
        <v>0.76766136584500666</v>
      </c>
      <c r="E1138" s="303"/>
      <c r="F1138" s="302">
        <v>0.28203614022034135</v>
      </c>
      <c r="G1138" s="302">
        <v>0.33149454165536885</v>
      </c>
      <c r="H1138" s="302">
        <f t="shared" si="413"/>
        <v>0.61353068187571025</v>
      </c>
      <c r="I1138" s="303"/>
      <c r="J1138" s="302">
        <v>0.30192841608214116</v>
      </c>
      <c r="K1138" s="302">
        <v>0.27653658390606367</v>
      </c>
      <c r="L1138" s="302">
        <f t="shared" si="414"/>
        <v>0.57846499998820478</v>
      </c>
      <c r="M1138" s="236"/>
      <c r="N1138" s="236"/>
    </row>
    <row r="1139" spans="1:14" x14ac:dyDescent="0.3">
      <c r="A1139" s="237" t="str">
        <f>name!E$12</f>
        <v>Elementary occupations</v>
      </c>
      <c r="B1139" s="302">
        <v>3.5342160944182663</v>
      </c>
      <c r="C1139" s="302">
        <v>2.309339287753307</v>
      </c>
      <c r="D1139" s="302">
        <f t="shared" si="412"/>
        <v>5.8435553821715729</v>
      </c>
      <c r="E1139" s="303"/>
      <c r="F1139" s="302">
        <v>3.3142214480259402</v>
      </c>
      <c r="G1139" s="302">
        <v>1.7249073625440619</v>
      </c>
      <c r="H1139" s="302">
        <f t="shared" si="413"/>
        <v>5.0391288105700021</v>
      </c>
      <c r="I1139" s="303"/>
      <c r="J1139" s="302">
        <v>2.1802555603949965</v>
      </c>
      <c r="K1139" s="302">
        <v>1.3900830103017214</v>
      </c>
      <c r="L1139" s="302">
        <f t="shared" si="414"/>
        <v>3.5703385706967179</v>
      </c>
      <c r="M1139" s="236"/>
      <c r="N1139" s="236"/>
    </row>
    <row r="1140" spans="1:14" x14ac:dyDescent="0.3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  <c r="N1140" s="236"/>
    </row>
    <row r="1141" spans="1:14" x14ac:dyDescent="0.3">
      <c r="A1141" s="244" t="s">
        <v>32</v>
      </c>
      <c r="B1141" s="311">
        <f>SUM(B1131:B1139)</f>
        <v>136.09999999758008</v>
      </c>
      <c r="C1141" s="311">
        <f t="shared" ref="C1141:D1141" si="415">SUM(C1131:C1139)</f>
        <v>40.338000000094681</v>
      </c>
      <c r="D1141" s="311">
        <f t="shared" si="415"/>
        <v>176.43799999767475</v>
      </c>
      <c r="E1141" s="311"/>
      <c r="F1141" s="311">
        <f t="shared" ref="F1141:H1141" si="416">SUM(F1131:F1139)</f>
        <v>167.18400000013622</v>
      </c>
      <c r="G1141" s="311">
        <f t="shared" si="416"/>
        <v>40.620999999730365</v>
      </c>
      <c r="H1141" s="311">
        <f t="shared" si="416"/>
        <v>207.80499999986657</v>
      </c>
      <c r="I1141" s="311"/>
      <c r="J1141" s="311">
        <f t="shared" ref="J1141:L1141" si="417">SUM(J1131:J1139)</f>
        <v>210.4229999993629</v>
      </c>
      <c r="K1141" s="311">
        <f t="shared" si="417"/>
        <v>51.242999999598588</v>
      </c>
      <c r="L1141" s="311">
        <f t="shared" si="417"/>
        <v>261.66599999896152</v>
      </c>
      <c r="M1141" s="236"/>
      <c r="N1141" s="236"/>
    </row>
    <row r="1142" spans="1:14" x14ac:dyDescent="0.3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  <c r="N1142" s="236"/>
    </row>
    <row r="1143" spans="1:14" x14ac:dyDescent="0.3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56" t="s">
        <v>35</v>
      </c>
      <c r="M1143" s="236"/>
      <c r="N1143" s="236"/>
    </row>
    <row r="1144" spans="1:14" x14ac:dyDescent="0.3">
      <c r="A1144" s="242"/>
      <c r="B1144" s="250"/>
      <c r="C1144" s="250"/>
      <c r="D1144" s="250"/>
      <c r="E1144" s="250"/>
      <c r="F1144" s="250"/>
      <c r="G1144" s="250"/>
      <c r="H1144" s="250"/>
      <c r="I1144" s="250"/>
      <c r="J1144" s="250"/>
      <c r="K1144" s="250"/>
      <c r="L1144" s="236"/>
      <c r="M1144" s="236"/>
      <c r="N1144" s="236"/>
    </row>
    <row r="1145" spans="1:14" x14ac:dyDescent="0.3">
      <c r="A1145" s="241" t="str">
        <f>name!A70</f>
        <v>Residential care</v>
      </c>
      <c r="B1145" s="373">
        <f>B$6</f>
        <v>2015</v>
      </c>
      <c r="C1145" s="373"/>
      <c r="D1145" s="373"/>
      <c r="E1145" s="253"/>
      <c r="F1145" s="373">
        <f>F$6</f>
        <v>2020</v>
      </c>
      <c r="G1145" s="373"/>
      <c r="H1145" s="373"/>
      <c r="I1145" s="253"/>
      <c r="J1145" s="373">
        <f>J$6</f>
        <v>2035</v>
      </c>
      <c r="K1145" s="373"/>
      <c r="L1145" s="373"/>
      <c r="M1145" s="236"/>
      <c r="N1145" s="236"/>
    </row>
    <row r="1146" spans="1:14" x14ac:dyDescent="0.3">
      <c r="A1146" s="254"/>
      <c r="B1146" s="255" t="s">
        <v>352</v>
      </c>
      <c r="C1146" s="255" t="s">
        <v>353</v>
      </c>
      <c r="D1146" s="255" t="s">
        <v>32</v>
      </c>
      <c r="E1146" s="255"/>
      <c r="F1146" s="255" t="s">
        <v>352</v>
      </c>
      <c r="G1146" s="255" t="s">
        <v>353</v>
      </c>
      <c r="H1146" s="255" t="s">
        <v>32</v>
      </c>
      <c r="I1146" s="255"/>
      <c r="J1146" s="255" t="s">
        <v>352</v>
      </c>
      <c r="K1146" s="255" t="s">
        <v>353</v>
      </c>
      <c r="L1146" s="255" t="s">
        <v>32</v>
      </c>
      <c r="M1146" s="236"/>
      <c r="N1146" s="236"/>
    </row>
    <row r="1147" spans="1:14" x14ac:dyDescent="0.3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  <c r="N1147" s="236"/>
    </row>
    <row r="1148" spans="1:14" x14ac:dyDescent="0.3">
      <c r="A1148" s="237" t="str">
        <f>name!E$4</f>
        <v>Managers, directors and senior officials</v>
      </c>
      <c r="B1148" s="302">
        <v>2.2432230446064874</v>
      </c>
      <c r="C1148" s="302">
        <v>1.27289430130331</v>
      </c>
      <c r="D1148" s="302">
        <f>SUM(B1148:C1148)</f>
        <v>3.5161173459097972</v>
      </c>
      <c r="E1148" s="303"/>
      <c r="F1148" s="302">
        <v>2.7637761483363215</v>
      </c>
      <c r="G1148" s="302">
        <v>0.99409795207237173</v>
      </c>
      <c r="H1148" s="302">
        <f>SUM(F1148:G1148)</f>
        <v>3.7578741004086931</v>
      </c>
      <c r="I1148" s="303"/>
      <c r="J1148" s="302">
        <v>3.7193203459736059</v>
      </c>
      <c r="K1148" s="302">
        <v>1.0504830616455589</v>
      </c>
      <c r="L1148" s="302">
        <f>SUM(J1148:K1148)</f>
        <v>4.7698034076191647</v>
      </c>
      <c r="M1148" s="236"/>
      <c r="N1148" s="236"/>
    </row>
    <row r="1149" spans="1:14" x14ac:dyDescent="0.3">
      <c r="A1149" s="237" t="str">
        <f>name!E$5</f>
        <v>Professional occupations</v>
      </c>
      <c r="B1149" s="302">
        <v>14.69707135096133</v>
      </c>
      <c r="C1149" s="302">
        <v>4.9942060857950095</v>
      </c>
      <c r="D1149" s="302">
        <f t="shared" ref="D1149:D1156" si="418">SUM(B1149:C1149)</f>
        <v>19.691277436756341</v>
      </c>
      <c r="E1149" s="303"/>
      <c r="F1149" s="302">
        <v>17.5909249137014</v>
      </c>
      <c r="G1149" s="302">
        <v>4.5759515434526623</v>
      </c>
      <c r="H1149" s="302">
        <f t="shared" ref="H1149:H1156" si="419">SUM(F1149:G1149)</f>
        <v>22.166876457154061</v>
      </c>
      <c r="I1149" s="303"/>
      <c r="J1149" s="302">
        <v>22.407435859150851</v>
      </c>
      <c r="K1149" s="302">
        <v>5.263723377638045</v>
      </c>
      <c r="L1149" s="302">
        <f t="shared" ref="L1149:L1156" si="420">SUM(J1149:K1149)</f>
        <v>27.671159236788895</v>
      </c>
      <c r="M1149" s="236"/>
      <c r="N1149" s="236"/>
    </row>
    <row r="1150" spans="1:14" x14ac:dyDescent="0.3">
      <c r="A1150" s="237" t="str">
        <f>name!E$6</f>
        <v>Associate professional occupations</v>
      </c>
      <c r="B1150" s="302">
        <v>7.1975866714435242</v>
      </c>
      <c r="C1150" s="302">
        <v>2.0514463972922239</v>
      </c>
      <c r="D1150" s="302">
        <f t="shared" si="418"/>
        <v>9.2490330687357485</v>
      </c>
      <c r="E1150" s="303"/>
      <c r="F1150" s="302">
        <v>8.3834903906458624</v>
      </c>
      <c r="G1150" s="302">
        <v>1.7127602962292099</v>
      </c>
      <c r="H1150" s="302">
        <f t="shared" si="419"/>
        <v>10.096250686875072</v>
      </c>
      <c r="I1150" s="303"/>
      <c r="J1150" s="302">
        <v>9.846348171879642</v>
      </c>
      <c r="K1150" s="302">
        <v>1.5482077901690194</v>
      </c>
      <c r="L1150" s="302">
        <f t="shared" si="420"/>
        <v>11.394555962048662</v>
      </c>
      <c r="M1150" s="236"/>
      <c r="N1150" s="236"/>
    </row>
    <row r="1151" spans="1:14" x14ac:dyDescent="0.3">
      <c r="A1151" s="237" t="str">
        <f>name!E$7</f>
        <v>Administrative and secretarial occupations</v>
      </c>
      <c r="B1151" s="302">
        <v>7.9279188938380178</v>
      </c>
      <c r="C1151" s="302">
        <v>1.3135789299794927</v>
      </c>
      <c r="D1151" s="302">
        <f t="shared" si="418"/>
        <v>9.2414978238175109</v>
      </c>
      <c r="E1151" s="303"/>
      <c r="F1151" s="302">
        <v>7.3914312587422346</v>
      </c>
      <c r="G1151" s="302">
        <v>0.91589716790272246</v>
      </c>
      <c r="H1151" s="302">
        <f t="shared" si="419"/>
        <v>8.3073284266449576</v>
      </c>
      <c r="I1151" s="303"/>
      <c r="J1151" s="302">
        <v>5.1386401418037781</v>
      </c>
      <c r="K1151" s="302">
        <v>0.82813380319375307</v>
      </c>
      <c r="L1151" s="302">
        <f t="shared" si="420"/>
        <v>5.9667739449975308</v>
      </c>
      <c r="M1151" s="236"/>
      <c r="N1151" s="236"/>
    </row>
    <row r="1152" spans="1:14" x14ac:dyDescent="0.3">
      <c r="A1152" s="237" t="str">
        <f>name!E$8</f>
        <v>Skilled trades occupations</v>
      </c>
      <c r="B1152" s="302">
        <v>0.49504996358632031</v>
      </c>
      <c r="C1152" s="302">
        <v>0.63453555755119462</v>
      </c>
      <c r="D1152" s="302">
        <f t="shared" si="418"/>
        <v>1.129585521137515</v>
      </c>
      <c r="E1152" s="303"/>
      <c r="F1152" s="302">
        <v>0.43728233939911793</v>
      </c>
      <c r="G1152" s="302">
        <v>0.32119276851998996</v>
      </c>
      <c r="H1152" s="302">
        <f t="shared" si="419"/>
        <v>0.75847510791910788</v>
      </c>
      <c r="I1152" s="303"/>
      <c r="J1152" s="302">
        <v>0.38723201590160838</v>
      </c>
      <c r="K1152" s="302">
        <v>0.27298261526372669</v>
      </c>
      <c r="L1152" s="302">
        <f t="shared" si="420"/>
        <v>0.66021463116533508</v>
      </c>
      <c r="M1152" s="236"/>
      <c r="N1152" s="236"/>
    </row>
    <row r="1153" spans="1:14" x14ac:dyDescent="0.3">
      <c r="A1153" s="237" t="str">
        <f>name!E$9</f>
        <v>Caring, leisure and other service occupations</v>
      </c>
      <c r="B1153" s="302">
        <v>23.091566838270076</v>
      </c>
      <c r="C1153" s="302">
        <v>4.6805436600648402</v>
      </c>
      <c r="D1153" s="302">
        <f t="shared" si="418"/>
        <v>27.772110498334918</v>
      </c>
      <c r="E1153" s="303"/>
      <c r="F1153" s="302">
        <v>23.822540152949809</v>
      </c>
      <c r="G1153" s="302">
        <v>3.6865964577555324</v>
      </c>
      <c r="H1153" s="302">
        <f t="shared" si="419"/>
        <v>27.50913661070534</v>
      </c>
      <c r="I1153" s="303"/>
      <c r="J1153" s="302">
        <v>27.399994495166197</v>
      </c>
      <c r="K1153" s="302">
        <v>5.3568823581741158</v>
      </c>
      <c r="L1153" s="302">
        <f t="shared" si="420"/>
        <v>32.756876853340316</v>
      </c>
      <c r="M1153" s="236"/>
      <c r="N1153" s="236"/>
    </row>
    <row r="1154" spans="1:14" x14ac:dyDescent="0.3">
      <c r="A1154" s="237" t="str">
        <f>name!E$10</f>
        <v>Sales and customer service occupations</v>
      </c>
      <c r="B1154" s="302">
        <v>0.93754451249550386</v>
      </c>
      <c r="C1154" s="302">
        <v>0.24020598878753521</v>
      </c>
      <c r="D1154" s="302">
        <f t="shared" si="418"/>
        <v>1.1777505012830392</v>
      </c>
      <c r="E1154" s="303"/>
      <c r="F1154" s="302">
        <v>0.88101691016153083</v>
      </c>
      <c r="G1154" s="302">
        <v>0.14406081965548412</v>
      </c>
      <c r="H1154" s="302">
        <f t="shared" si="419"/>
        <v>1.0250777298170148</v>
      </c>
      <c r="I1154" s="303"/>
      <c r="J1154" s="302">
        <v>1.0171511108934066</v>
      </c>
      <c r="K1154" s="302">
        <v>0.15437643408373436</v>
      </c>
      <c r="L1154" s="302">
        <f t="shared" si="420"/>
        <v>1.171527544977141</v>
      </c>
      <c r="M1154" s="236"/>
      <c r="N1154" s="236"/>
    </row>
    <row r="1155" spans="1:14" x14ac:dyDescent="0.3">
      <c r="A1155" s="237" t="str">
        <f>name!E$11</f>
        <v>Process, plant and machine operatives</v>
      </c>
      <c r="B1155" s="302">
        <v>0.12696265188030795</v>
      </c>
      <c r="C1155" s="302">
        <v>0.25627775508516742</v>
      </c>
      <c r="D1155" s="302">
        <f t="shared" si="418"/>
        <v>0.38324040696547534</v>
      </c>
      <c r="E1155" s="303"/>
      <c r="F1155" s="302">
        <v>0.1018223000550751</v>
      </c>
      <c r="G1155" s="302">
        <v>0.14007093996154812</v>
      </c>
      <c r="H1155" s="302">
        <f t="shared" si="419"/>
        <v>0.24189324001662321</v>
      </c>
      <c r="I1155" s="303"/>
      <c r="J1155" s="302">
        <v>9.0329924960097993E-2</v>
      </c>
      <c r="K1155" s="302">
        <v>0.10176271808778817</v>
      </c>
      <c r="L1155" s="302">
        <f t="shared" si="420"/>
        <v>0.19209264304788615</v>
      </c>
      <c r="M1155" s="236"/>
      <c r="N1155" s="236"/>
    </row>
    <row r="1156" spans="1:14" x14ac:dyDescent="0.3">
      <c r="A1156" s="237" t="str">
        <f>name!E$12</f>
        <v>Elementary occupations</v>
      </c>
      <c r="B1156" s="302">
        <v>1.4450760717877997</v>
      </c>
      <c r="C1156" s="302">
        <v>1.3613113241126249</v>
      </c>
      <c r="D1156" s="302">
        <f t="shared" si="418"/>
        <v>2.8063873959004244</v>
      </c>
      <c r="E1156" s="303"/>
      <c r="F1156" s="302">
        <v>1.1797155862625737</v>
      </c>
      <c r="G1156" s="302">
        <v>0.71537205437064311</v>
      </c>
      <c r="H1156" s="302">
        <f t="shared" si="419"/>
        <v>1.8950876406332169</v>
      </c>
      <c r="I1156" s="303"/>
      <c r="J1156" s="302">
        <v>0.61554793408823261</v>
      </c>
      <c r="K1156" s="302">
        <v>0.51244784162283985</v>
      </c>
      <c r="L1156" s="302">
        <f t="shared" si="420"/>
        <v>1.1279957757110726</v>
      </c>
      <c r="M1156" s="236"/>
      <c r="N1156" s="236"/>
    </row>
    <row r="1157" spans="1:14" x14ac:dyDescent="0.3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  <c r="N1157" s="236"/>
    </row>
    <row r="1158" spans="1:14" x14ac:dyDescent="0.3">
      <c r="A1158" s="244" t="s">
        <v>32</v>
      </c>
      <c r="B1158" s="311">
        <f>SUM(B1148:B1156)</f>
        <v>58.161999998869369</v>
      </c>
      <c r="C1158" s="311">
        <f t="shared" ref="C1158:D1158" si="421">SUM(C1148:C1156)</f>
        <v>16.804999999971397</v>
      </c>
      <c r="D1158" s="311">
        <f t="shared" si="421"/>
        <v>74.966999998840762</v>
      </c>
      <c r="E1158" s="311"/>
      <c r="F1158" s="311">
        <f t="shared" ref="F1158:H1158" si="422">SUM(F1148:F1156)</f>
        <v>62.55200000025394</v>
      </c>
      <c r="G1158" s="311">
        <f t="shared" si="422"/>
        <v>13.205999999920166</v>
      </c>
      <c r="H1158" s="311">
        <f t="shared" si="422"/>
        <v>75.758000000174093</v>
      </c>
      <c r="I1158" s="311"/>
      <c r="J1158" s="311">
        <f t="shared" ref="J1158:L1158" si="423">SUM(J1148:J1156)</f>
        <v>70.621999999817419</v>
      </c>
      <c r="K1158" s="311">
        <f t="shared" si="423"/>
        <v>15.088999999878581</v>
      </c>
      <c r="L1158" s="311">
        <f t="shared" si="423"/>
        <v>85.710999999696</v>
      </c>
      <c r="M1158" s="236"/>
      <c r="N1158" s="236"/>
    </row>
    <row r="1159" spans="1:14" x14ac:dyDescent="0.3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  <c r="N1159" s="236"/>
    </row>
    <row r="1160" spans="1:14" x14ac:dyDescent="0.3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56" t="s">
        <v>35</v>
      </c>
      <c r="M1160" s="236"/>
      <c r="N1160" s="236"/>
    </row>
    <row r="1161" spans="1:14" x14ac:dyDescent="0.3">
      <c r="A1161" s="242"/>
      <c r="B1161" s="250"/>
      <c r="C1161" s="250"/>
      <c r="D1161" s="250"/>
      <c r="E1161" s="250"/>
      <c r="F1161" s="250"/>
      <c r="G1161" s="250"/>
      <c r="H1161" s="250"/>
      <c r="I1161" s="250"/>
      <c r="J1161" s="250"/>
      <c r="K1161" s="250"/>
      <c r="L1161" s="236"/>
      <c r="M1161" s="236"/>
      <c r="N1161" s="236"/>
    </row>
    <row r="1162" spans="1:14" x14ac:dyDescent="0.3">
      <c r="A1162" s="241" t="str">
        <f>name!A71</f>
        <v>Social work</v>
      </c>
      <c r="B1162" s="373">
        <f>B$6</f>
        <v>2015</v>
      </c>
      <c r="C1162" s="373"/>
      <c r="D1162" s="373"/>
      <c r="E1162" s="253"/>
      <c r="F1162" s="373">
        <f>F$6</f>
        <v>2020</v>
      </c>
      <c r="G1162" s="373"/>
      <c r="H1162" s="373"/>
      <c r="I1162" s="253"/>
      <c r="J1162" s="373">
        <f>J$6</f>
        <v>2035</v>
      </c>
      <c r="K1162" s="373"/>
      <c r="L1162" s="373"/>
      <c r="M1162" s="236"/>
      <c r="N1162" s="236"/>
    </row>
    <row r="1163" spans="1:14" x14ac:dyDescent="0.3">
      <c r="A1163" s="254"/>
      <c r="B1163" s="255" t="s">
        <v>352</v>
      </c>
      <c r="C1163" s="255" t="s">
        <v>353</v>
      </c>
      <c r="D1163" s="255" t="s">
        <v>32</v>
      </c>
      <c r="E1163" s="255"/>
      <c r="F1163" s="255" t="s">
        <v>352</v>
      </c>
      <c r="G1163" s="255" t="s">
        <v>353</v>
      </c>
      <c r="H1163" s="255" t="s">
        <v>32</v>
      </c>
      <c r="I1163" s="255"/>
      <c r="J1163" s="255" t="s">
        <v>352</v>
      </c>
      <c r="K1163" s="255" t="s">
        <v>353</v>
      </c>
      <c r="L1163" s="255" t="s">
        <v>32</v>
      </c>
      <c r="M1163" s="236"/>
      <c r="N1163" s="236"/>
    </row>
    <row r="1164" spans="1:14" x14ac:dyDescent="0.3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  <c r="N1164" s="236"/>
    </row>
    <row r="1165" spans="1:14" x14ac:dyDescent="0.3">
      <c r="A1165" s="237" t="str">
        <f>name!E$4</f>
        <v>Managers, directors and senior officials</v>
      </c>
      <c r="B1165" s="302">
        <v>2.5098089839300202</v>
      </c>
      <c r="C1165" s="302">
        <v>1.4784126936172692</v>
      </c>
      <c r="D1165" s="302">
        <f>SUM(B1165:C1165)</f>
        <v>3.9882216775472896</v>
      </c>
      <c r="E1165" s="303"/>
      <c r="F1165" s="302">
        <v>2.8223096186233709</v>
      </c>
      <c r="G1165" s="302">
        <v>0.99157795685587646</v>
      </c>
      <c r="H1165" s="302">
        <f>SUM(F1165:G1165)</f>
        <v>3.8138875754792476</v>
      </c>
      <c r="I1165" s="303"/>
      <c r="J1165" s="302">
        <v>3.6908835298042195</v>
      </c>
      <c r="K1165" s="302">
        <v>1.0486627827775965</v>
      </c>
      <c r="L1165" s="302">
        <f>SUM(J1165:K1165)</f>
        <v>4.7395463125818162</v>
      </c>
      <c r="M1165" s="236"/>
      <c r="N1165" s="236"/>
    </row>
    <row r="1166" spans="1:14" x14ac:dyDescent="0.3">
      <c r="A1166" s="237" t="str">
        <f>name!E$5</f>
        <v>Professional occupations</v>
      </c>
      <c r="B1166" s="302">
        <v>17.114779717011835</v>
      </c>
      <c r="C1166" s="302">
        <v>5.848643766477359</v>
      </c>
      <c r="D1166" s="302">
        <f t="shared" ref="D1166:D1173" si="424">SUM(B1166:C1166)</f>
        <v>22.963423483489194</v>
      </c>
      <c r="E1166" s="303"/>
      <c r="F1166" s="302">
        <v>18.680183635846646</v>
      </c>
      <c r="G1166" s="302">
        <v>4.5373266955399334</v>
      </c>
      <c r="H1166" s="302">
        <f t="shared" ref="H1166:H1173" si="425">SUM(F1166:G1166)</f>
        <v>23.217510331386578</v>
      </c>
      <c r="I1166" s="303"/>
      <c r="J1166" s="302">
        <v>22.953298054051917</v>
      </c>
      <c r="K1166" s="302">
        <v>5.2429085169293366</v>
      </c>
      <c r="L1166" s="302">
        <f t="shared" ref="L1166:L1173" si="426">SUM(J1166:K1166)</f>
        <v>28.196206570981253</v>
      </c>
      <c r="M1166" s="236"/>
      <c r="N1166" s="236"/>
    </row>
    <row r="1167" spans="1:14" x14ac:dyDescent="0.3">
      <c r="A1167" s="237" t="str">
        <f>name!E$6</f>
        <v>Associate professional occupations</v>
      </c>
      <c r="B1167" s="302">
        <v>8.6178527621953371</v>
      </c>
      <c r="C1167" s="302">
        <v>2.3545928398422622</v>
      </c>
      <c r="D1167" s="302">
        <f t="shared" si="424"/>
        <v>10.972445602037599</v>
      </c>
      <c r="E1167" s="303"/>
      <c r="F1167" s="302">
        <v>9.2745962588421271</v>
      </c>
      <c r="G1167" s="302">
        <v>1.7034033596447951</v>
      </c>
      <c r="H1167" s="302">
        <f t="shared" si="425"/>
        <v>10.977999618486923</v>
      </c>
      <c r="I1167" s="303"/>
      <c r="J1167" s="302">
        <v>10.496992404150893</v>
      </c>
      <c r="K1167" s="302">
        <v>1.5512659834092546</v>
      </c>
      <c r="L1167" s="302">
        <f t="shared" si="426"/>
        <v>12.048258387560148</v>
      </c>
      <c r="M1167" s="236"/>
      <c r="N1167" s="236"/>
    </row>
    <row r="1168" spans="1:14" x14ac:dyDescent="0.3">
      <c r="A1168" s="237" t="str">
        <f>name!E$7</f>
        <v>Administrative and secretarial occupations</v>
      </c>
      <c r="B1168" s="302">
        <v>10.113477290416297</v>
      </c>
      <c r="C1168" s="302">
        <v>1.487710999047386</v>
      </c>
      <c r="D1168" s="302">
        <f t="shared" si="424"/>
        <v>11.601188289463682</v>
      </c>
      <c r="E1168" s="303"/>
      <c r="F1168" s="302">
        <v>8.9087668027184659</v>
      </c>
      <c r="G1168" s="302">
        <v>0.93499432114528691</v>
      </c>
      <c r="H1168" s="302">
        <f t="shared" si="425"/>
        <v>9.8437611238637537</v>
      </c>
      <c r="I1168" s="303"/>
      <c r="J1168" s="302">
        <v>5.8775379287048786</v>
      </c>
      <c r="K1168" s="302">
        <v>0.84812484244005648</v>
      </c>
      <c r="L1168" s="302">
        <f t="shared" si="426"/>
        <v>6.7256627711449353</v>
      </c>
      <c r="M1168" s="236"/>
      <c r="N1168" s="236"/>
    </row>
    <row r="1169" spans="1:14" x14ac:dyDescent="0.3">
      <c r="A1169" s="237" t="str">
        <f>name!E$8</f>
        <v>Skilled trades occupations</v>
      </c>
      <c r="B1169" s="302">
        <v>0.65180279362017479</v>
      </c>
      <c r="C1169" s="302">
        <v>0.74141292229632794</v>
      </c>
      <c r="D1169" s="302">
        <f t="shared" si="424"/>
        <v>1.3932157159165026</v>
      </c>
      <c r="E1169" s="303"/>
      <c r="F1169" s="302">
        <v>0.54243220748702614</v>
      </c>
      <c r="G1169" s="302">
        <v>0.32642391794838072</v>
      </c>
      <c r="H1169" s="302">
        <f t="shared" si="425"/>
        <v>0.8688561254354068</v>
      </c>
      <c r="I1169" s="303"/>
      <c r="J1169" s="302">
        <v>0.47478726426172896</v>
      </c>
      <c r="K1169" s="302">
        <v>0.28318340076917176</v>
      </c>
      <c r="L1169" s="302">
        <f t="shared" si="426"/>
        <v>0.75797066503090071</v>
      </c>
      <c r="M1169" s="236"/>
      <c r="N1169" s="236"/>
    </row>
    <row r="1170" spans="1:14" x14ac:dyDescent="0.3">
      <c r="A1170" s="237" t="str">
        <f>name!E$9</f>
        <v>Caring, leisure and other service occupations</v>
      </c>
      <c r="B1170" s="302">
        <v>28.495878610582999</v>
      </c>
      <c r="C1170" s="302">
        <v>5.311784594108083</v>
      </c>
      <c r="D1170" s="302">
        <f t="shared" si="424"/>
        <v>33.807663204691082</v>
      </c>
      <c r="E1170" s="303"/>
      <c r="F1170" s="302">
        <v>27.255465292568321</v>
      </c>
      <c r="G1170" s="302">
        <v>3.6687312414095996</v>
      </c>
      <c r="H1170" s="302">
        <f t="shared" si="425"/>
        <v>30.92419653397792</v>
      </c>
      <c r="I1170" s="303"/>
      <c r="J1170" s="302">
        <v>30.485657221989264</v>
      </c>
      <c r="K1170" s="302">
        <v>5.2992216400774632</v>
      </c>
      <c r="L1170" s="302">
        <f t="shared" si="426"/>
        <v>35.784878862066726</v>
      </c>
      <c r="M1170" s="236"/>
      <c r="N1170" s="236"/>
    </row>
    <row r="1171" spans="1:14" x14ac:dyDescent="0.3">
      <c r="A1171" s="237" t="str">
        <f>name!E$10</f>
        <v>Sales and customer service occupations</v>
      </c>
      <c r="B1171" s="302">
        <v>1.176126008283269</v>
      </c>
      <c r="C1171" s="302">
        <v>0.27493509136570871</v>
      </c>
      <c r="D1171" s="302">
        <f t="shared" si="424"/>
        <v>1.4510610996489777</v>
      </c>
      <c r="E1171" s="303"/>
      <c r="F1171" s="302">
        <v>1.0405738424000701</v>
      </c>
      <c r="G1171" s="302">
        <v>0.14678061352983279</v>
      </c>
      <c r="H1171" s="302">
        <f t="shared" si="425"/>
        <v>1.187354455929903</v>
      </c>
      <c r="I1171" s="303"/>
      <c r="J1171" s="302">
        <v>1.1586854565223903</v>
      </c>
      <c r="K1171" s="302">
        <v>0.15827483870292919</v>
      </c>
      <c r="L1171" s="302">
        <f t="shared" si="426"/>
        <v>1.3169602952253194</v>
      </c>
      <c r="M1171" s="236"/>
      <c r="N1171" s="236"/>
    </row>
    <row r="1172" spans="1:14" x14ac:dyDescent="0.3">
      <c r="A1172" s="237" t="str">
        <f>name!E$11</f>
        <v>Process, plant and machine operatives</v>
      </c>
      <c r="B1172" s="302">
        <v>0.16790898094167428</v>
      </c>
      <c r="C1172" s="302">
        <v>0.29259229930447173</v>
      </c>
      <c r="D1172" s="302">
        <f t="shared" si="424"/>
        <v>0.46050128024614601</v>
      </c>
      <c r="E1172" s="303"/>
      <c r="F1172" s="302">
        <v>0.12915296813341534</v>
      </c>
      <c r="G1172" s="302">
        <v>0.14894070340535975</v>
      </c>
      <c r="H1172" s="302">
        <f t="shared" si="425"/>
        <v>0.27809367153877507</v>
      </c>
      <c r="I1172" s="303"/>
      <c r="J1172" s="302">
        <v>0.11733121390867153</v>
      </c>
      <c r="K1172" s="302">
        <v>0.10831750356814829</v>
      </c>
      <c r="L1172" s="302">
        <f t="shared" si="426"/>
        <v>0.2256487174768198</v>
      </c>
      <c r="M1172" s="236"/>
      <c r="N1172" s="236"/>
    </row>
    <row r="1173" spans="1:14" x14ac:dyDescent="0.3">
      <c r="A1173" s="237" t="str">
        <f>name!E$12</f>
        <v>Elementary occupations</v>
      </c>
      <c r="B1173" s="302">
        <v>2.0413648516255818</v>
      </c>
      <c r="C1173" s="302">
        <v>1.5349147939239802</v>
      </c>
      <c r="D1173" s="302">
        <f t="shared" si="424"/>
        <v>3.5762796455495618</v>
      </c>
      <c r="E1173" s="303"/>
      <c r="F1173" s="302">
        <v>1.6255193733741611</v>
      </c>
      <c r="G1173" s="302">
        <v>0.73782119045097372</v>
      </c>
      <c r="H1173" s="302">
        <f t="shared" si="425"/>
        <v>2.363340563825135</v>
      </c>
      <c r="I1173" s="303"/>
      <c r="J1173" s="302">
        <v>0.88282692635272964</v>
      </c>
      <c r="K1173" s="302">
        <v>0.53004049122097463</v>
      </c>
      <c r="L1173" s="302">
        <f t="shared" si="426"/>
        <v>1.4128674175737044</v>
      </c>
      <c r="M1173" s="236"/>
      <c r="N1173" s="236"/>
    </row>
    <row r="1174" spans="1:14" x14ac:dyDescent="0.3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  <c r="N1174" s="236"/>
    </row>
    <row r="1175" spans="1:14" x14ac:dyDescent="0.3">
      <c r="A1175" s="244" t="s">
        <v>32</v>
      </c>
      <c r="B1175" s="311">
        <f>SUM(B1165:B1173)</f>
        <v>70.88899999860719</v>
      </c>
      <c r="C1175" s="311">
        <f t="shared" ref="C1175:D1175" si="427">SUM(C1165:C1173)</f>
        <v>19.32499999998285</v>
      </c>
      <c r="D1175" s="311">
        <f t="shared" si="427"/>
        <v>90.21399999859004</v>
      </c>
      <c r="E1175" s="311"/>
      <c r="F1175" s="311">
        <f t="shared" ref="F1175:H1175" si="428">SUM(F1165:F1173)</f>
        <v>70.278999999993587</v>
      </c>
      <c r="G1175" s="311">
        <f t="shared" si="428"/>
        <v>13.195999999930038</v>
      </c>
      <c r="H1175" s="311">
        <f t="shared" si="428"/>
        <v>83.474999999923639</v>
      </c>
      <c r="I1175" s="311"/>
      <c r="J1175" s="311">
        <f t="shared" ref="J1175:L1175" si="429">SUM(J1165:J1173)</f>
        <v>76.137999999746697</v>
      </c>
      <c r="K1175" s="311">
        <f t="shared" si="429"/>
        <v>15.069999999894931</v>
      </c>
      <c r="L1175" s="311">
        <f t="shared" si="429"/>
        <v>91.207999999641615</v>
      </c>
      <c r="M1175" s="236"/>
      <c r="N1175" s="236"/>
    </row>
    <row r="1176" spans="1:14" x14ac:dyDescent="0.3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  <c r="N1176" s="236"/>
    </row>
    <row r="1177" spans="1:14" x14ac:dyDescent="0.3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56" t="s">
        <v>35</v>
      </c>
      <c r="M1177" s="236"/>
      <c r="N1177" s="236"/>
    </row>
    <row r="1178" spans="1:14" x14ac:dyDescent="0.3">
      <c r="A1178" s="242"/>
      <c r="B1178" s="250"/>
      <c r="C1178" s="250"/>
      <c r="D1178" s="250"/>
      <c r="E1178" s="250"/>
      <c r="F1178" s="250"/>
      <c r="G1178" s="250"/>
      <c r="H1178" s="250"/>
      <c r="I1178" s="250"/>
      <c r="J1178" s="250"/>
      <c r="K1178" s="250"/>
      <c r="L1178" s="236"/>
      <c r="M1178" s="236"/>
      <c r="N1178" s="236"/>
    </row>
    <row r="1179" spans="1:14" x14ac:dyDescent="0.3">
      <c r="A1179" s="241" t="str">
        <f>name!A72</f>
        <v>Arts and entertainment</v>
      </c>
      <c r="B1179" s="373">
        <f>B$6</f>
        <v>2015</v>
      </c>
      <c r="C1179" s="373"/>
      <c r="D1179" s="373"/>
      <c r="E1179" s="253"/>
      <c r="F1179" s="373">
        <f>F$6</f>
        <v>2020</v>
      </c>
      <c r="G1179" s="373"/>
      <c r="H1179" s="373"/>
      <c r="I1179" s="253"/>
      <c r="J1179" s="373">
        <f>J$6</f>
        <v>2035</v>
      </c>
      <c r="K1179" s="373"/>
      <c r="L1179" s="373"/>
      <c r="M1179" s="236"/>
      <c r="N1179" s="236"/>
    </row>
    <row r="1180" spans="1:14" x14ac:dyDescent="0.3">
      <c r="A1180" s="254"/>
      <c r="B1180" s="255" t="s">
        <v>352</v>
      </c>
      <c r="C1180" s="255" t="s">
        <v>353</v>
      </c>
      <c r="D1180" s="255" t="s">
        <v>32</v>
      </c>
      <c r="E1180" s="255"/>
      <c r="F1180" s="255" t="s">
        <v>352</v>
      </c>
      <c r="G1180" s="255" t="s">
        <v>353</v>
      </c>
      <c r="H1180" s="255" t="s">
        <v>32</v>
      </c>
      <c r="I1180" s="255"/>
      <c r="J1180" s="255" t="s">
        <v>352</v>
      </c>
      <c r="K1180" s="255" t="s">
        <v>353</v>
      </c>
      <c r="L1180" s="255" t="s">
        <v>32</v>
      </c>
      <c r="M1180" s="236"/>
      <c r="N1180" s="236"/>
    </row>
    <row r="1181" spans="1:14" x14ac:dyDescent="0.3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  <c r="N1181" s="236"/>
    </row>
    <row r="1182" spans="1:14" x14ac:dyDescent="0.3">
      <c r="A1182" s="237" t="str">
        <f>name!E$4</f>
        <v>Managers, directors and senior officials</v>
      </c>
      <c r="B1182" s="302">
        <v>0.29311992210445542</v>
      </c>
      <c r="C1182" s="302">
        <v>0.25373910572091313</v>
      </c>
      <c r="D1182" s="302">
        <f>SUM(B1182:C1182)</f>
        <v>0.54685902782536855</v>
      </c>
      <c r="E1182" s="303"/>
      <c r="F1182" s="302">
        <v>1.4201520941011732</v>
      </c>
      <c r="G1182" s="302">
        <v>0.96193787600425507</v>
      </c>
      <c r="H1182" s="302">
        <f>SUM(F1182:G1182)</f>
        <v>2.3820899701054281</v>
      </c>
      <c r="I1182" s="303"/>
      <c r="J1182" s="302">
        <v>1.5417699714633841</v>
      </c>
      <c r="K1182" s="302">
        <v>0.8100647638654912</v>
      </c>
      <c r="L1182" s="302">
        <f>SUM(J1182:K1182)</f>
        <v>2.3518347353288753</v>
      </c>
      <c r="M1182" s="236"/>
      <c r="N1182" s="236"/>
    </row>
    <row r="1183" spans="1:14" x14ac:dyDescent="0.3">
      <c r="A1183" s="237" t="str">
        <f>name!E$5</f>
        <v>Professional occupations</v>
      </c>
      <c r="B1183" s="302">
        <v>0.25459462977137048</v>
      </c>
      <c r="C1183" s="302">
        <v>0.540229589689324</v>
      </c>
      <c r="D1183" s="302">
        <f t="shared" ref="D1183:D1190" si="430">SUM(B1183:C1183)</f>
        <v>0.79482421946069448</v>
      </c>
      <c r="E1183" s="303"/>
      <c r="F1183" s="302">
        <v>1.7512813133526506</v>
      </c>
      <c r="G1183" s="302">
        <v>1.8937929133827351</v>
      </c>
      <c r="H1183" s="302">
        <f t="shared" ref="H1183:H1190" si="431">SUM(F1183:G1183)</f>
        <v>3.6450742267353857</v>
      </c>
      <c r="I1183" s="303"/>
      <c r="J1183" s="302">
        <v>1.3143149065795587</v>
      </c>
      <c r="K1183" s="302">
        <v>1.6155194759681568</v>
      </c>
      <c r="L1183" s="302">
        <f t="shared" ref="L1183:L1190" si="432">SUM(J1183:K1183)</f>
        <v>2.9298343825477158</v>
      </c>
      <c r="M1183" s="236"/>
      <c r="N1183" s="236"/>
    </row>
    <row r="1184" spans="1:14" x14ac:dyDescent="0.3">
      <c r="A1184" s="237" t="str">
        <f>name!E$6</f>
        <v>Associate professional occupations</v>
      </c>
      <c r="B1184" s="302">
        <v>0.64987473451286326</v>
      </c>
      <c r="C1184" s="302">
        <v>1.2693855216582446</v>
      </c>
      <c r="D1184" s="302">
        <f t="shared" si="430"/>
        <v>1.9192602561711078</v>
      </c>
      <c r="E1184" s="303"/>
      <c r="F1184" s="302">
        <v>4.8153553812622389</v>
      </c>
      <c r="G1184" s="302">
        <v>4.2064031031693387</v>
      </c>
      <c r="H1184" s="302">
        <f t="shared" si="431"/>
        <v>9.0217584844315777</v>
      </c>
      <c r="I1184" s="303"/>
      <c r="J1184" s="302">
        <v>4.2329555031661812</v>
      </c>
      <c r="K1184" s="302">
        <v>3.2778813950839498</v>
      </c>
      <c r="L1184" s="302">
        <f t="shared" si="432"/>
        <v>7.5108368982501315</v>
      </c>
      <c r="M1184" s="236"/>
      <c r="N1184" s="236"/>
    </row>
    <row r="1185" spans="1:14" x14ac:dyDescent="0.3">
      <c r="A1185" s="237" t="str">
        <f>name!E$7</f>
        <v>Administrative and secretarial occupations</v>
      </c>
      <c r="B1185" s="302">
        <v>0.29578900268308567</v>
      </c>
      <c r="C1185" s="302">
        <v>6.4516751806316552E-2</v>
      </c>
      <c r="D1185" s="302">
        <f t="shared" si="430"/>
        <v>0.36030575448940222</v>
      </c>
      <c r="E1185" s="303"/>
      <c r="F1185" s="302">
        <v>0.82943483378027649</v>
      </c>
      <c r="G1185" s="302">
        <v>0.21890537190684592</v>
      </c>
      <c r="H1185" s="302">
        <f t="shared" si="431"/>
        <v>1.0483402056871225</v>
      </c>
      <c r="I1185" s="303"/>
      <c r="J1185" s="302">
        <v>0.39224768969599993</v>
      </c>
      <c r="K1185" s="302">
        <v>0.13633006465060879</v>
      </c>
      <c r="L1185" s="302">
        <f t="shared" si="432"/>
        <v>0.5285777543466087</v>
      </c>
      <c r="M1185" s="236"/>
      <c r="N1185" s="236"/>
    </row>
    <row r="1186" spans="1:14" x14ac:dyDescent="0.3">
      <c r="A1186" s="237" t="str">
        <f>name!E$8</f>
        <v>Skilled trades occupations</v>
      </c>
      <c r="B1186" s="302">
        <v>0.12529161136352784</v>
      </c>
      <c r="C1186" s="302">
        <v>0.31081935242598957</v>
      </c>
      <c r="D1186" s="302">
        <f t="shared" si="430"/>
        <v>0.43611096378951741</v>
      </c>
      <c r="E1186" s="303"/>
      <c r="F1186" s="302">
        <v>0.91490707289632012</v>
      </c>
      <c r="G1186" s="302">
        <v>0.87532707129721721</v>
      </c>
      <c r="H1186" s="302">
        <f t="shared" si="431"/>
        <v>1.7902341441935374</v>
      </c>
      <c r="I1186" s="303"/>
      <c r="J1186" s="302">
        <v>1.1432894885059837</v>
      </c>
      <c r="K1186" s="302">
        <v>0.62543217883361657</v>
      </c>
      <c r="L1186" s="302">
        <f t="shared" si="432"/>
        <v>1.7687216673396002</v>
      </c>
      <c r="M1186" s="236"/>
      <c r="N1186" s="236"/>
    </row>
    <row r="1187" spans="1:14" x14ac:dyDescent="0.3">
      <c r="A1187" s="237" t="str">
        <f>name!E$9</f>
        <v>Caring, leisure and other service occupations</v>
      </c>
      <c r="B1187" s="302">
        <v>0.16942127457473977</v>
      </c>
      <c r="C1187" s="302">
        <v>0.12339692119610891</v>
      </c>
      <c r="D1187" s="302">
        <f t="shared" si="430"/>
        <v>0.29281819577084867</v>
      </c>
      <c r="E1187" s="303"/>
      <c r="F1187" s="302">
        <v>0.56063151308398074</v>
      </c>
      <c r="G1187" s="302">
        <v>0.38100438458137187</v>
      </c>
      <c r="H1187" s="302">
        <f t="shared" si="431"/>
        <v>0.94163589766535261</v>
      </c>
      <c r="I1187" s="303"/>
      <c r="J1187" s="302">
        <v>0.43683229488110742</v>
      </c>
      <c r="K1187" s="302">
        <v>0.35362747865421734</v>
      </c>
      <c r="L1187" s="302">
        <f t="shared" si="432"/>
        <v>0.79045977353532471</v>
      </c>
      <c r="M1187" s="236"/>
      <c r="N1187" s="236"/>
    </row>
    <row r="1188" spans="1:14" x14ac:dyDescent="0.3">
      <c r="A1188" s="237" t="str">
        <f>name!E$10</f>
        <v>Sales and customer service occupations</v>
      </c>
      <c r="B1188" s="302">
        <v>0.12107275649191569</v>
      </c>
      <c r="C1188" s="302">
        <v>8.9076765385766837E-2</v>
      </c>
      <c r="D1188" s="302">
        <f t="shared" si="430"/>
        <v>0.21014952187768254</v>
      </c>
      <c r="E1188" s="303"/>
      <c r="F1188" s="302">
        <v>0.36918987104422263</v>
      </c>
      <c r="G1188" s="302">
        <v>0.26100407466158171</v>
      </c>
      <c r="H1188" s="302">
        <f t="shared" si="431"/>
        <v>0.63019394570580434</v>
      </c>
      <c r="I1188" s="303"/>
      <c r="J1188" s="302">
        <v>0.29476534481244254</v>
      </c>
      <c r="K1188" s="302">
        <v>0.20253980160548685</v>
      </c>
      <c r="L1188" s="302">
        <f t="shared" si="432"/>
        <v>0.49730514641792939</v>
      </c>
      <c r="M1188" s="236"/>
      <c r="N1188" s="236"/>
    </row>
    <row r="1189" spans="1:14" x14ac:dyDescent="0.3">
      <c r="A1189" s="237" t="str">
        <f>name!E$11</f>
        <v>Process, plant and machine operatives</v>
      </c>
      <c r="B1189" s="302">
        <v>7.410403179748155E-3</v>
      </c>
      <c r="C1189" s="302">
        <v>3.0516845771367769E-2</v>
      </c>
      <c r="D1189" s="302">
        <f t="shared" si="430"/>
        <v>3.7927248951115926E-2</v>
      </c>
      <c r="E1189" s="303"/>
      <c r="F1189" s="302">
        <v>4.8755656213768483E-2</v>
      </c>
      <c r="G1189" s="302">
        <v>9.0194895998575414E-2</v>
      </c>
      <c r="H1189" s="302">
        <f t="shared" si="431"/>
        <v>0.1389505522123439</v>
      </c>
      <c r="I1189" s="303"/>
      <c r="J1189" s="302">
        <v>5.8323161607608982E-2</v>
      </c>
      <c r="K1189" s="302">
        <v>7.5234582140676284E-2</v>
      </c>
      <c r="L1189" s="302">
        <f t="shared" si="432"/>
        <v>0.13355774374828527</v>
      </c>
      <c r="M1189" s="236"/>
      <c r="N1189" s="236"/>
    </row>
    <row r="1190" spans="1:14" x14ac:dyDescent="0.3">
      <c r="A1190" s="237" t="str">
        <f>name!E$12</f>
        <v>Elementary occupations</v>
      </c>
      <c r="B1190" s="302">
        <v>0.20942566532293666</v>
      </c>
      <c r="C1190" s="302">
        <v>0.21631914640028921</v>
      </c>
      <c r="D1190" s="302">
        <f t="shared" si="430"/>
        <v>0.42574481172322587</v>
      </c>
      <c r="E1190" s="303"/>
      <c r="F1190" s="302">
        <v>0.35629226431070571</v>
      </c>
      <c r="G1190" s="302">
        <v>0.52343030911641275</v>
      </c>
      <c r="H1190" s="302">
        <f t="shared" si="431"/>
        <v>0.87972257342711846</v>
      </c>
      <c r="I1190" s="303"/>
      <c r="J1190" s="302">
        <v>0.22050163938833076</v>
      </c>
      <c r="K1190" s="302">
        <v>0.33937025936804871</v>
      </c>
      <c r="L1190" s="302">
        <f t="shared" si="432"/>
        <v>0.55987189875637944</v>
      </c>
      <c r="M1190" s="236"/>
      <c r="N1190" s="236"/>
    </row>
    <row r="1191" spans="1:14" x14ac:dyDescent="0.3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  <c r="N1191" s="236"/>
    </row>
    <row r="1192" spans="1:14" x14ac:dyDescent="0.3">
      <c r="A1192" s="244" t="s">
        <v>32</v>
      </c>
      <c r="B1192" s="311">
        <f>SUM(B1182:B1190)</f>
        <v>2.1260000000046428</v>
      </c>
      <c r="C1192" s="311">
        <f t="shared" ref="C1192:D1192" si="433">SUM(C1182:C1190)</f>
        <v>2.8980000000543202</v>
      </c>
      <c r="D1192" s="311">
        <f t="shared" si="433"/>
        <v>5.0240000000589635</v>
      </c>
      <c r="E1192" s="311"/>
      <c r="F1192" s="311">
        <f t="shared" ref="F1192:H1192" si="434">SUM(F1182:F1190)</f>
        <v>11.066000000045337</v>
      </c>
      <c r="G1192" s="311">
        <f t="shared" si="434"/>
        <v>9.4120000001183328</v>
      </c>
      <c r="H1192" s="311">
        <f t="shared" si="434"/>
        <v>20.478000000163672</v>
      </c>
      <c r="I1192" s="311"/>
      <c r="J1192" s="311">
        <f t="shared" ref="J1192:L1192" si="435">SUM(J1182:J1190)</f>
        <v>9.6350000001005984</v>
      </c>
      <c r="K1192" s="311">
        <f t="shared" si="435"/>
        <v>7.4360000001702504</v>
      </c>
      <c r="L1192" s="311">
        <f t="shared" si="435"/>
        <v>17.07100000027085</v>
      </c>
      <c r="M1192" s="236"/>
      <c r="N1192" s="236"/>
    </row>
    <row r="1193" spans="1:14" x14ac:dyDescent="0.3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  <c r="N1193" s="236"/>
    </row>
    <row r="1194" spans="1:14" x14ac:dyDescent="0.3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56" t="s">
        <v>35</v>
      </c>
      <c r="M1194" s="236"/>
      <c r="N1194" s="236"/>
    </row>
    <row r="1195" spans="1:14" x14ac:dyDescent="0.3">
      <c r="A1195" s="242"/>
      <c r="B1195" s="250"/>
      <c r="C1195" s="250"/>
      <c r="D1195" s="250"/>
      <c r="E1195" s="250"/>
      <c r="F1195" s="250"/>
      <c r="G1195" s="250"/>
      <c r="H1195" s="250"/>
      <c r="I1195" s="250"/>
      <c r="J1195" s="250"/>
      <c r="K1195" s="250"/>
      <c r="L1195" s="236"/>
      <c r="M1195" s="236"/>
      <c r="N1195" s="236"/>
    </row>
    <row r="1196" spans="1:14" x14ac:dyDescent="0.3">
      <c r="A1196" s="241" t="str">
        <f>name!A73</f>
        <v>Libraries, etc</v>
      </c>
      <c r="B1196" s="373">
        <f>B$6</f>
        <v>2015</v>
      </c>
      <c r="C1196" s="373"/>
      <c r="D1196" s="373"/>
      <c r="E1196" s="253"/>
      <c r="F1196" s="373">
        <f>F$6</f>
        <v>2020</v>
      </c>
      <c r="G1196" s="373"/>
      <c r="H1196" s="373"/>
      <c r="I1196" s="253"/>
      <c r="J1196" s="373">
        <f>J$6</f>
        <v>2035</v>
      </c>
      <c r="K1196" s="373"/>
      <c r="L1196" s="373"/>
      <c r="M1196" s="236"/>
      <c r="N1196" s="236"/>
    </row>
    <row r="1197" spans="1:14" x14ac:dyDescent="0.3">
      <c r="A1197" s="254"/>
      <c r="B1197" s="255" t="s">
        <v>352</v>
      </c>
      <c r="C1197" s="255" t="s">
        <v>353</v>
      </c>
      <c r="D1197" s="255" t="s">
        <v>32</v>
      </c>
      <c r="E1197" s="255"/>
      <c r="F1197" s="255" t="s">
        <v>352</v>
      </c>
      <c r="G1197" s="255" t="s">
        <v>353</v>
      </c>
      <c r="H1197" s="255" t="s">
        <v>32</v>
      </c>
      <c r="I1197" s="255"/>
      <c r="J1197" s="255" t="s">
        <v>352</v>
      </c>
      <c r="K1197" s="255" t="s">
        <v>353</v>
      </c>
      <c r="L1197" s="255" t="s">
        <v>32</v>
      </c>
      <c r="M1197" s="236"/>
      <c r="N1197" s="236"/>
    </row>
    <row r="1198" spans="1:14" x14ac:dyDescent="0.3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  <c r="N1198" s="236"/>
    </row>
    <row r="1199" spans="1:14" x14ac:dyDescent="0.3">
      <c r="A1199" s="237" t="str">
        <f>name!E$4</f>
        <v>Managers, directors and senior officials</v>
      </c>
      <c r="B1199" s="302">
        <v>1.4179239485339477</v>
      </c>
      <c r="C1199" s="302">
        <v>0.80457283545929548</v>
      </c>
      <c r="D1199" s="302">
        <f>SUM(B1199:C1199)</f>
        <v>2.2224967839932432</v>
      </c>
      <c r="E1199" s="303"/>
      <c r="F1199" s="302">
        <v>2.0450144126991208</v>
      </c>
      <c r="G1199" s="302">
        <v>0.63290017645280272</v>
      </c>
      <c r="H1199" s="302">
        <f>SUM(F1199:G1199)</f>
        <v>2.6779145891519236</v>
      </c>
      <c r="I1199" s="303"/>
      <c r="J1199" s="302">
        <v>2.3555056476482221</v>
      </c>
      <c r="K1199" s="302">
        <v>0.53403959992575467</v>
      </c>
      <c r="L1199" s="302">
        <f>SUM(J1199:K1199)</f>
        <v>2.8895452475739769</v>
      </c>
      <c r="M1199" s="236"/>
      <c r="N1199" s="236"/>
    </row>
    <row r="1200" spans="1:14" x14ac:dyDescent="0.3">
      <c r="A1200" s="237" t="str">
        <f>name!E$5</f>
        <v>Professional occupations</v>
      </c>
      <c r="B1200" s="302">
        <v>1.0493048656575288</v>
      </c>
      <c r="C1200" s="302">
        <v>1.3622831815960508</v>
      </c>
      <c r="D1200" s="302">
        <f t="shared" ref="D1200:D1207" si="436">SUM(B1200:C1200)</f>
        <v>2.4115880472535798</v>
      </c>
      <c r="E1200" s="303"/>
      <c r="F1200" s="302">
        <v>2.1048018075453823</v>
      </c>
      <c r="G1200" s="302">
        <v>1.2758323222432155</v>
      </c>
      <c r="H1200" s="302">
        <f t="shared" ref="H1200:H1207" si="437">SUM(F1200:G1200)</f>
        <v>3.3806341297885978</v>
      </c>
      <c r="I1200" s="303"/>
      <c r="J1200" s="302">
        <v>1.615223175700603</v>
      </c>
      <c r="K1200" s="302">
        <v>1.0885531938718926</v>
      </c>
      <c r="L1200" s="302">
        <f t="shared" ref="L1200:L1207" si="438">SUM(J1200:K1200)</f>
        <v>2.7037763695724957</v>
      </c>
      <c r="M1200" s="236"/>
      <c r="N1200" s="236"/>
    </row>
    <row r="1201" spans="1:14" x14ac:dyDescent="0.3">
      <c r="A1201" s="237" t="str">
        <f>name!E$6</f>
        <v>Associate professional occupations</v>
      </c>
      <c r="B1201" s="302">
        <v>2.2686443804629381</v>
      </c>
      <c r="C1201" s="302">
        <v>2.9990992993448709</v>
      </c>
      <c r="D1201" s="302">
        <f t="shared" si="436"/>
        <v>5.2677436798078094</v>
      </c>
      <c r="E1201" s="303"/>
      <c r="F1201" s="302">
        <v>5.4365581483566796</v>
      </c>
      <c r="G1201" s="302">
        <v>2.8510262804760229</v>
      </c>
      <c r="H1201" s="302">
        <f t="shared" si="437"/>
        <v>8.2875844288327016</v>
      </c>
      <c r="I1201" s="303"/>
      <c r="J1201" s="302">
        <v>4.7591682125489179</v>
      </c>
      <c r="K1201" s="302">
        <v>2.2137126358400696</v>
      </c>
      <c r="L1201" s="302">
        <f t="shared" si="438"/>
        <v>6.9728808483889875</v>
      </c>
      <c r="M1201" s="236"/>
      <c r="N1201" s="236"/>
    </row>
    <row r="1202" spans="1:14" x14ac:dyDescent="0.3">
      <c r="A1202" s="237" t="str">
        <f>name!E$7</f>
        <v>Administrative and secretarial occupations</v>
      </c>
      <c r="B1202" s="302">
        <v>1.1175205776620527</v>
      </c>
      <c r="C1202" s="302">
        <v>0.14793927319412956</v>
      </c>
      <c r="D1202" s="302">
        <f t="shared" si="436"/>
        <v>1.2654598508561823</v>
      </c>
      <c r="E1202" s="303"/>
      <c r="F1202" s="302">
        <v>1.3354418832786921</v>
      </c>
      <c r="G1202" s="302">
        <v>0.15030351714105022</v>
      </c>
      <c r="H1202" s="302">
        <f t="shared" si="437"/>
        <v>1.4857454004197423</v>
      </c>
      <c r="I1202" s="303"/>
      <c r="J1202" s="302">
        <v>0.66032251724931434</v>
      </c>
      <c r="K1202" s="302">
        <v>9.189323597442782E-2</v>
      </c>
      <c r="L1202" s="302">
        <f t="shared" si="438"/>
        <v>0.75221575322374212</v>
      </c>
      <c r="M1202" s="236"/>
      <c r="N1202" s="236"/>
    </row>
    <row r="1203" spans="1:14" x14ac:dyDescent="0.3">
      <c r="A1203" s="237" t="str">
        <f>name!E$8</f>
        <v>Skilled trades occupations</v>
      </c>
      <c r="B1203" s="302">
        <v>0.49863296644334482</v>
      </c>
      <c r="C1203" s="302">
        <v>0.87928903687907067</v>
      </c>
      <c r="D1203" s="302">
        <f t="shared" si="436"/>
        <v>1.3779220033224155</v>
      </c>
      <c r="E1203" s="303"/>
      <c r="F1203" s="302">
        <v>1.0818562040568105</v>
      </c>
      <c r="G1203" s="302">
        <v>0.58248789208446505</v>
      </c>
      <c r="H1203" s="302">
        <f t="shared" si="437"/>
        <v>1.6643440961412757</v>
      </c>
      <c r="I1203" s="303"/>
      <c r="J1203" s="302">
        <v>1.4165453148507283</v>
      </c>
      <c r="K1203" s="302">
        <v>0.41964459401898874</v>
      </c>
      <c r="L1203" s="302">
        <f t="shared" si="438"/>
        <v>1.8361899088697171</v>
      </c>
      <c r="M1203" s="236"/>
      <c r="N1203" s="236"/>
    </row>
    <row r="1204" spans="1:14" x14ac:dyDescent="0.3">
      <c r="A1204" s="237" t="str">
        <f>name!E$9</f>
        <v>Caring, leisure and other service occupations</v>
      </c>
      <c r="B1204" s="302">
        <v>0.6558077021029266</v>
      </c>
      <c r="C1204" s="302">
        <v>0.26352939788266383</v>
      </c>
      <c r="D1204" s="302">
        <f t="shared" si="436"/>
        <v>0.91933709998559043</v>
      </c>
      <c r="E1204" s="303"/>
      <c r="F1204" s="302">
        <v>0.81756089569380452</v>
      </c>
      <c r="G1204" s="302">
        <v>0.26250806704074126</v>
      </c>
      <c r="H1204" s="302">
        <f t="shared" si="437"/>
        <v>1.0800689627345457</v>
      </c>
      <c r="I1204" s="303"/>
      <c r="J1204" s="302">
        <v>0.64688405893354006</v>
      </c>
      <c r="K1204" s="302">
        <v>0.24404794990411799</v>
      </c>
      <c r="L1204" s="302">
        <f t="shared" si="438"/>
        <v>0.890932008837658</v>
      </c>
      <c r="M1204" s="236"/>
      <c r="N1204" s="236"/>
    </row>
    <row r="1205" spans="1:14" x14ac:dyDescent="0.3">
      <c r="A1205" s="237" t="str">
        <f>name!E$10</f>
        <v>Sales and customer service occupations</v>
      </c>
      <c r="B1205" s="302">
        <v>0.51642162221769305</v>
      </c>
      <c r="C1205" s="302">
        <v>0.17994239779475044</v>
      </c>
      <c r="D1205" s="302">
        <f t="shared" si="436"/>
        <v>0.69636402001244346</v>
      </c>
      <c r="E1205" s="303"/>
      <c r="F1205" s="302">
        <v>0.56874361905782089</v>
      </c>
      <c r="G1205" s="302">
        <v>0.18092703413684433</v>
      </c>
      <c r="H1205" s="302">
        <f t="shared" si="437"/>
        <v>0.74967065319466519</v>
      </c>
      <c r="I1205" s="303"/>
      <c r="J1205" s="302">
        <v>0.47941471709987604</v>
      </c>
      <c r="K1205" s="302">
        <v>0.13996092534827714</v>
      </c>
      <c r="L1205" s="302">
        <f t="shared" si="438"/>
        <v>0.61937564244815313</v>
      </c>
      <c r="M1205" s="236"/>
      <c r="N1205" s="236"/>
    </row>
    <row r="1206" spans="1:14" x14ac:dyDescent="0.3">
      <c r="A1206" s="237" t="str">
        <f>name!E$11</f>
        <v>Process, plant and machine operatives</v>
      </c>
      <c r="B1206" s="302">
        <v>2.6576446497112036E-2</v>
      </c>
      <c r="C1206" s="302">
        <v>7.6013572838542806E-2</v>
      </c>
      <c r="D1206" s="302">
        <f t="shared" si="436"/>
        <v>0.10259001933565484</v>
      </c>
      <c r="E1206" s="303"/>
      <c r="F1206" s="302">
        <v>5.6553010793402282E-2</v>
      </c>
      <c r="G1206" s="302">
        <v>6.1652072556740253E-2</v>
      </c>
      <c r="H1206" s="302">
        <f t="shared" si="437"/>
        <v>0.11820508335014254</v>
      </c>
      <c r="I1206" s="303"/>
      <c r="J1206" s="302">
        <v>6.9352843739160466E-2</v>
      </c>
      <c r="K1206" s="302">
        <v>5.2018337875556632E-2</v>
      </c>
      <c r="L1206" s="302">
        <f t="shared" si="438"/>
        <v>0.12137118161471711</v>
      </c>
      <c r="M1206" s="236"/>
      <c r="N1206" s="236"/>
    </row>
    <row r="1207" spans="1:14" ht="13.5" customHeight="1" x14ac:dyDescent="0.3">
      <c r="A1207" s="237" t="str">
        <f>name!E$12</f>
        <v>Elementary occupations</v>
      </c>
      <c r="B1207" s="302">
        <v>0.69816749042272364</v>
      </c>
      <c r="C1207" s="302">
        <v>0.35333100511652832</v>
      </c>
      <c r="D1207" s="302">
        <f t="shared" si="436"/>
        <v>1.0514984955392519</v>
      </c>
      <c r="E1207" s="303"/>
      <c r="F1207" s="302">
        <v>0.67247001856723954</v>
      </c>
      <c r="G1207" s="302">
        <v>0.37036263795021268</v>
      </c>
      <c r="H1207" s="302">
        <f t="shared" si="437"/>
        <v>1.0428326565174522</v>
      </c>
      <c r="I1207" s="303"/>
      <c r="J1207" s="302">
        <v>0.37558351232876053</v>
      </c>
      <c r="K1207" s="302">
        <v>0.2391295273589385</v>
      </c>
      <c r="L1207" s="302">
        <f t="shared" si="438"/>
        <v>0.61471303968769897</v>
      </c>
      <c r="M1207" s="236"/>
      <c r="N1207" s="236"/>
    </row>
    <row r="1208" spans="1:14" ht="13.5" customHeight="1" x14ac:dyDescent="0.3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  <c r="N1208" s="236"/>
    </row>
    <row r="1209" spans="1:14" x14ac:dyDescent="0.3">
      <c r="A1209" s="244" t="s">
        <v>32</v>
      </c>
      <c r="B1209" s="311">
        <f>SUM(B1199:B1207)</f>
        <v>8.249000000000267</v>
      </c>
      <c r="C1209" s="311">
        <f t="shared" ref="C1209:D1209" si="439">SUM(C1199:C1207)</f>
        <v>7.0660000001059018</v>
      </c>
      <c r="D1209" s="311">
        <f t="shared" si="439"/>
        <v>15.315000000106171</v>
      </c>
      <c r="E1209" s="311"/>
      <c r="F1209" s="311">
        <f t="shared" ref="F1209:H1209" si="440">SUM(F1199:F1207)</f>
        <v>14.119000000048953</v>
      </c>
      <c r="G1209" s="311">
        <f t="shared" si="440"/>
        <v>6.3680000000820955</v>
      </c>
      <c r="H1209" s="311">
        <f t="shared" si="440"/>
        <v>20.487000000131047</v>
      </c>
      <c r="I1209" s="311"/>
      <c r="J1209" s="311">
        <f t="shared" ref="J1209:L1209" si="441">SUM(J1199:J1207)</f>
        <v>12.378000000099124</v>
      </c>
      <c r="K1209" s="311">
        <f t="shared" si="441"/>
        <v>5.0230000001180244</v>
      </c>
      <c r="L1209" s="311">
        <f t="shared" si="441"/>
        <v>17.401000000217149</v>
      </c>
      <c r="M1209" s="236"/>
      <c r="N1209" s="236"/>
    </row>
    <row r="1210" spans="1:14" x14ac:dyDescent="0.3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  <c r="N1210" s="236"/>
    </row>
    <row r="1211" spans="1:14" x14ac:dyDescent="0.3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56" t="s">
        <v>35</v>
      </c>
      <c r="M1211" s="236"/>
      <c r="N1211" s="236"/>
    </row>
    <row r="1212" spans="1:14" x14ac:dyDescent="0.3">
      <c r="A1212" s="242"/>
      <c r="B1212" s="250"/>
      <c r="C1212" s="250"/>
      <c r="D1212" s="250"/>
      <c r="E1212" s="250"/>
      <c r="F1212" s="250"/>
      <c r="G1212" s="250"/>
      <c r="H1212" s="250"/>
      <c r="I1212" s="250"/>
      <c r="J1212" s="250"/>
      <c r="K1212" s="250"/>
      <c r="L1212" s="236"/>
      <c r="M1212" s="236"/>
      <c r="N1212" s="236"/>
    </row>
    <row r="1213" spans="1:14" x14ac:dyDescent="0.3">
      <c r="A1213" s="241" t="str">
        <f>name!A74</f>
        <v>Gambling and betting</v>
      </c>
      <c r="B1213" s="373">
        <f>B$6</f>
        <v>2015</v>
      </c>
      <c r="C1213" s="373"/>
      <c r="D1213" s="373"/>
      <c r="E1213" s="253"/>
      <c r="F1213" s="373">
        <f>F$6</f>
        <v>2020</v>
      </c>
      <c r="G1213" s="373"/>
      <c r="H1213" s="373"/>
      <c r="I1213" s="253"/>
      <c r="J1213" s="373">
        <f>J$6</f>
        <v>2035</v>
      </c>
      <c r="K1213" s="373"/>
      <c r="L1213" s="373"/>
      <c r="M1213" s="236"/>
      <c r="N1213" s="236"/>
    </row>
    <row r="1214" spans="1:14" x14ac:dyDescent="0.3">
      <c r="A1214" s="254"/>
      <c r="B1214" s="255" t="s">
        <v>352</v>
      </c>
      <c r="C1214" s="255" t="s">
        <v>353</v>
      </c>
      <c r="D1214" s="255" t="s">
        <v>32</v>
      </c>
      <c r="E1214" s="255"/>
      <c r="F1214" s="255" t="s">
        <v>352</v>
      </c>
      <c r="G1214" s="255" t="s">
        <v>353</v>
      </c>
      <c r="H1214" s="255" t="s">
        <v>32</v>
      </c>
      <c r="I1214" s="255"/>
      <c r="J1214" s="255" t="s">
        <v>352</v>
      </c>
      <c r="K1214" s="255" t="s">
        <v>353</v>
      </c>
      <c r="L1214" s="255" t="s">
        <v>32</v>
      </c>
      <c r="M1214" s="236"/>
      <c r="N1214" s="236"/>
    </row>
    <row r="1215" spans="1:14" x14ac:dyDescent="0.3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  <c r="N1215" s="236"/>
    </row>
    <row r="1216" spans="1:14" x14ac:dyDescent="0.3">
      <c r="A1216" s="237" t="str">
        <f>name!E$4</f>
        <v>Managers, directors and senior officials</v>
      </c>
      <c r="B1216" s="302">
        <v>0.60214823996495814</v>
      </c>
      <c r="C1216" s="302">
        <v>1.0061769206232918</v>
      </c>
      <c r="D1216" s="302">
        <f>SUM(B1216:C1216)</f>
        <v>1.60832516058825</v>
      </c>
      <c r="E1216" s="303"/>
      <c r="F1216" s="302">
        <v>0.38996547692942718</v>
      </c>
      <c r="G1216" s="302">
        <v>0.70481960969994006</v>
      </c>
      <c r="H1216" s="302">
        <f>SUM(F1216:G1216)</f>
        <v>1.0947850866293671</v>
      </c>
      <c r="I1216" s="303"/>
      <c r="J1216" s="302">
        <v>0.55023912241316808</v>
      </c>
      <c r="K1216" s="302">
        <v>0.80659729998161989</v>
      </c>
      <c r="L1216" s="302">
        <f>SUM(J1216:K1216)</f>
        <v>1.356836422394788</v>
      </c>
      <c r="M1216" s="236"/>
      <c r="N1216" s="236"/>
    </row>
    <row r="1217" spans="1:14" x14ac:dyDescent="0.3">
      <c r="A1217" s="237" t="str">
        <f>name!E$5</f>
        <v>Professional occupations</v>
      </c>
      <c r="B1217" s="302">
        <v>0.34571308225919195</v>
      </c>
      <c r="C1217" s="302">
        <v>1.1250705434980091</v>
      </c>
      <c r="D1217" s="302">
        <f t="shared" ref="D1217:D1224" si="442">SUM(B1217:C1217)</f>
        <v>1.4707836257572011</v>
      </c>
      <c r="E1217" s="303"/>
      <c r="F1217" s="302">
        <v>0.24321388111786713</v>
      </c>
      <c r="G1217" s="302">
        <v>0.96359028674014557</v>
      </c>
      <c r="H1217" s="302">
        <f t="shared" ref="H1217:H1224" si="443">SUM(F1217:G1217)</f>
        <v>1.2068041678580128</v>
      </c>
      <c r="I1217" s="303"/>
      <c r="J1217" s="302">
        <v>0.2224412057919021</v>
      </c>
      <c r="K1217" s="302">
        <v>1.2552428536220506</v>
      </c>
      <c r="L1217" s="302">
        <f t="shared" ref="L1217:L1224" si="444">SUM(J1217:K1217)</f>
        <v>1.4776840594139526</v>
      </c>
      <c r="M1217" s="236"/>
      <c r="N1217" s="236"/>
    </row>
    <row r="1218" spans="1:14" x14ac:dyDescent="0.3">
      <c r="A1218" s="237" t="str">
        <f>name!E$6</f>
        <v>Associate professional occupations</v>
      </c>
      <c r="B1218" s="302">
        <v>0.53780637293299605</v>
      </c>
      <c r="C1218" s="302">
        <v>2.0271897335961873</v>
      </c>
      <c r="D1218" s="302">
        <f t="shared" si="442"/>
        <v>2.5649961065291835</v>
      </c>
      <c r="E1218" s="303"/>
      <c r="F1218" s="302">
        <v>0.36481841675843701</v>
      </c>
      <c r="G1218" s="302">
        <v>1.5895884507955911</v>
      </c>
      <c r="H1218" s="302">
        <f t="shared" si="443"/>
        <v>1.954406867554028</v>
      </c>
      <c r="I1218" s="303"/>
      <c r="J1218" s="302">
        <v>0.33778743888697449</v>
      </c>
      <c r="K1218" s="302">
        <v>1.7787397805912841</v>
      </c>
      <c r="L1218" s="302">
        <f t="shared" si="444"/>
        <v>2.1165272194782587</v>
      </c>
      <c r="M1218" s="236"/>
      <c r="N1218" s="236"/>
    </row>
    <row r="1219" spans="1:14" x14ac:dyDescent="0.3">
      <c r="A1219" s="237" t="str">
        <f>name!E$7</f>
        <v>Administrative and secretarial occupations</v>
      </c>
      <c r="B1219" s="302">
        <v>0.42407552608160565</v>
      </c>
      <c r="C1219" s="302">
        <v>0.24332529930879143</v>
      </c>
      <c r="D1219" s="302">
        <f t="shared" si="442"/>
        <v>0.66740082539039713</v>
      </c>
      <c r="E1219" s="303"/>
      <c r="F1219" s="302">
        <v>0.23610437156163136</v>
      </c>
      <c r="G1219" s="302">
        <v>0.18725300167890235</v>
      </c>
      <c r="H1219" s="302">
        <f t="shared" si="443"/>
        <v>0.42335737324053369</v>
      </c>
      <c r="I1219" s="303"/>
      <c r="J1219" s="302">
        <v>0.13460482339807323</v>
      </c>
      <c r="K1219" s="302">
        <v>0.1531423283781099</v>
      </c>
      <c r="L1219" s="302">
        <f t="shared" si="444"/>
        <v>0.28774715177618315</v>
      </c>
      <c r="M1219" s="236"/>
      <c r="N1219" s="236"/>
    </row>
    <row r="1220" spans="1:14" x14ac:dyDescent="0.3">
      <c r="A1220" s="237" t="str">
        <f>name!E$8</f>
        <v>Skilled trades occupations</v>
      </c>
      <c r="B1220" s="302">
        <v>0.15904142196025453</v>
      </c>
      <c r="C1220" s="302">
        <v>1.1037538396258526</v>
      </c>
      <c r="D1220" s="302">
        <f t="shared" si="442"/>
        <v>1.2627952615861071</v>
      </c>
      <c r="E1220" s="303"/>
      <c r="F1220" s="302">
        <v>0.10683918109614855</v>
      </c>
      <c r="G1220" s="302">
        <v>0.61254268706284054</v>
      </c>
      <c r="H1220" s="302">
        <f t="shared" si="443"/>
        <v>0.71938186815898908</v>
      </c>
      <c r="I1220" s="303"/>
      <c r="J1220" s="302">
        <v>0.17394961048572091</v>
      </c>
      <c r="K1220" s="302">
        <v>0.57763655216306831</v>
      </c>
      <c r="L1220" s="302">
        <f t="shared" si="444"/>
        <v>0.75158616264878919</v>
      </c>
      <c r="M1220" s="236"/>
      <c r="N1220" s="236"/>
    </row>
    <row r="1221" spans="1:14" x14ac:dyDescent="0.3">
      <c r="A1221" s="237" t="str">
        <f>name!E$9</f>
        <v>Caring, leisure and other service occupations</v>
      </c>
      <c r="B1221" s="302">
        <v>0.2462795691297831</v>
      </c>
      <c r="C1221" s="302">
        <v>0.48462477669683834</v>
      </c>
      <c r="D1221" s="302">
        <f t="shared" si="442"/>
        <v>0.73090434582662145</v>
      </c>
      <c r="E1221" s="303"/>
      <c r="F1221" s="302">
        <v>0.12616082226969649</v>
      </c>
      <c r="G1221" s="302">
        <v>0.33175587624200881</v>
      </c>
      <c r="H1221" s="302">
        <f t="shared" si="443"/>
        <v>0.4579166985117053</v>
      </c>
      <c r="I1221" s="303"/>
      <c r="J1221" s="302">
        <v>0.11071425885562484</v>
      </c>
      <c r="K1221" s="302">
        <v>0.40955555198180849</v>
      </c>
      <c r="L1221" s="302">
        <f t="shared" si="444"/>
        <v>0.52026981083743329</v>
      </c>
      <c r="M1221" s="236"/>
      <c r="N1221" s="236"/>
    </row>
    <row r="1222" spans="1:14" x14ac:dyDescent="0.3">
      <c r="A1222" s="237" t="str">
        <f>name!E$10</f>
        <v>Sales and customer service occupations</v>
      </c>
      <c r="B1222" s="302">
        <v>0.21051708582892939</v>
      </c>
      <c r="C1222" s="302">
        <v>0.29001541456203778</v>
      </c>
      <c r="D1222" s="302">
        <f t="shared" si="442"/>
        <v>0.50053250039096719</v>
      </c>
      <c r="E1222" s="303"/>
      <c r="F1222" s="302">
        <v>0.11012702345964354</v>
      </c>
      <c r="G1222" s="302">
        <v>0.2054213251673323</v>
      </c>
      <c r="H1222" s="302">
        <f t="shared" si="443"/>
        <v>0.31554834862697584</v>
      </c>
      <c r="I1222" s="303"/>
      <c r="J1222" s="302">
        <v>0.1100358545358476</v>
      </c>
      <c r="K1222" s="302">
        <v>0.22743077686869453</v>
      </c>
      <c r="L1222" s="302">
        <f t="shared" si="444"/>
        <v>0.33746663140454214</v>
      </c>
      <c r="M1222" s="236"/>
      <c r="N1222" s="236"/>
    </row>
    <row r="1223" spans="1:14" x14ac:dyDescent="0.3">
      <c r="A1223" s="237" t="str">
        <f>name!E$11</f>
        <v>Process, plant and machine operatives</v>
      </c>
      <c r="B1223" s="302">
        <v>7.4384431986607921E-3</v>
      </c>
      <c r="C1223" s="302">
        <v>0.12140932518631913</v>
      </c>
      <c r="D1223" s="302">
        <f t="shared" si="442"/>
        <v>0.12884776838497991</v>
      </c>
      <c r="E1223" s="303"/>
      <c r="F1223" s="302">
        <v>4.2902541510285259E-3</v>
      </c>
      <c r="G1223" s="302">
        <v>7.1929308226612254E-2</v>
      </c>
      <c r="H1223" s="302">
        <f t="shared" si="443"/>
        <v>7.6219562377640784E-2</v>
      </c>
      <c r="I1223" s="303"/>
      <c r="J1223" s="302">
        <v>5.9101523362246966E-3</v>
      </c>
      <c r="K1223" s="302">
        <v>7.6895903993127582E-2</v>
      </c>
      <c r="L1223" s="302">
        <f t="shared" si="444"/>
        <v>8.2806056329352284E-2</v>
      </c>
      <c r="M1223" s="236"/>
      <c r="N1223" s="236"/>
    </row>
    <row r="1224" spans="1:14" x14ac:dyDescent="0.3">
      <c r="A1224" s="237" t="str">
        <f>name!E$12</f>
        <v>Elementary occupations</v>
      </c>
      <c r="B1224" s="302">
        <v>0.24998025864165957</v>
      </c>
      <c r="C1224" s="302">
        <v>0.74843414690960486</v>
      </c>
      <c r="D1224" s="302">
        <f t="shared" si="442"/>
        <v>0.99841440555126448</v>
      </c>
      <c r="E1224" s="303"/>
      <c r="F1224" s="302">
        <v>0.12048057266088782</v>
      </c>
      <c r="G1224" s="302">
        <v>0.46109945439198213</v>
      </c>
      <c r="H1224" s="302">
        <f t="shared" si="443"/>
        <v>0.58158002705286993</v>
      </c>
      <c r="I1224" s="303"/>
      <c r="J1224" s="302">
        <v>6.8317533300610342E-2</v>
      </c>
      <c r="K1224" s="302">
        <v>0.40175895244107884</v>
      </c>
      <c r="L1224" s="302">
        <f t="shared" si="444"/>
        <v>0.4700764857416892</v>
      </c>
      <c r="M1224" s="236"/>
      <c r="N1224" s="236"/>
    </row>
    <row r="1225" spans="1:14" x14ac:dyDescent="0.3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  <c r="N1225" s="236"/>
    </row>
    <row r="1226" spans="1:14" x14ac:dyDescent="0.3">
      <c r="A1226" s="244" t="s">
        <v>32</v>
      </c>
      <c r="B1226" s="311">
        <f>SUM(B1216:B1224)</f>
        <v>2.7829999999980397</v>
      </c>
      <c r="C1226" s="311">
        <f t="shared" ref="C1226:D1226" si="445">SUM(C1216:C1224)</f>
        <v>7.1500000000069326</v>
      </c>
      <c r="D1226" s="311">
        <f t="shared" si="445"/>
        <v>9.9330000000049719</v>
      </c>
      <c r="E1226" s="311"/>
      <c r="F1226" s="311">
        <f t="shared" ref="F1226:H1226" si="446">SUM(F1216:F1224)</f>
        <v>1.7020000000047675</v>
      </c>
      <c r="G1226" s="311">
        <f t="shared" si="446"/>
        <v>5.1280000000053549</v>
      </c>
      <c r="H1226" s="311">
        <f t="shared" si="446"/>
        <v>6.8300000000101226</v>
      </c>
      <c r="I1226" s="311"/>
      <c r="J1226" s="311">
        <f t="shared" ref="J1226:L1226" si="447">SUM(J1216:J1224)</f>
        <v>1.7140000000041462</v>
      </c>
      <c r="K1226" s="311">
        <f t="shared" si="447"/>
        <v>5.6870000000208432</v>
      </c>
      <c r="L1226" s="311">
        <f t="shared" si="447"/>
        <v>7.4010000000249887</v>
      </c>
      <c r="M1226" s="236"/>
      <c r="N1226" s="236"/>
    </row>
    <row r="1227" spans="1:14" x14ac:dyDescent="0.3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  <c r="N1227" s="236"/>
    </row>
    <row r="1228" spans="1:14" x14ac:dyDescent="0.3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56" t="s">
        <v>35</v>
      </c>
      <c r="M1228" s="236"/>
      <c r="N1228" s="236"/>
    </row>
    <row r="1229" spans="1:14" x14ac:dyDescent="0.3">
      <c r="A1229" s="242"/>
      <c r="B1229" s="250"/>
      <c r="C1229" s="250"/>
      <c r="D1229" s="250"/>
      <c r="E1229" s="250"/>
      <c r="F1229" s="250"/>
      <c r="G1229" s="250"/>
      <c r="H1229" s="250"/>
      <c r="I1229" s="250"/>
      <c r="J1229" s="250"/>
      <c r="K1229" s="250"/>
      <c r="L1229" s="236"/>
      <c r="M1229" s="236"/>
      <c r="N1229" s="236"/>
    </row>
    <row r="1230" spans="1:14" x14ac:dyDescent="0.3">
      <c r="A1230" s="241" t="str">
        <f>name!A75</f>
        <v>Sport and recreation</v>
      </c>
      <c r="B1230" s="373">
        <f>B$6</f>
        <v>2015</v>
      </c>
      <c r="C1230" s="373"/>
      <c r="D1230" s="373"/>
      <c r="E1230" s="253"/>
      <c r="F1230" s="373">
        <f>F$6</f>
        <v>2020</v>
      </c>
      <c r="G1230" s="373"/>
      <c r="H1230" s="373"/>
      <c r="I1230" s="253"/>
      <c r="J1230" s="373">
        <f>J$6</f>
        <v>2035</v>
      </c>
      <c r="K1230" s="373"/>
      <c r="L1230" s="373"/>
      <c r="M1230" s="236"/>
      <c r="N1230" s="236"/>
    </row>
    <row r="1231" spans="1:14" x14ac:dyDescent="0.3">
      <c r="A1231" s="254"/>
      <c r="B1231" s="255" t="s">
        <v>352</v>
      </c>
      <c r="C1231" s="255" t="s">
        <v>353</v>
      </c>
      <c r="D1231" s="255" t="s">
        <v>32</v>
      </c>
      <c r="E1231" s="255"/>
      <c r="F1231" s="255" t="s">
        <v>352</v>
      </c>
      <c r="G1231" s="255" t="s">
        <v>353</v>
      </c>
      <c r="H1231" s="255" t="s">
        <v>32</v>
      </c>
      <c r="I1231" s="255"/>
      <c r="J1231" s="255" t="s">
        <v>352</v>
      </c>
      <c r="K1231" s="255" t="s">
        <v>353</v>
      </c>
      <c r="L1231" s="255" t="s">
        <v>32</v>
      </c>
      <c r="M1231" s="236"/>
      <c r="N1231" s="236"/>
    </row>
    <row r="1232" spans="1:14" x14ac:dyDescent="0.3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  <c r="N1232" s="236"/>
    </row>
    <row r="1233" spans="1:14" x14ac:dyDescent="0.3">
      <c r="A1233" s="237" t="str">
        <f>name!E$4</f>
        <v>Managers, directors and senior officials</v>
      </c>
      <c r="B1233" s="302">
        <v>4.938781326661422</v>
      </c>
      <c r="C1233" s="302">
        <v>2.2474959918846644</v>
      </c>
      <c r="D1233" s="302">
        <f>SUM(B1233:C1233)</f>
        <v>7.186277318546086</v>
      </c>
      <c r="E1233" s="303"/>
      <c r="F1233" s="302">
        <v>6.1486974609397933</v>
      </c>
      <c r="G1233" s="302">
        <v>3.3948803602681168</v>
      </c>
      <c r="H1233" s="302">
        <f>SUM(F1233:G1233)</f>
        <v>9.5435778212079097</v>
      </c>
      <c r="I1233" s="303"/>
      <c r="J1233" s="302">
        <v>8.8762425443951347</v>
      </c>
      <c r="K1233" s="302">
        <v>4.049060396052492</v>
      </c>
      <c r="L1233" s="302">
        <f>SUM(J1233:K1233)</f>
        <v>12.925302940447626</v>
      </c>
      <c r="M1233" s="236"/>
      <c r="N1233" s="236"/>
    </row>
    <row r="1234" spans="1:14" x14ac:dyDescent="0.3">
      <c r="A1234" s="237" t="str">
        <f>name!E$5</f>
        <v>Professional occupations</v>
      </c>
      <c r="B1234" s="302">
        <v>2.4901615041467711</v>
      </c>
      <c r="C1234" s="302">
        <v>2.9058040637212148</v>
      </c>
      <c r="D1234" s="302">
        <f t="shared" ref="D1234:D1241" si="448">SUM(B1234:C1234)</f>
        <v>5.3959655678679859</v>
      </c>
      <c r="E1234" s="303"/>
      <c r="F1234" s="302">
        <v>3.3433865528477273</v>
      </c>
      <c r="G1234" s="302">
        <v>5.2670760390851461</v>
      </c>
      <c r="H1234" s="302">
        <f t="shared" ref="H1234:H1241" si="449">SUM(F1234:G1234)</f>
        <v>8.6104625919328726</v>
      </c>
      <c r="I1234" s="303"/>
      <c r="J1234" s="302">
        <v>3.1789349679159566</v>
      </c>
      <c r="K1234" s="302">
        <v>7.0842338824402562</v>
      </c>
      <c r="L1234" s="302">
        <f t="shared" ref="L1234:L1241" si="450">SUM(J1234:K1234)</f>
        <v>10.263168850356212</v>
      </c>
      <c r="M1234" s="236"/>
      <c r="N1234" s="236"/>
    </row>
    <row r="1235" spans="1:14" x14ac:dyDescent="0.3">
      <c r="A1235" s="237" t="str">
        <f>name!E$6</f>
        <v>Associate professional occupations</v>
      </c>
      <c r="B1235" s="302">
        <v>3.3450011186085158</v>
      </c>
      <c r="C1235" s="302">
        <v>5.5803964852823595</v>
      </c>
      <c r="D1235" s="302">
        <f t="shared" si="448"/>
        <v>8.9253976038908753</v>
      </c>
      <c r="E1235" s="303"/>
      <c r="F1235" s="302">
        <v>4.1177092557997002</v>
      </c>
      <c r="G1235" s="302">
        <v>9.179648324967447</v>
      </c>
      <c r="H1235" s="302">
        <f t="shared" si="449"/>
        <v>13.297357580767148</v>
      </c>
      <c r="I1235" s="303"/>
      <c r="J1235" s="302">
        <v>3.7806446926419341</v>
      </c>
      <c r="K1235" s="302">
        <v>10.428263213352254</v>
      </c>
      <c r="L1235" s="302">
        <f t="shared" si="450"/>
        <v>14.208907905994188</v>
      </c>
      <c r="M1235" s="236"/>
      <c r="N1235" s="236"/>
    </row>
    <row r="1236" spans="1:14" x14ac:dyDescent="0.3">
      <c r="A1236" s="237" t="str">
        <f>name!E$7</f>
        <v>Administrative and secretarial occupations</v>
      </c>
      <c r="B1236" s="302">
        <v>4.1369348546143945</v>
      </c>
      <c r="C1236" s="302">
        <v>0.74403672599548631</v>
      </c>
      <c r="D1236" s="302">
        <f t="shared" si="448"/>
        <v>4.8809715806098808</v>
      </c>
      <c r="E1236" s="303"/>
      <c r="F1236" s="302">
        <v>3.9273232204441455</v>
      </c>
      <c r="G1236" s="302">
        <v>1.0885632013356323</v>
      </c>
      <c r="H1236" s="302">
        <f t="shared" si="449"/>
        <v>5.0158864217797774</v>
      </c>
      <c r="I1236" s="303"/>
      <c r="J1236" s="302">
        <v>2.3296454567386871</v>
      </c>
      <c r="K1236" s="302">
        <v>0.85437120504821662</v>
      </c>
      <c r="L1236" s="302">
        <f t="shared" si="450"/>
        <v>3.1840166617869037</v>
      </c>
      <c r="M1236" s="236"/>
      <c r="N1236" s="236"/>
    </row>
    <row r="1237" spans="1:14" x14ac:dyDescent="0.3">
      <c r="A1237" s="237" t="str">
        <f>name!E$8</f>
        <v>Skilled trades occupations</v>
      </c>
      <c r="B1237" s="302">
        <v>1.1683160601037788</v>
      </c>
      <c r="C1237" s="302">
        <v>2.7275058887767383</v>
      </c>
      <c r="D1237" s="302">
        <f t="shared" si="448"/>
        <v>3.895821948880517</v>
      </c>
      <c r="E1237" s="303"/>
      <c r="F1237" s="302">
        <v>1.41896803133934</v>
      </c>
      <c r="G1237" s="302">
        <v>3.0870119540336316</v>
      </c>
      <c r="H1237" s="302">
        <f t="shared" si="449"/>
        <v>4.5059799853729716</v>
      </c>
      <c r="I1237" s="303"/>
      <c r="J1237" s="302">
        <v>2.4822482674330524</v>
      </c>
      <c r="K1237" s="302">
        <v>3.1512991791370748</v>
      </c>
      <c r="L1237" s="302">
        <f t="shared" si="450"/>
        <v>5.6335474465701267</v>
      </c>
      <c r="M1237" s="236"/>
      <c r="N1237" s="236"/>
    </row>
    <row r="1238" spans="1:14" x14ac:dyDescent="0.3">
      <c r="A1238" s="237" t="str">
        <f>name!E$9</f>
        <v>Caring, leisure and other service occupations</v>
      </c>
      <c r="B1238" s="302">
        <v>3.2277820556555792</v>
      </c>
      <c r="C1238" s="302">
        <v>1.8201248094244151</v>
      </c>
      <c r="D1238" s="302">
        <f t="shared" si="448"/>
        <v>5.0479068650799945</v>
      </c>
      <c r="E1238" s="303"/>
      <c r="F1238" s="302">
        <v>2.7605290984731852</v>
      </c>
      <c r="G1238" s="302">
        <v>2.2760567586772504</v>
      </c>
      <c r="H1238" s="302">
        <f t="shared" si="449"/>
        <v>5.0365858571504356</v>
      </c>
      <c r="I1238" s="303"/>
      <c r="J1238" s="302">
        <v>2.2463539178238401</v>
      </c>
      <c r="K1238" s="302">
        <v>2.7524561917145021</v>
      </c>
      <c r="L1238" s="302">
        <f t="shared" si="450"/>
        <v>4.9988101095383417</v>
      </c>
      <c r="M1238" s="236"/>
      <c r="N1238" s="236"/>
    </row>
    <row r="1239" spans="1:14" x14ac:dyDescent="0.3">
      <c r="A1239" s="237" t="str">
        <f>name!E$10</f>
        <v>Sales and customer service occupations</v>
      </c>
      <c r="B1239" s="302">
        <v>1.9284029853957416</v>
      </c>
      <c r="C1239" s="302">
        <v>0.99201170498803071</v>
      </c>
      <c r="D1239" s="302">
        <f t="shared" si="448"/>
        <v>2.9204146903837724</v>
      </c>
      <c r="E1239" s="303"/>
      <c r="F1239" s="302">
        <v>1.8049187309967278</v>
      </c>
      <c r="G1239" s="302">
        <v>1.2738442480379812</v>
      </c>
      <c r="H1239" s="302">
        <f t="shared" si="449"/>
        <v>3.0787629790347091</v>
      </c>
      <c r="I1239" s="303"/>
      <c r="J1239" s="302">
        <v>1.8378167680999675</v>
      </c>
      <c r="K1239" s="302">
        <v>1.4350702007513019</v>
      </c>
      <c r="L1239" s="302">
        <f t="shared" si="450"/>
        <v>3.2728869688512692</v>
      </c>
      <c r="M1239" s="236"/>
      <c r="N1239" s="236"/>
    </row>
    <row r="1240" spans="1:14" x14ac:dyDescent="0.3">
      <c r="A1240" s="237" t="str">
        <f>name!E$11</f>
        <v>Process, plant and machine operatives</v>
      </c>
      <c r="B1240" s="302">
        <v>6.3231926122768414E-2</v>
      </c>
      <c r="C1240" s="302">
        <v>0.43659777314408382</v>
      </c>
      <c r="D1240" s="302">
        <f t="shared" si="448"/>
        <v>0.49982969926685222</v>
      </c>
      <c r="E1240" s="303"/>
      <c r="F1240" s="302">
        <v>5.7493507255061971E-2</v>
      </c>
      <c r="G1240" s="302">
        <v>0.50085206856326792</v>
      </c>
      <c r="H1240" s="302">
        <f t="shared" si="449"/>
        <v>0.55834557581832989</v>
      </c>
      <c r="I1240" s="303"/>
      <c r="J1240" s="302">
        <v>7.1840835674814738E-2</v>
      </c>
      <c r="K1240" s="302">
        <v>0.50420451658532162</v>
      </c>
      <c r="L1240" s="302">
        <f t="shared" si="450"/>
        <v>0.57604535226013631</v>
      </c>
      <c r="M1240" s="236"/>
      <c r="N1240" s="236"/>
    </row>
    <row r="1241" spans="1:14" x14ac:dyDescent="0.3">
      <c r="A1241" s="237" t="str">
        <f>name!E$12</f>
        <v>Elementary occupations</v>
      </c>
      <c r="B1241" s="302">
        <v>2.7863881687508849</v>
      </c>
      <c r="C1241" s="302">
        <v>2.9500265568664701</v>
      </c>
      <c r="D1241" s="302">
        <f t="shared" si="448"/>
        <v>5.7364147256173545</v>
      </c>
      <c r="E1241" s="303"/>
      <c r="F1241" s="302">
        <v>2.1469741419516133</v>
      </c>
      <c r="G1241" s="302">
        <v>3.1070670451499427</v>
      </c>
      <c r="H1241" s="302">
        <f t="shared" si="449"/>
        <v>5.2540411871015564</v>
      </c>
      <c r="I1241" s="303"/>
      <c r="J1241" s="302">
        <v>1.2272725492786496</v>
      </c>
      <c r="K1241" s="302">
        <v>2.7290412152216876</v>
      </c>
      <c r="L1241" s="302">
        <f t="shared" si="450"/>
        <v>3.9563137645003374</v>
      </c>
      <c r="M1241" s="236"/>
      <c r="N1241" s="236"/>
    </row>
    <row r="1242" spans="1:14" x14ac:dyDescent="0.3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  <c r="N1242" s="236"/>
    </row>
    <row r="1243" spans="1:14" x14ac:dyDescent="0.3">
      <c r="A1243" s="244" t="s">
        <v>32</v>
      </c>
      <c r="B1243" s="311">
        <f>SUM(B1233:B1241)</f>
        <v>24.085000000059861</v>
      </c>
      <c r="C1243" s="311">
        <f t="shared" ref="C1243:D1243" si="451">SUM(C1233:C1241)</f>
        <v>20.40400000008346</v>
      </c>
      <c r="D1243" s="311">
        <f t="shared" si="451"/>
        <v>44.489000000143321</v>
      </c>
      <c r="E1243" s="311"/>
      <c r="F1243" s="311">
        <f t="shared" ref="F1243:H1243" si="452">SUM(F1233:F1241)</f>
        <v>25.726000000047296</v>
      </c>
      <c r="G1243" s="311">
        <f t="shared" si="452"/>
        <v>29.175000000118416</v>
      </c>
      <c r="H1243" s="311">
        <f t="shared" si="452"/>
        <v>54.901000000165709</v>
      </c>
      <c r="I1243" s="311"/>
      <c r="J1243" s="311">
        <f t="shared" ref="J1243:L1243" si="453">SUM(J1233:J1241)</f>
        <v>26.031000000002038</v>
      </c>
      <c r="K1243" s="311">
        <f t="shared" si="453"/>
        <v>32.988000000303103</v>
      </c>
      <c r="L1243" s="311">
        <f t="shared" si="453"/>
        <v>59.019000000305141</v>
      </c>
      <c r="M1243" s="236"/>
      <c r="N1243" s="236"/>
    </row>
    <row r="1244" spans="1:14" x14ac:dyDescent="0.3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  <c r="N1244" s="236"/>
    </row>
    <row r="1245" spans="1:14" x14ac:dyDescent="0.3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56" t="s">
        <v>35</v>
      </c>
      <c r="M1245" s="236"/>
      <c r="N1245" s="236"/>
    </row>
    <row r="1246" spans="1:14" x14ac:dyDescent="0.3">
      <c r="A1246" s="242"/>
      <c r="B1246" s="250"/>
      <c r="C1246" s="250"/>
      <c r="D1246" s="250"/>
      <c r="E1246" s="250"/>
      <c r="F1246" s="250"/>
      <c r="G1246" s="250"/>
      <c r="H1246" s="250"/>
      <c r="I1246" s="250"/>
      <c r="J1246" s="250"/>
      <c r="K1246" s="250"/>
      <c r="L1246" s="236"/>
      <c r="M1246" s="236"/>
      <c r="N1246" s="236"/>
    </row>
    <row r="1247" spans="1:14" x14ac:dyDescent="0.3">
      <c r="A1247" s="241" t="str">
        <f>name!A76</f>
        <v>Membership organisations</v>
      </c>
      <c r="B1247" s="373">
        <f>B$6</f>
        <v>2015</v>
      </c>
      <c r="C1247" s="373"/>
      <c r="D1247" s="373"/>
      <c r="E1247" s="253"/>
      <c r="F1247" s="373">
        <f>F$6</f>
        <v>2020</v>
      </c>
      <c r="G1247" s="373"/>
      <c r="H1247" s="373"/>
      <c r="I1247" s="253"/>
      <c r="J1247" s="373">
        <f>J$6</f>
        <v>2035</v>
      </c>
      <c r="K1247" s="373"/>
      <c r="L1247" s="373"/>
      <c r="M1247" s="236"/>
      <c r="N1247" s="236"/>
    </row>
    <row r="1248" spans="1:14" x14ac:dyDescent="0.3">
      <c r="A1248" s="254"/>
      <c r="B1248" s="255" t="s">
        <v>352</v>
      </c>
      <c r="C1248" s="255" t="s">
        <v>353</v>
      </c>
      <c r="D1248" s="255" t="s">
        <v>32</v>
      </c>
      <c r="E1248" s="255"/>
      <c r="F1248" s="255" t="s">
        <v>352</v>
      </c>
      <c r="G1248" s="255" t="s">
        <v>353</v>
      </c>
      <c r="H1248" s="255" t="s">
        <v>32</v>
      </c>
      <c r="I1248" s="255"/>
      <c r="J1248" s="255" t="s">
        <v>352</v>
      </c>
      <c r="K1248" s="255" t="s">
        <v>353</v>
      </c>
      <c r="L1248" s="255" t="s">
        <v>32</v>
      </c>
      <c r="M1248" s="236"/>
      <c r="N1248" s="236"/>
    </row>
    <row r="1249" spans="1:14" x14ac:dyDescent="0.3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  <c r="N1249" s="236"/>
    </row>
    <row r="1250" spans="1:14" x14ac:dyDescent="0.3">
      <c r="A1250" s="237" t="str">
        <f>name!E$4</f>
        <v>Managers, directors and senior officials</v>
      </c>
      <c r="B1250" s="302">
        <v>2.7711648271677825</v>
      </c>
      <c r="C1250" s="302">
        <v>1.6529326080664672</v>
      </c>
      <c r="D1250" s="302">
        <f>SUM(B1250:C1250)</f>
        <v>4.4240974352342501</v>
      </c>
      <c r="E1250" s="303"/>
      <c r="F1250" s="302">
        <v>2.9112277691178146</v>
      </c>
      <c r="G1250" s="302">
        <v>0.76371965594715119</v>
      </c>
      <c r="H1250" s="302">
        <f>SUM(F1250:G1250)</f>
        <v>3.6749474250649659</v>
      </c>
      <c r="I1250" s="303"/>
      <c r="J1250" s="302">
        <v>3.6131241968509196</v>
      </c>
      <c r="K1250" s="302">
        <v>0.84989610110235503</v>
      </c>
      <c r="L1250" s="302">
        <f>SUM(J1250:K1250)</f>
        <v>4.4630202979532747</v>
      </c>
      <c r="M1250" s="236"/>
      <c r="N1250" s="236"/>
    </row>
    <row r="1251" spans="1:14" x14ac:dyDescent="0.3">
      <c r="A1251" s="237" t="str">
        <f>name!E$5</f>
        <v>Professional occupations</v>
      </c>
      <c r="B1251" s="302">
        <v>5.6088911019610403</v>
      </c>
      <c r="C1251" s="302">
        <v>7.4626629368608182</v>
      </c>
      <c r="D1251" s="302">
        <f t="shared" ref="D1251:D1258" si="454">SUM(B1251:C1251)</f>
        <v>13.071554038821859</v>
      </c>
      <c r="E1251" s="303"/>
      <c r="F1251" s="302">
        <v>7.5468641827863925</v>
      </c>
      <c r="G1251" s="302">
        <v>3.3273104639296829</v>
      </c>
      <c r="H1251" s="302">
        <f t="shared" ref="H1251:H1258" si="455">SUM(F1251:G1251)</f>
        <v>10.874174646716074</v>
      </c>
      <c r="I1251" s="303"/>
      <c r="J1251" s="302">
        <v>7.8607482172837617</v>
      </c>
      <c r="K1251" s="302">
        <v>3.8647855763544077</v>
      </c>
      <c r="L1251" s="302">
        <f t="shared" ref="L1251:L1258" si="456">SUM(J1251:K1251)</f>
        <v>11.725533793638169</v>
      </c>
      <c r="M1251" s="236"/>
      <c r="N1251" s="236"/>
    </row>
    <row r="1252" spans="1:14" x14ac:dyDescent="0.3">
      <c r="A1252" s="237" t="str">
        <f>name!E$6</f>
        <v>Associate professional occupations</v>
      </c>
      <c r="B1252" s="302">
        <v>3.8358270177800984</v>
      </c>
      <c r="C1252" s="302">
        <v>2.2411915260340733</v>
      </c>
      <c r="D1252" s="302">
        <f t="shared" si="454"/>
        <v>6.0770185438141713</v>
      </c>
      <c r="E1252" s="303"/>
      <c r="F1252" s="302">
        <v>4.7775967995991708</v>
      </c>
      <c r="G1252" s="302">
        <v>1.0582139495351688</v>
      </c>
      <c r="H1252" s="302">
        <f t="shared" si="455"/>
        <v>5.8358107491343398</v>
      </c>
      <c r="I1252" s="303"/>
      <c r="J1252" s="302">
        <v>4.935339190892968</v>
      </c>
      <c r="K1252" s="302">
        <v>0.96054637767463713</v>
      </c>
      <c r="L1252" s="302">
        <f t="shared" si="456"/>
        <v>5.8958855685676053</v>
      </c>
      <c r="M1252" s="236"/>
      <c r="N1252" s="236"/>
    </row>
    <row r="1253" spans="1:14" x14ac:dyDescent="0.3">
      <c r="A1253" s="237" t="str">
        <f>name!E$7</f>
        <v>Administrative and secretarial occupations</v>
      </c>
      <c r="B1253" s="302">
        <v>4.7166978304250575</v>
      </c>
      <c r="C1253" s="302">
        <v>0.55399063663254988</v>
      </c>
      <c r="D1253" s="302">
        <f t="shared" si="454"/>
        <v>5.2706884670576075</v>
      </c>
      <c r="E1253" s="303"/>
      <c r="F1253" s="302">
        <v>4.33238080942591</v>
      </c>
      <c r="G1253" s="302">
        <v>0.23367803496230372</v>
      </c>
      <c r="H1253" s="302">
        <f t="shared" si="455"/>
        <v>4.5660588443882135</v>
      </c>
      <c r="I1253" s="303"/>
      <c r="J1253" s="302">
        <v>2.6426384181396787</v>
      </c>
      <c r="K1253" s="302">
        <v>0.17606042955053683</v>
      </c>
      <c r="L1253" s="302">
        <f t="shared" si="456"/>
        <v>2.8186988476902157</v>
      </c>
      <c r="M1253" s="236"/>
      <c r="N1253" s="236"/>
    </row>
    <row r="1254" spans="1:14" x14ac:dyDescent="0.3">
      <c r="A1254" s="237" t="str">
        <f>name!E$8</f>
        <v>Skilled trades occupations</v>
      </c>
      <c r="B1254" s="302">
        <v>0.51909882368021898</v>
      </c>
      <c r="C1254" s="302">
        <v>0.90281157319097516</v>
      </c>
      <c r="D1254" s="302">
        <f t="shared" si="454"/>
        <v>1.4219103968711941</v>
      </c>
      <c r="E1254" s="303"/>
      <c r="F1254" s="302">
        <v>0.5187625192738442</v>
      </c>
      <c r="G1254" s="302">
        <v>0.24787935811184802</v>
      </c>
      <c r="H1254" s="302">
        <f t="shared" si="455"/>
        <v>0.76664187738569223</v>
      </c>
      <c r="I1254" s="303"/>
      <c r="J1254" s="302">
        <v>0.7784666813691058</v>
      </c>
      <c r="K1254" s="302">
        <v>0.27247931328905317</v>
      </c>
      <c r="L1254" s="302">
        <f t="shared" si="456"/>
        <v>1.050945994658159</v>
      </c>
      <c r="M1254" s="236"/>
      <c r="N1254" s="236"/>
    </row>
    <row r="1255" spans="1:14" x14ac:dyDescent="0.3">
      <c r="A1255" s="237" t="str">
        <f>name!E$9</f>
        <v>Caring, leisure and other service occupations</v>
      </c>
      <c r="B1255" s="302">
        <v>2.0654480168913008</v>
      </c>
      <c r="C1255" s="302">
        <v>0.41935493855699957</v>
      </c>
      <c r="D1255" s="302">
        <f t="shared" si="454"/>
        <v>2.4848029554483002</v>
      </c>
      <c r="E1255" s="303"/>
      <c r="F1255" s="302">
        <v>1.9975321224130251</v>
      </c>
      <c r="G1255" s="302">
        <v>0.16495754166159837</v>
      </c>
      <c r="H1255" s="302">
        <f t="shared" si="455"/>
        <v>2.1624896640746236</v>
      </c>
      <c r="I1255" s="303"/>
      <c r="J1255" s="302">
        <v>2.07539583496908</v>
      </c>
      <c r="K1255" s="302">
        <v>0.21145408621565023</v>
      </c>
      <c r="L1255" s="302">
        <f t="shared" si="456"/>
        <v>2.2868499211847304</v>
      </c>
      <c r="M1255" s="236"/>
      <c r="N1255" s="236"/>
    </row>
    <row r="1256" spans="1:14" x14ac:dyDescent="0.3">
      <c r="A1256" s="237" t="str">
        <f>name!E$10</f>
        <v>Sales and customer service occupations</v>
      </c>
      <c r="B1256" s="302">
        <v>0.74338856769935047</v>
      </c>
      <c r="C1256" s="302">
        <v>0.20929826042454502</v>
      </c>
      <c r="D1256" s="302">
        <f t="shared" si="454"/>
        <v>0.95268682812389549</v>
      </c>
      <c r="E1256" s="303"/>
      <c r="F1256" s="302">
        <v>0.6251781654493811</v>
      </c>
      <c r="G1256" s="302">
        <v>7.4244548077577854E-2</v>
      </c>
      <c r="H1256" s="302">
        <f t="shared" si="455"/>
        <v>0.69942271352695895</v>
      </c>
      <c r="I1256" s="303"/>
      <c r="J1256" s="302">
        <v>0.70809763951026972</v>
      </c>
      <c r="K1256" s="302">
        <v>8.3532443971915005E-2</v>
      </c>
      <c r="L1256" s="302">
        <f t="shared" si="456"/>
        <v>0.79163008348218478</v>
      </c>
      <c r="M1256" s="236"/>
      <c r="N1256" s="236"/>
    </row>
    <row r="1257" spans="1:14" x14ac:dyDescent="0.3">
      <c r="A1257" s="237" t="str">
        <f>name!E$11</f>
        <v>Process, plant and machine operatives</v>
      </c>
      <c r="B1257" s="302">
        <v>0.37932439687322833</v>
      </c>
      <c r="C1257" s="302">
        <v>0.21064989587977809</v>
      </c>
      <c r="D1257" s="302">
        <f t="shared" si="454"/>
        <v>0.58997429275300639</v>
      </c>
      <c r="E1257" s="303"/>
      <c r="F1257" s="302">
        <v>0.43095053716707687</v>
      </c>
      <c r="G1257" s="302">
        <v>8.0308464168053151E-2</v>
      </c>
      <c r="H1257" s="302">
        <f t="shared" si="455"/>
        <v>0.51125900133513003</v>
      </c>
      <c r="I1257" s="303"/>
      <c r="J1257" s="302">
        <v>0.50611336737264756</v>
      </c>
      <c r="K1257" s="302">
        <v>7.4080217798286954E-2</v>
      </c>
      <c r="L1257" s="302">
        <f t="shared" si="456"/>
        <v>0.58019358517093456</v>
      </c>
      <c r="M1257" s="236"/>
      <c r="N1257" s="236"/>
    </row>
    <row r="1258" spans="1:14" x14ac:dyDescent="0.3">
      <c r="A1258" s="237" t="str">
        <f>name!E$12</f>
        <v>Elementary occupations</v>
      </c>
      <c r="B1258" s="302">
        <v>2.440159417356651</v>
      </c>
      <c r="C1258" s="302">
        <v>0.54110762433778192</v>
      </c>
      <c r="D1258" s="302">
        <f t="shared" si="454"/>
        <v>2.9812670416944327</v>
      </c>
      <c r="E1258" s="303"/>
      <c r="F1258" s="302">
        <v>1.9345070949564291</v>
      </c>
      <c r="G1258" s="302">
        <v>0.1876879835408693</v>
      </c>
      <c r="H1258" s="302">
        <f t="shared" si="455"/>
        <v>2.1221950784972985</v>
      </c>
      <c r="I1258" s="303"/>
      <c r="J1258" s="302">
        <v>1.2960764538148175</v>
      </c>
      <c r="K1258" s="302">
        <v>0.13916545399517088</v>
      </c>
      <c r="L1258" s="302">
        <f t="shared" si="456"/>
        <v>1.4352419078099885</v>
      </c>
      <c r="M1258" s="236"/>
      <c r="N1258" s="236"/>
    </row>
    <row r="1259" spans="1:14" x14ac:dyDescent="0.3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  <c r="N1259" s="236"/>
    </row>
    <row r="1260" spans="1:14" x14ac:dyDescent="0.3">
      <c r="A1260" s="244" t="s">
        <v>32</v>
      </c>
      <c r="B1260" s="311">
        <f>SUM(B1250:B1258)</f>
        <v>23.079999999834733</v>
      </c>
      <c r="C1260" s="311">
        <f t="shared" ref="C1260:D1260" si="457">SUM(C1250:C1258)</f>
        <v>14.193999999983987</v>
      </c>
      <c r="D1260" s="311">
        <f t="shared" si="457"/>
        <v>37.273999999818713</v>
      </c>
      <c r="E1260" s="311"/>
      <c r="F1260" s="311">
        <f t="shared" ref="F1260:H1260" si="458">SUM(F1250:F1258)</f>
        <v>25.075000000189046</v>
      </c>
      <c r="G1260" s="311">
        <f t="shared" si="458"/>
        <v>6.1379999999342534</v>
      </c>
      <c r="H1260" s="311">
        <f t="shared" si="458"/>
        <v>31.213000000123298</v>
      </c>
      <c r="I1260" s="311"/>
      <c r="J1260" s="311">
        <f t="shared" ref="J1260:L1260" si="459">SUM(J1250:J1258)</f>
        <v>24.416000000203251</v>
      </c>
      <c r="K1260" s="311">
        <f t="shared" si="459"/>
        <v>6.6319999999520132</v>
      </c>
      <c r="L1260" s="311">
        <f t="shared" si="459"/>
        <v>31.048000000155263</v>
      </c>
      <c r="M1260" s="236"/>
      <c r="N1260" s="236"/>
    </row>
    <row r="1261" spans="1:14" x14ac:dyDescent="0.3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  <c r="N1261" s="236"/>
    </row>
    <row r="1262" spans="1:14" x14ac:dyDescent="0.3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56" t="s">
        <v>35</v>
      </c>
      <c r="M1262" s="236"/>
      <c r="N1262" s="236"/>
    </row>
    <row r="1263" spans="1:14" x14ac:dyDescent="0.3">
      <c r="A1263" s="242"/>
      <c r="B1263" s="250"/>
      <c r="C1263" s="250"/>
      <c r="D1263" s="250"/>
      <c r="E1263" s="250"/>
      <c r="F1263" s="250"/>
      <c r="G1263" s="250"/>
      <c r="H1263" s="250"/>
      <c r="I1263" s="250"/>
      <c r="J1263" s="250"/>
      <c r="K1263" s="250"/>
      <c r="L1263" s="236"/>
      <c r="M1263" s="236"/>
      <c r="N1263" s="236"/>
    </row>
    <row r="1264" spans="1:14" x14ac:dyDescent="0.3">
      <c r="A1264" s="241" t="str">
        <f>name!A77</f>
        <v>Repair of goods</v>
      </c>
      <c r="B1264" s="373">
        <f>B$6</f>
        <v>2015</v>
      </c>
      <c r="C1264" s="373"/>
      <c r="D1264" s="373"/>
      <c r="E1264" s="253"/>
      <c r="F1264" s="373">
        <f>F$6</f>
        <v>2020</v>
      </c>
      <c r="G1264" s="373"/>
      <c r="H1264" s="373"/>
      <c r="I1264" s="253"/>
      <c r="J1264" s="373">
        <f>J$6</f>
        <v>2035</v>
      </c>
      <c r="K1264" s="373"/>
      <c r="L1264" s="373"/>
      <c r="M1264" s="236"/>
      <c r="N1264" s="236"/>
    </row>
    <row r="1265" spans="1:14" x14ac:dyDescent="0.3">
      <c r="A1265" s="254"/>
      <c r="B1265" s="255" t="s">
        <v>352</v>
      </c>
      <c r="C1265" s="255" t="s">
        <v>353</v>
      </c>
      <c r="D1265" s="255" t="s">
        <v>32</v>
      </c>
      <c r="E1265" s="255"/>
      <c r="F1265" s="255" t="s">
        <v>352</v>
      </c>
      <c r="G1265" s="255" t="s">
        <v>353</v>
      </c>
      <c r="H1265" s="255" t="s">
        <v>32</v>
      </c>
      <c r="I1265" s="255"/>
      <c r="J1265" s="255" t="s">
        <v>352</v>
      </c>
      <c r="K1265" s="255" t="s">
        <v>353</v>
      </c>
      <c r="L1265" s="255" t="s">
        <v>32</v>
      </c>
      <c r="M1265" s="236"/>
      <c r="N1265" s="236"/>
    </row>
    <row r="1266" spans="1:14" x14ac:dyDescent="0.3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  <c r="N1266" s="236"/>
    </row>
    <row r="1267" spans="1:14" x14ac:dyDescent="0.3">
      <c r="A1267" s="237" t="str">
        <f>name!E$4</f>
        <v>Managers, directors and senior officials</v>
      </c>
      <c r="B1267" s="302">
        <v>0.83668315082342926</v>
      </c>
      <c r="C1267" s="302">
        <v>2.3466679105157864</v>
      </c>
      <c r="D1267" s="302">
        <f>SUM(B1267:C1267)</f>
        <v>3.1833510613392155</v>
      </c>
      <c r="E1267" s="303"/>
      <c r="F1267" s="302">
        <v>1.0948154041409575</v>
      </c>
      <c r="G1267" s="302">
        <v>1.4098205172389058</v>
      </c>
      <c r="H1267" s="302">
        <f>SUM(F1267:G1267)</f>
        <v>2.5046359213798635</v>
      </c>
      <c r="I1267" s="303"/>
      <c r="J1267" s="302">
        <v>1.1268927259477119</v>
      </c>
      <c r="K1267" s="302">
        <v>1.5949404849106528</v>
      </c>
      <c r="L1267" s="302">
        <f>SUM(J1267:K1267)</f>
        <v>2.7218332108583647</v>
      </c>
      <c r="M1267" s="236"/>
      <c r="N1267" s="236"/>
    </row>
    <row r="1268" spans="1:14" x14ac:dyDescent="0.3">
      <c r="A1268" s="237" t="str">
        <f>name!E$5</f>
        <v>Professional occupations</v>
      </c>
      <c r="B1268" s="302">
        <v>0.46973025455825279</v>
      </c>
      <c r="C1268" s="302">
        <v>2.4639752760099642</v>
      </c>
      <c r="D1268" s="302">
        <f t="shared" ref="D1268:D1275" si="460">SUM(B1268:C1268)</f>
        <v>2.9337055305682171</v>
      </c>
      <c r="E1268" s="303"/>
      <c r="F1268" s="302">
        <v>0.51350226789052189</v>
      </c>
      <c r="G1268" s="302">
        <v>1.6534642726317912</v>
      </c>
      <c r="H1268" s="302">
        <f t="shared" ref="H1268:H1275" si="461">SUM(F1268:G1268)</f>
        <v>2.1669665405223131</v>
      </c>
      <c r="I1268" s="303"/>
      <c r="J1268" s="302">
        <v>0.47280362964737738</v>
      </c>
      <c r="K1268" s="302">
        <v>2.0358156503271641</v>
      </c>
      <c r="L1268" s="302">
        <f t="shared" ref="L1268:L1275" si="462">SUM(J1268:K1268)</f>
        <v>2.5086192799745413</v>
      </c>
      <c r="M1268" s="236"/>
      <c r="N1268" s="236"/>
    </row>
    <row r="1269" spans="1:14" x14ac:dyDescent="0.3">
      <c r="A1269" s="237" t="str">
        <f>name!E$6</f>
        <v>Associate professional occupations</v>
      </c>
      <c r="B1269" s="302">
        <v>0.48123648690918458</v>
      </c>
      <c r="C1269" s="302">
        <v>1.0814818804626061</v>
      </c>
      <c r="D1269" s="302">
        <f t="shared" si="460"/>
        <v>1.5627183673717906</v>
      </c>
      <c r="E1269" s="303"/>
      <c r="F1269" s="302">
        <v>0.44716633645520576</v>
      </c>
      <c r="G1269" s="302">
        <v>0.6645257196551092</v>
      </c>
      <c r="H1269" s="302">
        <f t="shared" si="461"/>
        <v>1.111692056110315</v>
      </c>
      <c r="I1269" s="303"/>
      <c r="J1269" s="302">
        <v>0.42649286055585717</v>
      </c>
      <c r="K1269" s="302">
        <v>0.78651922254582984</v>
      </c>
      <c r="L1269" s="302">
        <f t="shared" si="462"/>
        <v>1.2130120831016871</v>
      </c>
      <c r="M1269" s="236"/>
      <c r="N1269" s="236"/>
    </row>
    <row r="1270" spans="1:14" x14ac:dyDescent="0.3">
      <c r="A1270" s="237" t="str">
        <f>name!E$7</f>
        <v>Administrative and secretarial occupations</v>
      </c>
      <c r="B1270" s="302">
        <v>0.38345336263165863</v>
      </c>
      <c r="C1270" s="302">
        <v>0.33956295950799531</v>
      </c>
      <c r="D1270" s="302">
        <f t="shared" si="460"/>
        <v>0.72301632213965394</v>
      </c>
      <c r="E1270" s="303"/>
      <c r="F1270" s="302">
        <v>0.27399020560843668</v>
      </c>
      <c r="G1270" s="302">
        <v>0.17631271639948656</v>
      </c>
      <c r="H1270" s="302">
        <f t="shared" si="461"/>
        <v>0.45030292200792321</v>
      </c>
      <c r="I1270" s="303"/>
      <c r="J1270" s="302">
        <v>0.23198360883471167</v>
      </c>
      <c r="K1270" s="302">
        <v>0.18258276140499946</v>
      </c>
      <c r="L1270" s="302">
        <f t="shared" si="462"/>
        <v>0.4145663702397111</v>
      </c>
      <c r="M1270" s="236"/>
      <c r="N1270" s="236"/>
    </row>
    <row r="1271" spans="1:14" x14ac:dyDescent="0.3">
      <c r="A1271" s="237" t="str">
        <f>name!E$8</f>
        <v>Skilled trades occupations</v>
      </c>
      <c r="B1271" s="302">
        <v>0.44165695633281715</v>
      </c>
      <c r="C1271" s="302">
        <v>1.0889567260934341</v>
      </c>
      <c r="D1271" s="302">
        <f t="shared" si="460"/>
        <v>1.5306136824262513</v>
      </c>
      <c r="E1271" s="303"/>
      <c r="F1271" s="302">
        <v>0.48680128931757932</v>
      </c>
      <c r="G1271" s="302">
        <v>0.53064318027779267</v>
      </c>
      <c r="H1271" s="302">
        <f t="shared" si="461"/>
        <v>1.0174444695953719</v>
      </c>
      <c r="I1271" s="303"/>
      <c r="J1271" s="302">
        <v>0.60146567425689479</v>
      </c>
      <c r="K1271" s="302">
        <v>0.64088346357769732</v>
      </c>
      <c r="L1271" s="302">
        <f t="shared" si="462"/>
        <v>1.2423491378345921</v>
      </c>
      <c r="M1271" s="236"/>
      <c r="N1271" s="236"/>
    </row>
    <row r="1272" spans="1:14" x14ac:dyDescent="0.3">
      <c r="A1272" s="237" t="str">
        <f>name!E$9</f>
        <v>Caring, leisure and other service occupations</v>
      </c>
      <c r="B1272" s="302">
        <v>7.3889706292199722E-2</v>
      </c>
      <c r="C1272" s="302">
        <v>6.4912020282570274E-2</v>
      </c>
      <c r="D1272" s="302">
        <f t="shared" si="460"/>
        <v>0.13880172657477</v>
      </c>
      <c r="E1272" s="303"/>
      <c r="F1272" s="302">
        <v>7.9040956772433182E-2</v>
      </c>
      <c r="G1272" s="302">
        <v>3.869492480810887E-2</v>
      </c>
      <c r="H1272" s="302">
        <f t="shared" si="461"/>
        <v>0.11773588158054205</v>
      </c>
      <c r="I1272" s="303"/>
      <c r="J1272" s="302">
        <v>0.10759119108059305</v>
      </c>
      <c r="K1272" s="302">
        <v>5.9047464957460667E-2</v>
      </c>
      <c r="L1272" s="302">
        <f t="shared" si="462"/>
        <v>0.16663865603805372</v>
      </c>
      <c r="M1272" s="236"/>
      <c r="N1272" s="236"/>
    </row>
    <row r="1273" spans="1:14" x14ac:dyDescent="0.3">
      <c r="A1273" s="237" t="str">
        <f>name!E$10</f>
        <v>Sales and customer service occupations</v>
      </c>
      <c r="B1273" s="302">
        <v>2.2296350699578058</v>
      </c>
      <c r="C1273" s="302">
        <v>2.0889579490540755</v>
      </c>
      <c r="D1273" s="302">
        <f t="shared" si="460"/>
        <v>4.3185930190118818</v>
      </c>
      <c r="E1273" s="303"/>
      <c r="F1273" s="302">
        <v>1.0606256087365245</v>
      </c>
      <c r="G1273" s="302">
        <v>0.81312288121260079</v>
      </c>
      <c r="H1273" s="302">
        <f t="shared" si="461"/>
        <v>1.8737484899491252</v>
      </c>
      <c r="I1273" s="303"/>
      <c r="J1273" s="302">
        <v>0.7399307008073488</v>
      </c>
      <c r="K1273" s="302">
        <v>0.59376271911006606</v>
      </c>
      <c r="L1273" s="302">
        <f t="shared" si="462"/>
        <v>1.3336934199174149</v>
      </c>
      <c r="M1273" s="236"/>
      <c r="N1273" s="236"/>
    </row>
    <row r="1274" spans="1:14" x14ac:dyDescent="0.3">
      <c r="A1274" s="237" t="str">
        <f>name!E$11</f>
        <v>Process, plant and machine operatives</v>
      </c>
      <c r="B1274" s="302">
        <v>0.33273528924955326</v>
      </c>
      <c r="C1274" s="302">
        <v>0.61644065787759861</v>
      </c>
      <c r="D1274" s="302">
        <f t="shared" si="460"/>
        <v>0.94917594712715192</v>
      </c>
      <c r="E1274" s="303"/>
      <c r="F1274" s="302">
        <v>0.35505648592134548</v>
      </c>
      <c r="G1274" s="302">
        <v>0.27922692619861478</v>
      </c>
      <c r="H1274" s="302">
        <f t="shared" si="461"/>
        <v>0.63428341211996031</v>
      </c>
      <c r="I1274" s="303"/>
      <c r="J1274" s="302">
        <v>0.51992591986309733</v>
      </c>
      <c r="K1274" s="302">
        <v>0.28697260880522718</v>
      </c>
      <c r="L1274" s="302">
        <f t="shared" si="462"/>
        <v>0.80689852866832457</v>
      </c>
      <c r="M1274" s="236"/>
      <c r="N1274" s="236"/>
    </row>
    <row r="1275" spans="1:14" x14ac:dyDescent="0.3">
      <c r="A1275" s="237" t="str">
        <f>name!E$12</f>
        <v>Elementary occupations</v>
      </c>
      <c r="B1275" s="302">
        <v>0.36397972335565698</v>
      </c>
      <c r="C1275" s="302">
        <v>0.84104462019339954</v>
      </c>
      <c r="D1275" s="302">
        <f t="shared" si="460"/>
        <v>1.2050243435490566</v>
      </c>
      <c r="E1275" s="303"/>
      <c r="F1275" s="302">
        <v>0.13400144513125603</v>
      </c>
      <c r="G1275" s="302">
        <v>0.3441888615463175</v>
      </c>
      <c r="H1275" s="302">
        <f t="shared" si="461"/>
        <v>0.47819030667757356</v>
      </c>
      <c r="I1275" s="303"/>
      <c r="J1275" s="302">
        <v>0.12891368900637992</v>
      </c>
      <c r="K1275" s="302">
        <v>0.35347562432952545</v>
      </c>
      <c r="L1275" s="302">
        <f t="shared" si="462"/>
        <v>0.4823893133359054</v>
      </c>
      <c r="M1275" s="236"/>
      <c r="N1275" s="236"/>
    </row>
    <row r="1276" spans="1:14" x14ac:dyDescent="0.3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  <c r="N1276" s="236"/>
    </row>
    <row r="1277" spans="1:14" x14ac:dyDescent="0.3">
      <c r="A1277" s="244" t="s">
        <v>32</v>
      </c>
      <c r="B1277" s="311">
        <f>SUM(B1267:B1275)</f>
        <v>5.6130000001105582</v>
      </c>
      <c r="C1277" s="311">
        <f t="shared" ref="C1277:D1277" si="463">SUM(C1267:C1275)</f>
        <v>10.931999999997428</v>
      </c>
      <c r="D1277" s="311">
        <f t="shared" si="463"/>
        <v>16.54500000010799</v>
      </c>
      <c r="E1277" s="311"/>
      <c r="F1277" s="311">
        <f t="shared" ref="F1277:H1277" si="464">SUM(F1267:F1275)</f>
        <v>4.44499999997426</v>
      </c>
      <c r="G1277" s="311">
        <f t="shared" si="464"/>
        <v>5.9099999999687274</v>
      </c>
      <c r="H1277" s="311">
        <f t="shared" si="464"/>
        <v>10.354999999942988</v>
      </c>
      <c r="I1277" s="311"/>
      <c r="J1277" s="311">
        <f t="shared" ref="J1277:L1277" si="465">SUM(J1267:J1275)</f>
        <v>4.3559999999999715</v>
      </c>
      <c r="K1277" s="311">
        <f t="shared" si="465"/>
        <v>6.5339999999686222</v>
      </c>
      <c r="L1277" s="311">
        <f t="shared" si="465"/>
        <v>10.889999999968596</v>
      </c>
      <c r="M1277" s="236"/>
      <c r="N1277" s="236"/>
    </row>
    <row r="1278" spans="1:14" x14ac:dyDescent="0.3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  <c r="N1278" s="236"/>
    </row>
    <row r="1279" spans="1:14" x14ac:dyDescent="0.3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56" t="s">
        <v>35</v>
      </c>
      <c r="M1279" s="236"/>
      <c r="N1279" s="236"/>
    </row>
    <row r="1280" spans="1:14" x14ac:dyDescent="0.3">
      <c r="A1280" s="242"/>
      <c r="B1280" s="250"/>
      <c r="C1280" s="250"/>
      <c r="D1280" s="250"/>
      <c r="E1280" s="250"/>
      <c r="F1280" s="250"/>
      <c r="G1280" s="250"/>
      <c r="H1280" s="250"/>
      <c r="I1280" s="250"/>
      <c r="J1280" s="250"/>
      <c r="K1280" s="250"/>
      <c r="L1280" s="236"/>
      <c r="M1280" s="236"/>
      <c r="N1280" s="236"/>
    </row>
    <row r="1281" spans="1:14" x14ac:dyDescent="0.3">
      <c r="A1281" s="241" t="str">
        <f>name!A78</f>
        <v>Other personal service</v>
      </c>
      <c r="B1281" s="373">
        <f>B$6</f>
        <v>2015</v>
      </c>
      <c r="C1281" s="373"/>
      <c r="D1281" s="373"/>
      <c r="E1281" s="253"/>
      <c r="F1281" s="373">
        <f>F$6</f>
        <v>2020</v>
      </c>
      <c r="G1281" s="373"/>
      <c r="H1281" s="373"/>
      <c r="I1281" s="253"/>
      <c r="J1281" s="373">
        <f>J$6</f>
        <v>2035</v>
      </c>
      <c r="K1281" s="373"/>
      <c r="L1281" s="373"/>
      <c r="M1281" s="236"/>
      <c r="N1281" s="236"/>
    </row>
    <row r="1282" spans="1:14" x14ac:dyDescent="0.3">
      <c r="A1282" s="254"/>
      <c r="B1282" s="255" t="s">
        <v>352</v>
      </c>
      <c r="C1282" s="255" t="s">
        <v>353</v>
      </c>
      <c r="D1282" s="255" t="s">
        <v>32</v>
      </c>
      <c r="E1282" s="255"/>
      <c r="F1282" s="255" t="s">
        <v>352</v>
      </c>
      <c r="G1282" s="255" t="s">
        <v>353</v>
      </c>
      <c r="H1282" s="255" t="s">
        <v>32</v>
      </c>
      <c r="I1282" s="255"/>
      <c r="J1282" s="255" t="s">
        <v>352</v>
      </c>
      <c r="K1282" s="255" t="s">
        <v>353</v>
      </c>
      <c r="L1282" s="255" t="s">
        <v>32</v>
      </c>
      <c r="M1282" s="236"/>
      <c r="N1282" s="236"/>
    </row>
    <row r="1283" spans="1:14" x14ac:dyDescent="0.3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  <c r="N1283" s="236"/>
    </row>
    <row r="1284" spans="1:14" x14ac:dyDescent="0.3">
      <c r="A1284" s="237" t="str">
        <f>name!E$4</f>
        <v>Managers, directors and senior officials</v>
      </c>
      <c r="B1284" s="302">
        <v>2.4373039643582701</v>
      </c>
      <c r="C1284" s="302">
        <v>2.640576500004332</v>
      </c>
      <c r="D1284" s="302">
        <f>SUM(B1284:C1284)</f>
        <v>5.0778804643626021</v>
      </c>
      <c r="E1284" s="303"/>
      <c r="F1284" s="302">
        <v>3.6527389192367981</v>
      </c>
      <c r="G1284" s="302">
        <v>1.9775085869628133</v>
      </c>
      <c r="H1284" s="302">
        <f>SUM(F1284:G1284)</f>
        <v>5.6302475061996109</v>
      </c>
      <c r="I1284" s="303"/>
      <c r="J1284" s="302">
        <v>5.2490232882833068</v>
      </c>
      <c r="K1284" s="302">
        <v>2.3079874197783505</v>
      </c>
      <c r="L1284" s="302">
        <f>SUM(J1284:K1284)</f>
        <v>7.5570107080616573</v>
      </c>
      <c r="M1284" s="236"/>
      <c r="N1284" s="236"/>
    </row>
    <row r="1285" spans="1:14" x14ac:dyDescent="0.3">
      <c r="A1285" s="237" t="str">
        <f>name!E$5</f>
        <v>Professional occupations</v>
      </c>
      <c r="B1285" s="302">
        <v>1.3675420806720486</v>
      </c>
      <c r="C1285" s="302">
        <v>2.2135166250848237</v>
      </c>
      <c r="D1285" s="302">
        <f t="shared" ref="D1285:D1292" si="466">SUM(B1285:C1285)</f>
        <v>3.5810587057568721</v>
      </c>
      <c r="E1285" s="303"/>
      <c r="F1285" s="302">
        <v>2.7786745964433601</v>
      </c>
      <c r="G1285" s="302">
        <v>1.9296753540656717</v>
      </c>
      <c r="H1285" s="302">
        <f t="shared" ref="H1285:H1292" si="467">SUM(F1285:G1285)</f>
        <v>4.7083499505090316</v>
      </c>
      <c r="I1285" s="303"/>
      <c r="J1285" s="302">
        <v>2.6185277916779843</v>
      </c>
      <c r="K1285" s="302">
        <v>2.2934924473347067</v>
      </c>
      <c r="L1285" s="302">
        <f t="shared" ref="L1285:L1292" si="468">SUM(J1285:K1285)</f>
        <v>4.9120202390126906</v>
      </c>
      <c r="M1285" s="236"/>
      <c r="N1285" s="236"/>
    </row>
    <row r="1286" spans="1:14" x14ac:dyDescent="0.3">
      <c r="A1286" s="237" t="str">
        <f>name!E$6</f>
        <v>Associate professional occupations</v>
      </c>
      <c r="B1286" s="302">
        <v>2.0153609316427312</v>
      </c>
      <c r="C1286" s="302">
        <v>2.4750405064486118</v>
      </c>
      <c r="D1286" s="302">
        <f t="shared" si="466"/>
        <v>4.4904014380913431</v>
      </c>
      <c r="E1286" s="303"/>
      <c r="F1286" s="302">
        <v>4.1904939936242975</v>
      </c>
      <c r="G1286" s="302">
        <v>2.0719007568244314</v>
      </c>
      <c r="H1286" s="302">
        <f t="shared" si="467"/>
        <v>6.2623947504487294</v>
      </c>
      <c r="I1286" s="303"/>
      <c r="J1286" s="302">
        <v>3.8915422596206275</v>
      </c>
      <c r="K1286" s="302">
        <v>2.2254732722299688</v>
      </c>
      <c r="L1286" s="302">
        <f t="shared" si="468"/>
        <v>6.1170155318505959</v>
      </c>
      <c r="M1286" s="236"/>
      <c r="N1286" s="236"/>
    </row>
    <row r="1287" spans="1:14" x14ac:dyDescent="0.3">
      <c r="A1287" s="237" t="str">
        <f>name!E$7</f>
        <v>Administrative and secretarial occupations</v>
      </c>
      <c r="B1287" s="302">
        <v>1.3722674256563123</v>
      </c>
      <c r="C1287" s="302">
        <v>0.32535715135979615</v>
      </c>
      <c r="D1287" s="302">
        <f t="shared" si="466"/>
        <v>1.6976245770161085</v>
      </c>
      <c r="E1287" s="303"/>
      <c r="F1287" s="302">
        <v>1.7120273887000881</v>
      </c>
      <c r="G1287" s="302">
        <v>0.26395459192700815</v>
      </c>
      <c r="H1287" s="302">
        <f t="shared" si="467"/>
        <v>1.9759819806270962</v>
      </c>
      <c r="I1287" s="303"/>
      <c r="J1287" s="302">
        <v>2.1235996445991665</v>
      </c>
      <c r="K1287" s="302">
        <v>0.25018158476703717</v>
      </c>
      <c r="L1287" s="302">
        <f t="shared" si="468"/>
        <v>2.3737812293662035</v>
      </c>
      <c r="M1287" s="236"/>
      <c r="N1287" s="236"/>
    </row>
    <row r="1288" spans="1:14" x14ac:dyDescent="0.3">
      <c r="A1288" s="237" t="str">
        <f>name!E$8</f>
        <v>Skilled trades occupations</v>
      </c>
      <c r="B1288" s="302">
        <v>0.60065009341180531</v>
      </c>
      <c r="C1288" s="302">
        <v>1.998878318423629</v>
      </c>
      <c r="D1288" s="302">
        <f t="shared" si="466"/>
        <v>2.5995284118354345</v>
      </c>
      <c r="E1288" s="303"/>
      <c r="F1288" s="302">
        <v>1.1120790262922946</v>
      </c>
      <c r="G1288" s="302">
        <v>1.2060695375893391</v>
      </c>
      <c r="H1288" s="302">
        <f t="shared" si="467"/>
        <v>2.3181485638816337</v>
      </c>
      <c r="I1288" s="303"/>
      <c r="J1288" s="302">
        <v>1.7467063252341204</v>
      </c>
      <c r="K1288" s="302">
        <v>1.2630345663358382</v>
      </c>
      <c r="L1288" s="302">
        <f t="shared" si="468"/>
        <v>3.0097408915699586</v>
      </c>
      <c r="M1288" s="236"/>
      <c r="N1288" s="236"/>
    </row>
    <row r="1289" spans="1:14" x14ac:dyDescent="0.3">
      <c r="A1289" s="237" t="str">
        <f>name!E$9</f>
        <v>Caring, leisure and other service occupations</v>
      </c>
      <c r="B1289" s="302">
        <v>16.732427580185249</v>
      </c>
      <c r="C1289" s="302">
        <v>4.6634884889598398</v>
      </c>
      <c r="D1289" s="302">
        <f t="shared" si="466"/>
        <v>21.395916069145088</v>
      </c>
      <c r="E1289" s="303"/>
      <c r="F1289" s="302">
        <v>25.565348418675509</v>
      </c>
      <c r="G1289" s="302">
        <v>3.6114572903704265</v>
      </c>
      <c r="H1289" s="302">
        <f t="shared" si="467"/>
        <v>29.176805709045937</v>
      </c>
      <c r="I1289" s="303"/>
      <c r="J1289" s="302">
        <v>22.743434453628993</v>
      </c>
      <c r="K1289" s="302">
        <v>3.8666379837707634</v>
      </c>
      <c r="L1289" s="302">
        <f t="shared" si="468"/>
        <v>26.610072437399758</v>
      </c>
      <c r="M1289" s="236"/>
      <c r="N1289" s="236"/>
    </row>
    <row r="1290" spans="1:14" x14ac:dyDescent="0.3">
      <c r="A1290" s="237" t="str">
        <f>name!E$10</f>
        <v>Sales and customer service occupations</v>
      </c>
      <c r="B1290" s="302">
        <v>1.0740941170830502</v>
      </c>
      <c r="C1290" s="302">
        <v>0.7378471410779055</v>
      </c>
      <c r="D1290" s="302">
        <f t="shared" si="466"/>
        <v>1.8119412581609557</v>
      </c>
      <c r="E1290" s="303"/>
      <c r="F1290" s="302">
        <v>1.1981750748965869</v>
      </c>
      <c r="G1290" s="302">
        <v>0.49392743612995321</v>
      </c>
      <c r="H1290" s="302">
        <f t="shared" si="467"/>
        <v>1.6921025110265402</v>
      </c>
      <c r="I1290" s="303"/>
      <c r="J1290" s="302">
        <v>1.224298568406138</v>
      </c>
      <c r="K1290" s="302">
        <v>0.51470771283248795</v>
      </c>
      <c r="L1290" s="302">
        <f t="shared" si="468"/>
        <v>1.739006281238626</v>
      </c>
      <c r="M1290" s="236"/>
      <c r="N1290" s="236"/>
    </row>
    <row r="1291" spans="1:14" x14ac:dyDescent="0.3">
      <c r="A1291" s="237" t="str">
        <f>name!E$11</f>
        <v>Process, plant and machine operatives</v>
      </c>
      <c r="B1291" s="302">
        <v>0.14823602079356005</v>
      </c>
      <c r="C1291" s="302">
        <v>1.3067094072906458</v>
      </c>
      <c r="D1291" s="302">
        <f t="shared" si="466"/>
        <v>1.4549454280842058</v>
      </c>
      <c r="E1291" s="303"/>
      <c r="F1291" s="302">
        <v>0.23880132800275633</v>
      </c>
      <c r="G1291" s="302">
        <v>0.82426902806052815</v>
      </c>
      <c r="H1291" s="302">
        <f t="shared" si="467"/>
        <v>1.0630703560632844</v>
      </c>
      <c r="I1291" s="303"/>
      <c r="J1291" s="302">
        <v>0.30819991950667136</v>
      </c>
      <c r="K1291" s="302">
        <v>0.71504947797490115</v>
      </c>
      <c r="L1291" s="302">
        <f t="shared" si="468"/>
        <v>1.0232493974815724</v>
      </c>
      <c r="M1291" s="236"/>
      <c r="N1291" s="236"/>
    </row>
    <row r="1292" spans="1:14" x14ac:dyDescent="0.3">
      <c r="A1292" s="237" t="str">
        <f>name!E$12</f>
        <v>Elementary occupations</v>
      </c>
      <c r="B1292" s="302">
        <v>1.0641177866049807</v>
      </c>
      <c r="C1292" s="302">
        <v>2.6795858614977841</v>
      </c>
      <c r="D1292" s="302">
        <f t="shared" si="466"/>
        <v>3.7437036481027648</v>
      </c>
      <c r="E1292" s="303"/>
      <c r="F1292" s="302">
        <v>1.0586612533857962</v>
      </c>
      <c r="G1292" s="302">
        <v>1.6212374181553721</v>
      </c>
      <c r="H1292" s="302">
        <f t="shared" si="467"/>
        <v>2.6798986715411681</v>
      </c>
      <c r="I1292" s="303"/>
      <c r="J1292" s="302">
        <v>0.69966774902874052</v>
      </c>
      <c r="K1292" s="302">
        <v>1.5784355351246344</v>
      </c>
      <c r="L1292" s="302">
        <f t="shared" si="468"/>
        <v>2.2781032841533748</v>
      </c>
      <c r="M1292" s="236"/>
      <c r="N1292" s="236"/>
    </row>
    <row r="1293" spans="1:14" x14ac:dyDescent="0.3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  <c r="N1293" s="236"/>
    </row>
    <row r="1294" spans="1:14" x14ac:dyDescent="0.3">
      <c r="A1294" s="244" t="s">
        <v>32</v>
      </c>
      <c r="B1294" s="311">
        <f>SUM(B1284:B1292)</f>
        <v>26.812000000408009</v>
      </c>
      <c r="C1294" s="311">
        <f t="shared" ref="C1294:D1294" si="469">SUM(C1284:C1292)</f>
        <v>19.041000000147367</v>
      </c>
      <c r="D1294" s="311">
        <f t="shared" si="469"/>
        <v>45.853000000555376</v>
      </c>
      <c r="E1294" s="311"/>
      <c r="F1294" s="311">
        <f t="shared" ref="F1294:H1294" si="470">SUM(F1284:F1292)</f>
        <v>41.506999999257488</v>
      </c>
      <c r="G1294" s="311">
        <f t="shared" si="470"/>
        <v>14.000000000085542</v>
      </c>
      <c r="H1294" s="311">
        <f t="shared" si="470"/>
        <v>55.50699999934303</v>
      </c>
      <c r="I1294" s="311"/>
      <c r="J1294" s="311">
        <f t="shared" ref="J1294:L1294" si="471">SUM(J1284:J1292)</f>
        <v>40.60499999998575</v>
      </c>
      <c r="K1294" s="311">
        <f t="shared" si="471"/>
        <v>15.015000000148689</v>
      </c>
      <c r="L1294" s="311">
        <f t="shared" si="471"/>
        <v>55.620000000134425</v>
      </c>
      <c r="M1294" s="236"/>
      <c r="N1294" s="236"/>
    </row>
    <row r="1295" spans="1:14" x14ac:dyDescent="0.3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  <c r="N1295" s="236"/>
    </row>
  </sheetData>
  <mergeCells count="228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</mergeCells>
  <pageMargins left="0.7" right="0.7" top="0.75" bottom="0.75" header="0.3" footer="0.3"/>
  <pageSetup paperSize="9" scale="75" orientation="portrait" r:id="rId1"/>
  <rowBreaks count="19" manualBreakCount="19">
    <brk id="54" max="16383" man="1"/>
    <brk id="122" max="11" man="1"/>
    <brk id="190" max="11" man="1"/>
    <brk id="258" max="11" man="1"/>
    <brk id="326" max="11" man="1"/>
    <brk id="394" max="11" man="1"/>
    <brk id="462" max="11" man="1"/>
    <brk id="530" max="11" man="1"/>
    <brk id="598" max="11" man="1"/>
    <brk id="666" max="11" man="1"/>
    <brk id="734" max="11" man="1"/>
    <brk id="802" max="11" man="1"/>
    <brk id="870" max="11" man="1"/>
    <brk id="938" max="11" man="1"/>
    <brk id="1006" max="11" man="1"/>
    <brk id="1074" max="11" man="1"/>
    <brk id="1142" max="11" man="1"/>
    <brk id="1210" max="11" man="1"/>
    <brk id="1278" max="11" man="1"/>
  </rowBreaks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5">
    <pageSetUpPr fitToPage="1"/>
  </sheetPr>
  <dimension ref="A1:W1295"/>
  <sheetViews>
    <sheetView showGridLines="0" zoomScale="85" zoomScaleNormal="85" workbookViewId="0"/>
  </sheetViews>
  <sheetFormatPr defaultRowHeight="12.45" x14ac:dyDescent="0.3"/>
  <cols>
    <col min="1" max="1" width="37.84375" customWidth="1"/>
    <col min="2" max="2" width="5.69140625" bestFit="1" customWidth="1"/>
    <col min="3" max="4" width="4.15234375" bestFit="1" customWidth="1"/>
    <col min="5" max="5" width="5.69140625" bestFit="1" customWidth="1"/>
    <col min="6" max="6" width="4.69140625" customWidth="1"/>
    <col min="7" max="7" width="5.69140625" bestFit="1" customWidth="1"/>
    <col min="8" max="9" width="4.15234375" bestFit="1" customWidth="1"/>
    <col min="10" max="10" width="5.69140625" bestFit="1" customWidth="1"/>
    <col min="11" max="11" width="4.84375" customWidth="1"/>
    <col min="12" max="13" width="5.69140625" bestFit="1" customWidth="1"/>
    <col min="14" max="14" width="4.15234375" bestFit="1" customWidth="1"/>
    <col min="15" max="15" width="5.69140625" bestFit="1" customWidth="1"/>
    <col min="259" max="259" width="33.15234375" bestFit="1" customWidth="1"/>
    <col min="260" max="262" width="7.15234375" customWidth="1"/>
    <col min="263" max="263" width="5" customWidth="1"/>
    <col min="264" max="266" width="7.15234375" customWidth="1"/>
    <col min="267" max="267" width="5" customWidth="1"/>
    <col min="268" max="270" width="7.15234375" customWidth="1"/>
    <col min="515" max="515" width="33.15234375" bestFit="1" customWidth="1"/>
    <col min="516" max="518" width="7.15234375" customWidth="1"/>
    <col min="519" max="519" width="5" customWidth="1"/>
    <col min="520" max="522" width="7.15234375" customWidth="1"/>
    <col min="523" max="523" width="5" customWidth="1"/>
    <col min="524" max="526" width="7.15234375" customWidth="1"/>
    <col min="771" max="771" width="33.15234375" bestFit="1" customWidth="1"/>
    <col min="772" max="774" width="7.15234375" customWidth="1"/>
    <col min="775" max="775" width="5" customWidth="1"/>
    <col min="776" max="778" width="7.15234375" customWidth="1"/>
    <col min="779" max="779" width="5" customWidth="1"/>
    <col min="780" max="782" width="7.15234375" customWidth="1"/>
    <col min="1027" max="1027" width="33.15234375" bestFit="1" customWidth="1"/>
    <col min="1028" max="1030" width="7.15234375" customWidth="1"/>
    <col min="1031" max="1031" width="5" customWidth="1"/>
    <col min="1032" max="1034" width="7.15234375" customWidth="1"/>
    <col min="1035" max="1035" width="5" customWidth="1"/>
    <col min="1036" max="1038" width="7.15234375" customWidth="1"/>
    <col min="1283" max="1283" width="33.15234375" bestFit="1" customWidth="1"/>
    <col min="1284" max="1286" width="7.15234375" customWidth="1"/>
    <col min="1287" max="1287" width="5" customWidth="1"/>
    <col min="1288" max="1290" width="7.15234375" customWidth="1"/>
    <col min="1291" max="1291" width="5" customWidth="1"/>
    <col min="1292" max="1294" width="7.15234375" customWidth="1"/>
    <col min="1539" max="1539" width="33.15234375" bestFit="1" customWidth="1"/>
    <col min="1540" max="1542" width="7.15234375" customWidth="1"/>
    <col min="1543" max="1543" width="5" customWidth="1"/>
    <col min="1544" max="1546" width="7.15234375" customWidth="1"/>
    <col min="1547" max="1547" width="5" customWidth="1"/>
    <col min="1548" max="1550" width="7.15234375" customWidth="1"/>
    <col min="1795" max="1795" width="33.15234375" bestFit="1" customWidth="1"/>
    <col min="1796" max="1798" width="7.15234375" customWidth="1"/>
    <col min="1799" max="1799" width="5" customWidth="1"/>
    <col min="1800" max="1802" width="7.15234375" customWidth="1"/>
    <col min="1803" max="1803" width="5" customWidth="1"/>
    <col min="1804" max="1806" width="7.15234375" customWidth="1"/>
    <col min="2051" max="2051" width="33.15234375" bestFit="1" customWidth="1"/>
    <col min="2052" max="2054" width="7.15234375" customWidth="1"/>
    <col min="2055" max="2055" width="5" customWidth="1"/>
    <col min="2056" max="2058" width="7.15234375" customWidth="1"/>
    <col min="2059" max="2059" width="5" customWidth="1"/>
    <col min="2060" max="2062" width="7.15234375" customWidth="1"/>
    <col min="2307" max="2307" width="33.15234375" bestFit="1" customWidth="1"/>
    <col min="2308" max="2310" width="7.15234375" customWidth="1"/>
    <col min="2311" max="2311" width="5" customWidth="1"/>
    <col min="2312" max="2314" width="7.15234375" customWidth="1"/>
    <col min="2315" max="2315" width="5" customWidth="1"/>
    <col min="2316" max="2318" width="7.15234375" customWidth="1"/>
    <col min="2563" max="2563" width="33.15234375" bestFit="1" customWidth="1"/>
    <col min="2564" max="2566" width="7.15234375" customWidth="1"/>
    <col min="2567" max="2567" width="5" customWidth="1"/>
    <col min="2568" max="2570" width="7.15234375" customWidth="1"/>
    <col min="2571" max="2571" width="5" customWidth="1"/>
    <col min="2572" max="2574" width="7.15234375" customWidth="1"/>
    <col min="2819" max="2819" width="33.15234375" bestFit="1" customWidth="1"/>
    <col min="2820" max="2822" width="7.15234375" customWidth="1"/>
    <col min="2823" max="2823" width="5" customWidth="1"/>
    <col min="2824" max="2826" width="7.15234375" customWidth="1"/>
    <col min="2827" max="2827" width="5" customWidth="1"/>
    <col min="2828" max="2830" width="7.15234375" customWidth="1"/>
    <col min="3075" max="3075" width="33.15234375" bestFit="1" customWidth="1"/>
    <col min="3076" max="3078" width="7.15234375" customWidth="1"/>
    <col min="3079" max="3079" width="5" customWidth="1"/>
    <col min="3080" max="3082" width="7.15234375" customWidth="1"/>
    <col min="3083" max="3083" width="5" customWidth="1"/>
    <col min="3084" max="3086" width="7.15234375" customWidth="1"/>
    <col min="3331" max="3331" width="33.15234375" bestFit="1" customWidth="1"/>
    <col min="3332" max="3334" width="7.15234375" customWidth="1"/>
    <col min="3335" max="3335" width="5" customWidth="1"/>
    <col min="3336" max="3338" width="7.15234375" customWidth="1"/>
    <col min="3339" max="3339" width="5" customWidth="1"/>
    <col min="3340" max="3342" width="7.15234375" customWidth="1"/>
    <col min="3587" max="3587" width="33.15234375" bestFit="1" customWidth="1"/>
    <col min="3588" max="3590" width="7.15234375" customWidth="1"/>
    <col min="3591" max="3591" width="5" customWidth="1"/>
    <col min="3592" max="3594" width="7.15234375" customWidth="1"/>
    <col min="3595" max="3595" width="5" customWidth="1"/>
    <col min="3596" max="3598" width="7.15234375" customWidth="1"/>
    <col min="3843" max="3843" width="33.15234375" bestFit="1" customWidth="1"/>
    <col min="3844" max="3846" width="7.15234375" customWidth="1"/>
    <col min="3847" max="3847" width="5" customWidth="1"/>
    <col min="3848" max="3850" width="7.15234375" customWidth="1"/>
    <col min="3851" max="3851" width="5" customWidth="1"/>
    <col min="3852" max="3854" width="7.15234375" customWidth="1"/>
    <col min="4099" max="4099" width="33.15234375" bestFit="1" customWidth="1"/>
    <col min="4100" max="4102" width="7.15234375" customWidth="1"/>
    <col min="4103" max="4103" width="5" customWidth="1"/>
    <col min="4104" max="4106" width="7.15234375" customWidth="1"/>
    <col min="4107" max="4107" width="5" customWidth="1"/>
    <col min="4108" max="4110" width="7.15234375" customWidth="1"/>
    <col min="4355" max="4355" width="33.15234375" bestFit="1" customWidth="1"/>
    <col min="4356" max="4358" width="7.15234375" customWidth="1"/>
    <col min="4359" max="4359" width="5" customWidth="1"/>
    <col min="4360" max="4362" width="7.15234375" customWidth="1"/>
    <col min="4363" max="4363" width="5" customWidth="1"/>
    <col min="4364" max="4366" width="7.15234375" customWidth="1"/>
    <col min="4611" max="4611" width="33.15234375" bestFit="1" customWidth="1"/>
    <col min="4612" max="4614" width="7.15234375" customWidth="1"/>
    <col min="4615" max="4615" width="5" customWidth="1"/>
    <col min="4616" max="4618" width="7.15234375" customWidth="1"/>
    <col min="4619" max="4619" width="5" customWidth="1"/>
    <col min="4620" max="4622" width="7.15234375" customWidth="1"/>
    <col min="4867" max="4867" width="33.15234375" bestFit="1" customWidth="1"/>
    <col min="4868" max="4870" width="7.15234375" customWidth="1"/>
    <col min="4871" max="4871" width="5" customWidth="1"/>
    <col min="4872" max="4874" width="7.15234375" customWidth="1"/>
    <col min="4875" max="4875" width="5" customWidth="1"/>
    <col min="4876" max="4878" width="7.15234375" customWidth="1"/>
    <col min="5123" max="5123" width="33.15234375" bestFit="1" customWidth="1"/>
    <col min="5124" max="5126" width="7.15234375" customWidth="1"/>
    <col min="5127" max="5127" width="5" customWidth="1"/>
    <col min="5128" max="5130" width="7.15234375" customWidth="1"/>
    <col min="5131" max="5131" width="5" customWidth="1"/>
    <col min="5132" max="5134" width="7.15234375" customWidth="1"/>
    <col min="5379" max="5379" width="33.15234375" bestFit="1" customWidth="1"/>
    <col min="5380" max="5382" width="7.15234375" customWidth="1"/>
    <col min="5383" max="5383" width="5" customWidth="1"/>
    <col min="5384" max="5386" width="7.15234375" customWidth="1"/>
    <col min="5387" max="5387" width="5" customWidth="1"/>
    <col min="5388" max="5390" width="7.15234375" customWidth="1"/>
    <col min="5635" max="5635" width="33.15234375" bestFit="1" customWidth="1"/>
    <col min="5636" max="5638" width="7.15234375" customWidth="1"/>
    <col min="5639" max="5639" width="5" customWidth="1"/>
    <col min="5640" max="5642" width="7.15234375" customWidth="1"/>
    <col min="5643" max="5643" width="5" customWidth="1"/>
    <col min="5644" max="5646" width="7.15234375" customWidth="1"/>
    <col min="5891" max="5891" width="33.15234375" bestFit="1" customWidth="1"/>
    <col min="5892" max="5894" width="7.15234375" customWidth="1"/>
    <col min="5895" max="5895" width="5" customWidth="1"/>
    <col min="5896" max="5898" width="7.15234375" customWidth="1"/>
    <col min="5899" max="5899" width="5" customWidth="1"/>
    <col min="5900" max="5902" width="7.15234375" customWidth="1"/>
    <col min="6147" max="6147" width="33.15234375" bestFit="1" customWidth="1"/>
    <col min="6148" max="6150" width="7.15234375" customWidth="1"/>
    <col min="6151" max="6151" width="5" customWidth="1"/>
    <col min="6152" max="6154" width="7.15234375" customWidth="1"/>
    <col min="6155" max="6155" width="5" customWidth="1"/>
    <col min="6156" max="6158" width="7.15234375" customWidth="1"/>
    <col min="6403" max="6403" width="33.15234375" bestFit="1" customWidth="1"/>
    <col min="6404" max="6406" width="7.15234375" customWidth="1"/>
    <col min="6407" max="6407" width="5" customWidth="1"/>
    <col min="6408" max="6410" width="7.15234375" customWidth="1"/>
    <col min="6411" max="6411" width="5" customWidth="1"/>
    <col min="6412" max="6414" width="7.15234375" customWidth="1"/>
    <col min="6659" max="6659" width="33.15234375" bestFit="1" customWidth="1"/>
    <col min="6660" max="6662" width="7.15234375" customWidth="1"/>
    <col min="6663" max="6663" width="5" customWidth="1"/>
    <col min="6664" max="6666" width="7.15234375" customWidth="1"/>
    <col min="6667" max="6667" width="5" customWidth="1"/>
    <col min="6668" max="6670" width="7.15234375" customWidth="1"/>
    <col min="6915" max="6915" width="33.15234375" bestFit="1" customWidth="1"/>
    <col min="6916" max="6918" width="7.15234375" customWidth="1"/>
    <col min="6919" max="6919" width="5" customWidth="1"/>
    <col min="6920" max="6922" width="7.15234375" customWidth="1"/>
    <col min="6923" max="6923" width="5" customWidth="1"/>
    <col min="6924" max="6926" width="7.15234375" customWidth="1"/>
    <col min="7171" max="7171" width="33.15234375" bestFit="1" customWidth="1"/>
    <col min="7172" max="7174" width="7.15234375" customWidth="1"/>
    <col min="7175" max="7175" width="5" customWidth="1"/>
    <col min="7176" max="7178" width="7.15234375" customWidth="1"/>
    <col min="7179" max="7179" width="5" customWidth="1"/>
    <col min="7180" max="7182" width="7.15234375" customWidth="1"/>
    <col min="7427" max="7427" width="33.15234375" bestFit="1" customWidth="1"/>
    <col min="7428" max="7430" width="7.15234375" customWidth="1"/>
    <col min="7431" max="7431" width="5" customWidth="1"/>
    <col min="7432" max="7434" width="7.15234375" customWidth="1"/>
    <col min="7435" max="7435" width="5" customWidth="1"/>
    <col min="7436" max="7438" width="7.15234375" customWidth="1"/>
    <col min="7683" max="7683" width="33.15234375" bestFit="1" customWidth="1"/>
    <col min="7684" max="7686" width="7.15234375" customWidth="1"/>
    <col min="7687" max="7687" width="5" customWidth="1"/>
    <col min="7688" max="7690" width="7.15234375" customWidth="1"/>
    <col min="7691" max="7691" width="5" customWidth="1"/>
    <col min="7692" max="7694" width="7.15234375" customWidth="1"/>
    <col min="7939" max="7939" width="33.15234375" bestFit="1" customWidth="1"/>
    <col min="7940" max="7942" width="7.15234375" customWidth="1"/>
    <col min="7943" max="7943" width="5" customWidth="1"/>
    <col min="7944" max="7946" width="7.15234375" customWidth="1"/>
    <col min="7947" max="7947" width="5" customWidth="1"/>
    <col min="7948" max="7950" width="7.15234375" customWidth="1"/>
    <col min="8195" max="8195" width="33.15234375" bestFit="1" customWidth="1"/>
    <col min="8196" max="8198" width="7.15234375" customWidth="1"/>
    <col min="8199" max="8199" width="5" customWidth="1"/>
    <col min="8200" max="8202" width="7.15234375" customWidth="1"/>
    <col min="8203" max="8203" width="5" customWidth="1"/>
    <col min="8204" max="8206" width="7.15234375" customWidth="1"/>
    <col min="8451" max="8451" width="33.15234375" bestFit="1" customWidth="1"/>
    <col min="8452" max="8454" width="7.15234375" customWidth="1"/>
    <col min="8455" max="8455" width="5" customWidth="1"/>
    <col min="8456" max="8458" width="7.15234375" customWidth="1"/>
    <col min="8459" max="8459" width="5" customWidth="1"/>
    <col min="8460" max="8462" width="7.15234375" customWidth="1"/>
    <col min="8707" max="8707" width="33.15234375" bestFit="1" customWidth="1"/>
    <col min="8708" max="8710" width="7.15234375" customWidth="1"/>
    <col min="8711" max="8711" width="5" customWidth="1"/>
    <col min="8712" max="8714" width="7.15234375" customWidth="1"/>
    <col min="8715" max="8715" width="5" customWidth="1"/>
    <col min="8716" max="8718" width="7.15234375" customWidth="1"/>
    <col min="8963" max="8963" width="33.15234375" bestFit="1" customWidth="1"/>
    <col min="8964" max="8966" width="7.15234375" customWidth="1"/>
    <col min="8967" max="8967" width="5" customWidth="1"/>
    <col min="8968" max="8970" width="7.15234375" customWidth="1"/>
    <col min="8971" max="8971" width="5" customWidth="1"/>
    <col min="8972" max="8974" width="7.15234375" customWidth="1"/>
    <col min="9219" max="9219" width="33.15234375" bestFit="1" customWidth="1"/>
    <col min="9220" max="9222" width="7.15234375" customWidth="1"/>
    <col min="9223" max="9223" width="5" customWidth="1"/>
    <col min="9224" max="9226" width="7.15234375" customWidth="1"/>
    <col min="9227" max="9227" width="5" customWidth="1"/>
    <col min="9228" max="9230" width="7.15234375" customWidth="1"/>
    <col min="9475" max="9475" width="33.15234375" bestFit="1" customWidth="1"/>
    <col min="9476" max="9478" width="7.15234375" customWidth="1"/>
    <col min="9479" max="9479" width="5" customWidth="1"/>
    <col min="9480" max="9482" width="7.15234375" customWidth="1"/>
    <col min="9483" max="9483" width="5" customWidth="1"/>
    <col min="9484" max="9486" width="7.15234375" customWidth="1"/>
    <col min="9731" max="9731" width="33.15234375" bestFit="1" customWidth="1"/>
    <col min="9732" max="9734" width="7.15234375" customWidth="1"/>
    <col min="9735" max="9735" width="5" customWidth="1"/>
    <col min="9736" max="9738" width="7.15234375" customWidth="1"/>
    <col min="9739" max="9739" width="5" customWidth="1"/>
    <col min="9740" max="9742" width="7.15234375" customWidth="1"/>
    <col min="9987" max="9987" width="33.15234375" bestFit="1" customWidth="1"/>
    <col min="9988" max="9990" width="7.15234375" customWidth="1"/>
    <col min="9991" max="9991" width="5" customWidth="1"/>
    <col min="9992" max="9994" width="7.15234375" customWidth="1"/>
    <col min="9995" max="9995" width="5" customWidth="1"/>
    <col min="9996" max="9998" width="7.15234375" customWidth="1"/>
    <col min="10243" max="10243" width="33.15234375" bestFit="1" customWidth="1"/>
    <col min="10244" max="10246" width="7.15234375" customWidth="1"/>
    <col min="10247" max="10247" width="5" customWidth="1"/>
    <col min="10248" max="10250" width="7.15234375" customWidth="1"/>
    <col min="10251" max="10251" width="5" customWidth="1"/>
    <col min="10252" max="10254" width="7.15234375" customWidth="1"/>
    <col min="10499" max="10499" width="33.15234375" bestFit="1" customWidth="1"/>
    <col min="10500" max="10502" width="7.15234375" customWidth="1"/>
    <col min="10503" max="10503" width="5" customWidth="1"/>
    <col min="10504" max="10506" width="7.15234375" customWidth="1"/>
    <col min="10507" max="10507" width="5" customWidth="1"/>
    <col min="10508" max="10510" width="7.15234375" customWidth="1"/>
    <col min="10755" max="10755" width="33.15234375" bestFit="1" customWidth="1"/>
    <col min="10756" max="10758" width="7.15234375" customWidth="1"/>
    <col min="10759" max="10759" width="5" customWidth="1"/>
    <col min="10760" max="10762" width="7.15234375" customWidth="1"/>
    <col min="10763" max="10763" width="5" customWidth="1"/>
    <col min="10764" max="10766" width="7.15234375" customWidth="1"/>
    <col min="11011" max="11011" width="33.15234375" bestFit="1" customWidth="1"/>
    <col min="11012" max="11014" width="7.15234375" customWidth="1"/>
    <col min="11015" max="11015" width="5" customWidth="1"/>
    <col min="11016" max="11018" width="7.15234375" customWidth="1"/>
    <col min="11019" max="11019" width="5" customWidth="1"/>
    <col min="11020" max="11022" width="7.15234375" customWidth="1"/>
    <col min="11267" max="11267" width="33.15234375" bestFit="1" customWidth="1"/>
    <col min="11268" max="11270" width="7.15234375" customWidth="1"/>
    <col min="11271" max="11271" width="5" customWidth="1"/>
    <col min="11272" max="11274" width="7.15234375" customWidth="1"/>
    <col min="11275" max="11275" width="5" customWidth="1"/>
    <col min="11276" max="11278" width="7.15234375" customWidth="1"/>
    <col min="11523" max="11523" width="33.15234375" bestFit="1" customWidth="1"/>
    <col min="11524" max="11526" width="7.15234375" customWidth="1"/>
    <col min="11527" max="11527" width="5" customWidth="1"/>
    <col min="11528" max="11530" width="7.15234375" customWidth="1"/>
    <col min="11531" max="11531" width="5" customWidth="1"/>
    <col min="11532" max="11534" width="7.15234375" customWidth="1"/>
    <col min="11779" max="11779" width="33.15234375" bestFit="1" customWidth="1"/>
    <col min="11780" max="11782" width="7.15234375" customWidth="1"/>
    <col min="11783" max="11783" width="5" customWidth="1"/>
    <col min="11784" max="11786" width="7.15234375" customWidth="1"/>
    <col min="11787" max="11787" width="5" customWidth="1"/>
    <col min="11788" max="11790" width="7.15234375" customWidth="1"/>
    <col min="12035" max="12035" width="33.15234375" bestFit="1" customWidth="1"/>
    <col min="12036" max="12038" width="7.15234375" customWidth="1"/>
    <col min="12039" max="12039" width="5" customWidth="1"/>
    <col min="12040" max="12042" width="7.15234375" customWidth="1"/>
    <col min="12043" max="12043" width="5" customWidth="1"/>
    <col min="12044" max="12046" width="7.15234375" customWidth="1"/>
    <col min="12291" max="12291" width="33.15234375" bestFit="1" customWidth="1"/>
    <col min="12292" max="12294" width="7.15234375" customWidth="1"/>
    <col min="12295" max="12295" width="5" customWidth="1"/>
    <col min="12296" max="12298" width="7.15234375" customWidth="1"/>
    <col min="12299" max="12299" width="5" customWidth="1"/>
    <col min="12300" max="12302" width="7.15234375" customWidth="1"/>
    <col min="12547" max="12547" width="33.15234375" bestFit="1" customWidth="1"/>
    <col min="12548" max="12550" width="7.15234375" customWidth="1"/>
    <col min="12551" max="12551" width="5" customWidth="1"/>
    <col min="12552" max="12554" width="7.15234375" customWidth="1"/>
    <col min="12555" max="12555" width="5" customWidth="1"/>
    <col min="12556" max="12558" width="7.15234375" customWidth="1"/>
    <col min="12803" max="12803" width="33.15234375" bestFit="1" customWidth="1"/>
    <col min="12804" max="12806" width="7.15234375" customWidth="1"/>
    <col min="12807" max="12807" width="5" customWidth="1"/>
    <col min="12808" max="12810" width="7.15234375" customWidth="1"/>
    <col min="12811" max="12811" width="5" customWidth="1"/>
    <col min="12812" max="12814" width="7.15234375" customWidth="1"/>
    <col min="13059" max="13059" width="33.15234375" bestFit="1" customWidth="1"/>
    <col min="13060" max="13062" width="7.15234375" customWidth="1"/>
    <col min="13063" max="13063" width="5" customWidth="1"/>
    <col min="13064" max="13066" width="7.15234375" customWidth="1"/>
    <col min="13067" max="13067" width="5" customWidth="1"/>
    <col min="13068" max="13070" width="7.15234375" customWidth="1"/>
    <col min="13315" max="13315" width="33.15234375" bestFit="1" customWidth="1"/>
    <col min="13316" max="13318" width="7.15234375" customWidth="1"/>
    <col min="13319" max="13319" width="5" customWidth="1"/>
    <col min="13320" max="13322" width="7.15234375" customWidth="1"/>
    <col min="13323" max="13323" width="5" customWidth="1"/>
    <col min="13324" max="13326" width="7.15234375" customWidth="1"/>
    <col min="13571" max="13571" width="33.15234375" bestFit="1" customWidth="1"/>
    <col min="13572" max="13574" width="7.15234375" customWidth="1"/>
    <col min="13575" max="13575" width="5" customWidth="1"/>
    <col min="13576" max="13578" width="7.15234375" customWidth="1"/>
    <col min="13579" max="13579" width="5" customWidth="1"/>
    <col min="13580" max="13582" width="7.15234375" customWidth="1"/>
    <col min="13827" max="13827" width="33.15234375" bestFit="1" customWidth="1"/>
    <col min="13828" max="13830" width="7.15234375" customWidth="1"/>
    <col min="13831" max="13831" width="5" customWidth="1"/>
    <col min="13832" max="13834" width="7.15234375" customWidth="1"/>
    <col min="13835" max="13835" width="5" customWidth="1"/>
    <col min="13836" max="13838" width="7.15234375" customWidth="1"/>
    <col min="14083" max="14083" width="33.15234375" bestFit="1" customWidth="1"/>
    <col min="14084" max="14086" width="7.15234375" customWidth="1"/>
    <col min="14087" max="14087" width="5" customWidth="1"/>
    <col min="14088" max="14090" width="7.15234375" customWidth="1"/>
    <col min="14091" max="14091" width="5" customWidth="1"/>
    <col min="14092" max="14094" width="7.15234375" customWidth="1"/>
    <col min="14339" max="14339" width="33.15234375" bestFit="1" customWidth="1"/>
    <col min="14340" max="14342" width="7.15234375" customWidth="1"/>
    <col min="14343" max="14343" width="5" customWidth="1"/>
    <col min="14344" max="14346" width="7.15234375" customWidth="1"/>
    <col min="14347" max="14347" width="5" customWidth="1"/>
    <col min="14348" max="14350" width="7.15234375" customWidth="1"/>
    <col min="14595" max="14595" width="33.15234375" bestFit="1" customWidth="1"/>
    <col min="14596" max="14598" width="7.15234375" customWidth="1"/>
    <col min="14599" max="14599" width="5" customWidth="1"/>
    <col min="14600" max="14602" width="7.15234375" customWidth="1"/>
    <col min="14603" max="14603" width="5" customWidth="1"/>
    <col min="14604" max="14606" width="7.15234375" customWidth="1"/>
    <col min="14851" max="14851" width="33.15234375" bestFit="1" customWidth="1"/>
    <col min="14852" max="14854" width="7.15234375" customWidth="1"/>
    <col min="14855" max="14855" width="5" customWidth="1"/>
    <col min="14856" max="14858" width="7.15234375" customWidth="1"/>
    <col min="14859" max="14859" width="5" customWidth="1"/>
    <col min="14860" max="14862" width="7.15234375" customWidth="1"/>
    <col min="15107" max="15107" width="33.15234375" bestFit="1" customWidth="1"/>
    <col min="15108" max="15110" width="7.15234375" customWidth="1"/>
    <col min="15111" max="15111" width="5" customWidth="1"/>
    <col min="15112" max="15114" width="7.15234375" customWidth="1"/>
    <col min="15115" max="15115" width="5" customWidth="1"/>
    <col min="15116" max="15118" width="7.15234375" customWidth="1"/>
    <col min="15363" max="15363" width="33.15234375" bestFit="1" customWidth="1"/>
    <col min="15364" max="15366" width="7.15234375" customWidth="1"/>
    <col min="15367" max="15367" width="5" customWidth="1"/>
    <col min="15368" max="15370" width="7.15234375" customWidth="1"/>
    <col min="15371" max="15371" width="5" customWidth="1"/>
    <col min="15372" max="15374" width="7.15234375" customWidth="1"/>
    <col min="15619" max="15619" width="33.15234375" bestFit="1" customWidth="1"/>
    <col min="15620" max="15622" width="7.15234375" customWidth="1"/>
    <col min="15623" max="15623" width="5" customWidth="1"/>
    <col min="15624" max="15626" width="7.15234375" customWidth="1"/>
    <col min="15627" max="15627" width="5" customWidth="1"/>
    <col min="15628" max="15630" width="7.15234375" customWidth="1"/>
    <col min="15875" max="15875" width="33.15234375" bestFit="1" customWidth="1"/>
    <col min="15876" max="15878" width="7.15234375" customWidth="1"/>
    <col min="15879" max="15879" width="5" customWidth="1"/>
    <col min="15880" max="15882" width="7.15234375" customWidth="1"/>
    <col min="15883" max="15883" width="5" customWidth="1"/>
    <col min="15884" max="15886" width="7.15234375" customWidth="1"/>
    <col min="16131" max="16131" width="33.15234375" bestFit="1" customWidth="1"/>
    <col min="16132" max="16134" width="7.15234375" customWidth="1"/>
    <col min="16135" max="16135" width="5" customWidth="1"/>
    <col min="16136" max="16138" width="7.15234375" customWidth="1"/>
    <col min="16139" max="16139" width="5" customWidth="1"/>
    <col min="16140" max="16142" width="7.15234375" customWidth="1"/>
  </cols>
  <sheetData>
    <row r="1" spans="1:23" ht="15.45" x14ac:dyDescent="0.4">
      <c r="A1" s="18" t="str">
        <f>CONCATENATE("Industry and Occupation Table 2  Occuptation composition (SOC2020) by employment status, ",B$6,"-",L$6,", ",Info!B5)</f>
        <v>Industry and Occupation Table 2  Occuptation composition (SOC2020) by employment status, 2015-2035, East</v>
      </c>
    </row>
    <row r="2" spans="1:23" x14ac:dyDescent="0.3">
      <c r="A2" s="258" t="s">
        <v>537</v>
      </c>
    </row>
    <row r="4" spans="1:23" x14ac:dyDescent="0.3">
      <c r="O4" s="251" t="s">
        <v>35</v>
      </c>
    </row>
    <row r="5" spans="1:23" s="258" customFormat="1" x14ac:dyDescent="0.3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3">
      <c r="A6" s="241" t="s">
        <v>0</v>
      </c>
      <c r="B6" s="373">
        <v>2015</v>
      </c>
      <c r="C6" s="373"/>
      <c r="D6" s="373"/>
      <c r="E6" s="373"/>
      <c r="F6" s="246"/>
      <c r="G6" s="373">
        <v>2020</v>
      </c>
      <c r="H6" s="373"/>
      <c r="I6" s="373"/>
      <c r="J6" s="373"/>
      <c r="K6" s="278"/>
      <c r="L6" s="373">
        <v>2035</v>
      </c>
      <c r="M6" s="373"/>
      <c r="N6" s="373"/>
      <c r="O6" s="373"/>
      <c r="S6" s="279"/>
      <c r="T6" s="279"/>
      <c r="U6" s="279"/>
      <c r="V6" s="279"/>
      <c r="W6" s="279"/>
    </row>
    <row r="7" spans="1:23" s="258" customFormat="1" x14ac:dyDescent="0.3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32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32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32</v>
      </c>
      <c r="T7" s="281"/>
      <c r="V7" s="281"/>
    </row>
    <row r="8" spans="1:23" s="236" customFormat="1" x14ac:dyDescent="0.3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3">
      <c r="A9" s="237" t="str">
        <f>name!E$4</f>
        <v>Managers, directors and senior officials</v>
      </c>
      <c r="B9" s="249">
        <f>SUM(B26,B43,B60,B77,B94,B111,B128,B145,B162,B179,B196,B213,B230,B247,B264,B281,B298,B315,B332,B349,B366,B383,B400,B417,B434,B451,B468,B485,B502,B519,B536,B553,B570,B587,B604,B621,B638,B655,B672,B689,B706,B723,B740,B757,B774,B791,B808,B825,B842,B859,B876,B893,B910,B927,B944,B961,B978,B995,B1012,B1029,B1046,B1063,B1080,B1097,B1114,B1131,B1148,B1165,B1182,B1199,B1216,B1233,B1250,B1267,B1284)</f>
        <v>224.52606433860007</v>
      </c>
      <c r="C9" s="249">
        <f t="shared" ref="C9:D9" si="0">SUM(C26,C43,C60,C77,C94,C111,C128,C145,C162,C179,C196,C213,C230,C247,C264,C281,C298,C315,C332,C349,C366,C383,C400,C417,C434,C451,C468,C485,C502,C519,C536,C553,C570,C587,C604,C621,C638,C655,C672,C689,C706,C723,C740,C757,C774,C791,C808,C825,C842,C859,C876,C893,C910,C927,C944,C961,C978,C995,C1012,C1029,C1046,C1063,C1080,C1097,C1114,C1131,C1148,C1165,C1182,C1199,C1216,C1233,C1250,C1267,C1284)</f>
        <v>34.113586934007515</v>
      </c>
      <c r="D9" s="249">
        <f t="shared" si="0"/>
        <v>58.659560760189684</v>
      </c>
      <c r="E9" s="249">
        <f>SUM(B9:D9)</f>
        <v>317.29921203279724</v>
      </c>
      <c r="F9" s="238"/>
      <c r="G9" s="249">
        <f>SUM(G26,G43,G60,G77,G94,G111,G128,G145,G162,G179,G196,G213,G230,G247,G264,G281,G298,G315,G332,G349,G366,G383,G400,G417,G434,G451,G468,G485,G502,G519,G536,G553,G570,G587,G604,G621,G638,G655,G672,G689,G706,G723,G740,G757,G774,G791,G808,G825,G842,G859,G876,G893,G910,G927,G944,G961,G978,G995,G1012,G1029,G1046,G1063,G1080,G1097,G1114,G1131,G1148,G1165,G1182,G1199,G1216,G1233,G1250,G1267,G1284)</f>
        <v>248.28300207181525</v>
      </c>
      <c r="H9" s="249">
        <f t="shared" ref="H9:I9" si="1">SUM(H26,H43,H60,H77,H94,H111,H128,H145,H162,H179,H196,H213,H230,H247,H264,H281,H298,H315,H332,H349,H366,H383,H400,H417,H434,H451,H468,H485,H502,H519,H536,H553,H570,H587,H604,H621,H638,H655,H672,H689,H706,H723,H740,H757,H774,H791,H808,H825,H842,H859,H876,H893,H910,H927,H944,H961,H978,H995,H1012,H1029,H1046,H1063,H1080,H1097,H1114,H1131,H1148,H1165,H1182,H1199,H1216,H1233,H1250,H1267,H1284)</f>
        <v>53.498608953706025</v>
      </c>
      <c r="I9" s="249">
        <f t="shared" si="1"/>
        <v>63.093993082265385</v>
      </c>
      <c r="J9" s="249">
        <f>SUM(G9:I9)</f>
        <v>364.87560410778667</v>
      </c>
      <c r="K9" s="238"/>
      <c r="L9" s="249">
        <f>SUM(L26,L43,L60,L77,L94,L111,L128,L145,L162,L179,L196,L213,L230,L247,L264,L281,L298,L315,L332,L349,L366,L383,L400,L417,L434,L451,L468,L485,L502,L519,L536,L553,L570,L587,L604,L621,L638,L655,L672,L689,L706,L723,L740,L757,L774,L791,L808,L825,L842,L859,L876,L893,L910,L927,L944,L961,L978,L995,L1012,L1029,L1046,L1063,L1080,L1097,L1114,L1131,L1148,L1165,L1182,L1199,L1216,L1233,L1250,L1267,L1284)</f>
        <v>283.65982245638054</v>
      </c>
      <c r="M9" s="249">
        <f t="shared" ref="M9:N9" si="2">SUM(M26,M43,M60,M77,M94,M111,M128,M145,M162,M179,M196,M213,M230,M247,M264,M281,M298,M315,M332,M349,M366,M383,M400,M417,M434,M451,M468,M485,M502,M519,M536,M553,M570,M587,M604,M621,M638,M655,M672,M689,M706,M723,M740,M757,M774,M791,M808,M825,M842,M859,M876,M893,M910,M927,M944,M961,M978,M995,M1012,M1029,M1046,M1063,M1080,M1097,M1114,M1131,M1148,M1165,M1182,M1199,M1216,M1233,M1250,M1267,M1284)</f>
        <v>69.551775156145581</v>
      </c>
      <c r="N9" s="249">
        <f t="shared" si="2"/>
        <v>72.841478703804285</v>
      </c>
      <c r="O9" s="249">
        <f>SUM(L9:N9)</f>
        <v>426.05307631633042</v>
      </c>
      <c r="T9" s="249"/>
      <c r="V9" s="249"/>
    </row>
    <row r="10" spans="1:23" s="236" customFormat="1" x14ac:dyDescent="0.3">
      <c r="A10" s="237" t="str">
        <f>name!E$5</f>
        <v>Professional occupations</v>
      </c>
      <c r="B10" s="249">
        <f t="shared" ref="B10:D10" si="3">SUM(B27,B44,B61,B78,B95,B112,B129,B146,B163,B180,B197,B214,B231,B248,B265,B282,B299,B316,B333,B350,B367,B384,B401,B418,B435,B452,B469,B486,B503,B520,B537,B554,B571,B588,B605,B622,B639,B656,B673,B690,B707,B724,B741,B758,B775,B792,B809,B826,B843,B860,B877,B894,B911,B928,B945,B962,B979,B996,B1013,B1030,B1047,B1064,B1081,B1098,B1115,B1132,B1149,B1166,B1183,B1200,B1217,B1234,B1251,B1268,B1285)</f>
        <v>394.94910285152685</v>
      </c>
      <c r="C10" s="249">
        <f t="shared" si="3"/>
        <v>107.83285549777548</v>
      </c>
      <c r="D10" s="249">
        <f t="shared" si="3"/>
        <v>83.522339377179364</v>
      </c>
      <c r="E10" s="249">
        <f t="shared" ref="E10:E17" si="4">SUM(B10:D10)</f>
        <v>586.30429772648165</v>
      </c>
      <c r="F10" s="238"/>
      <c r="G10" s="249">
        <f t="shared" ref="G10:I10" si="5">SUM(G27,G44,G61,G78,G95,G112,G129,G146,G163,G180,G197,G214,G231,G248,G265,G282,G299,G316,G333,G350,G367,G384,G401,G418,G435,G452,G469,G486,G503,G520,G537,G554,G571,G588,G605,G622,G639,G656,G673,G690,G707,G724,G741,G758,G775,G792,G809,G826,G843,G860,G877,G894,G911,G928,G945,G962,G979,G996,G1013,G1030,G1047,G1064,G1081,G1098,G1115,G1132,G1149,G1166,G1183,G1200,G1217,G1234,G1251,G1268,G1285)</f>
        <v>477.98642313291811</v>
      </c>
      <c r="H10" s="249">
        <f t="shared" si="5"/>
        <v>146.78375038029159</v>
      </c>
      <c r="I10" s="249">
        <f t="shared" si="5"/>
        <v>80.047012044125069</v>
      </c>
      <c r="J10" s="249">
        <f t="shared" ref="J10:J17" si="6">SUM(G10:I10)</f>
        <v>704.81718555733471</v>
      </c>
      <c r="K10" s="238"/>
      <c r="L10" s="249">
        <f t="shared" ref="L10:N10" si="7">SUM(L27,L44,L61,L78,L95,L112,L129,L146,L163,L180,L197,L214,L231,L248,L265,L282,L299,L316,L333,L350,L367,L384,L401,L418,L435,L452,L469,L486,L503,L520,L537,L554,L571,L588,L605,L622,L639,L656,L673,L690,L707,L724,L741,L758,L775,L792,L809,L826,L843,L860,L877,L894,L911,L928,L945,L962,L979,L996,L1013,L1030,L1047,L1064,L1081,L1098,L1115,L1132,L1149,L1166,L1183,L1200,L1217,L1234,L1251,L1268,L1285)</f>
        <v>584.78598745840372</v>
      </c>
      <c r="M10" s="249">
        <f t="shared" si="7"/>
        <v>184.38254981844938</v>
      </c>
      <c r="N10" s="249">
        <f t="shared" si="7"/>
        <v>82.156734036429697</v>
      </c>
      <c r="O10" s="249">
        <f t="shared" ref="O10:O17" si="8">SUM(L10:N10)</f>
        <v>851.32527131328288</v>
      </c>
      <c r="T10" s="249"/>
      <c r="V10" s="249"/>
    </row>
    <row r="11" spans="1:23" s="236" customFormat="1" x14ac:dyDescent="0.3">
      <c r="A11" s="237" t="str">
        <f>name!E$6</f>
        <v>Associate professional occupations</v>
      </c>
      <c r="B11" s="249">
        <f t="shared" ref="B11:D11" si="9">SUM(B28,B45,B62,B79,B96,B113,B130,B147,B164,B181,B198,B215,B232,B249,B266,B283,B300,B317,B334,B351,B368,B385,B402,B419,B436,B453,B470,B487,B504,B521,B538,B555,B572,B589,B606,B623,B640,B657,B674,B691,B708,B725,B742,B759,B776,B793,B810,B827,B844,B861,B878,B895,B912,B929,B946,B963,B980,B997,B1014,B1031,B1048,B1065,B1082,B1099,B1116,B1133,B1150,B1167,B1184,B1201,B1218,B1235,B1252,B1269,B1286)</f>
        <v>238.37267833989654</v>
      </c>
      <c r="C11" s="249">
        <f t="shared" si="9"/>
        <v>67.456503449404522</v>
      </c>
      <c r="D11" s="249">
        <f t="shared" si="9"/>
        <v>63.162305314975868</v>
      </c>
      <c r="E11" s="249">
        <f t="shared" si="4"/>
        <v>368.99148710427693</v>
      </c>
      <c r="F11" s="238"/>
      <c r="G11" s="249">
        <f t="shared" ref="G11:I11" si="10">SUM(G28,G45,G62,G79,G96,G113,G130,G147,G164,G181,G198,G215,G232,G249,G266,G283,G300,G317,G334,G351,G368,G385,G402,G419,G436,G453,G470,G487,G504,G521,G538,G555,G572,G589,G606,G623,G640,G657,G674,G691,G708,G725,G742,G759,G776,G793,G810,G827,G844,G861,G878,G895,G912,G929,G946,G963,G980,G997,G1014,G1031,G1048,G1065,G1082,G1099,G1116,G1133,G1150,G1167,G1184,G1201,G1218,G1235,G1252,G1269,G1286)</f>
        <v>274.05442072680745</v>
      </c>
      <c r="H11" s="249">
        <f t="shared" si="10"/>
        <v>84.949063486609688</v>
      </c>
      <c r="I11" s="249">
        <f t="shared" si="10"/>
        <v>65.883082670615579</v>
      </c>
      <c r="J11" s="249">
        <f t="shared" si="6"/>
        <v>424.88656688403273</v>
      </c>
      <c r="K11" s="238"/>
      <c r="L11" s="249">
        <f t="shared" ref="L11:N11" si="11">SUM(L28,L45,L62,L79,L96,L113,L130,L147,L164,L181,L198,L215,L232,L249,L266,L283,L300,L317,L334,L351,L368,L385,L402,L419,L436,L453,L470,L487,L504,L521,L538,L555,L572,L589,L606,L623,L640,L657,L674,L691,L708,L725,L742,L759,L776,L793,L810,L827,L844,L861,L878,L895,L912,L929,L946,L963,L980,L997,L1014,L1031,L1048,L1065,L1082,L1099,L1116,L1133,L1150,L1167,L1184,L1201,L1218,L1235,L1252,L1269,L1286)</f>
        <v>294.90190552045613</v>
      </c>
      <c r="M11" s="249">
        <f t="shared" si="11"/>
        <v>92.006780948430261</v>
      </c>
      <c r="N11" s="249">
        <f t="shared" si="11"/>
        <v>68.104587745520732</v>
      </c>
      <c r="O11" s="249">
        <f t="shared" si="8"/>
        <v>455.01327421440715</v>
      </c>
      <c r="T11" s="249"/>
      <c r="V11" s="249"/>
    </row>
    <row r="12" spans="1:23" s="236" customFormat="1" x14ac:dyDescent="0.3">
      <c r="A12" s="237" t="str">
        <f>name!E$7</f>
        <v>Administrative and secretarial occupations</v>
      </c>
      <c r="B12" s="249">
        <f t="shared" ref="B12:D12" si="12">SUM(B29,B46,B63,B80,B97,B114,B131,B148,B165,B182,B199,B216,B233,B250,B267,B284,B301,B318,B335,B352,B369,B386,B403,B420,B437,B454,B471,B488,B505,B522,B539,B556,B573,B590,B607,B624,B641,B658,B675,B692,B709,B726,B743,B760,B777,B794,B811,B828,B845,B862,B879,B896,B913,B930,B947,B964,B981,B998,B1015,B1032,B1049,B1066,B1083,B1100,B1117,B1134,B1151,B1168,B1185,B1202,B1219,B1236,B1253,B1270,B1287)</f>
        <v>175.41527836211321</v>
      </c>
      <c r="C12" s="249">
        <f t="shared" si="12"/>
        <v>141.89323897374467</v>
      </c>
      <c r="D12" s="249">
        <f t="shared" si="12"/>
        <v>17.941704427749247</v>
      </c>
      <c r="E12" s="249">
        <f t="shared" si="4"/>
        <v>335.25022176360716</v>
      </c>
      <c r="F12" s="238"/>
      <c r="G12" s="249">
        <f t="shared" ref="G12:I12" si="13">SUM(G29,G46,G63,G80,G97,G114,G131,G148,G165,G182,G199,G216,G233,G250,G267,G284,G301,G318,G335,G352,G369,G386,G403,G420,G437,G454,G471,G488,G505,G522,G539,G556,G573,G590,G607,G624,G641,G658,G675,G692,G709,G726,G743,G760,G777,G794,G811,G828,G845,G862,G879,G896,G913,G930,G947,G964,G981,G998,G1015,G1032,G1049,G1066,G1083,G1100,G1117,G1134,G1151,G1168,G1185,G1202,G1219,G1236,G1253,G1270,G1287)</f>
        <v>174.32500291764339</v>
      </c>
      <c r="H12" s="249">
        <f t="shared" si="13"/>
        <v>140.95457263962163</v>
      </c>
      <c r="I12" s="249">
        <f t="shared" si="13"/>
        <v>15.430903882791043</v>
      </c>
      <c r="J12" s="249">
        <f t="shared" si="6"/>
        <v>330.71047944005608</v>
      </c>
      <c r="K12" s="238"/>
      <c r="L12" s="249">
        <f t="shared" ref="L12:N12" si="14">SUM(L29,L46,L63,L80,L97,L114,L131,L148,L165,L182,L199,L216,L233,L250,L267,L284,L301,L318,L335,L352,L369,L386,L403,L420,L437,L454,L471,L488,L505,L522,L539,L556,L573,L590,L607,L624,L641,L658,L675,L692,L709,L726,L743,L760,L777,L794,L811,L828,L845,L862,L879,L896,L913,L930,L947,L964,L981,L998,L1015,L1032,L1049,L1066,L1083,L1100,L1117,L1134,L1151,L1168,L1185,L1202,L1219,L1236,L1253,L1270,L1287)</f>
        <v>146.84590750455558</v>
      </c>
      <c r="M12" s="249">
        <f t="shared" si="14"/>
        <v>118.78694686644886</v>
      </c>
      <c r="N12" s="249">
        <f t="shared" si="14"/>
        <v>14.721948827683617</v>
      </c>
      <c r="O12" s="249">
        <f t="shared" si="8"/>
        <v>280.35480319868805</v>
      </c>
      <c r="T12" s="249"/>
      <c r="V12" s="249"/>
    </row>
    <row r="13" spans="1:23" s="236" customFormat="1" x14ac:dyDescent="0.3">
      <c r="A13" s="237" t="str">
        <f>name!E$8</f>
        <v>Skilled trades occupations</v>
      </c>
      <c r="B13" s="249">
        <f t="shared" ref="B13:D13" si="15">SUM(B30,B47,B64,B81,B98,B115,B132,B149,B166,B183,B200,B217,B234,B251,B268,B285,B302,B319,B336,B353,B370,B387,B404,B421,B438,B455,B472,B489,B506,B523,B540,B557,B574,B591,B608,B625,B642,B659,B676,B693,B710,B727,B744,B761,B778,B795,B812,B829,B846,B863,B880,B897,B914,B931,B948,B965,B982,B999,B1016,B1033,B1050,B1067,B1084,B1101,B1118,B1135,B1152,B1169,B1186,B1203,B1220,B1237,B1254,B1271,B1288)</f>
        <v>184.4437215749962</v>
      </c>
      <c r="C13" s="249">
        <f t="shared" si="15"/>
        <v>31.773352950764941</v>
      </c>
      <c r="D13" s="249">
        <f t="shared" si="15"/>
        <v>108.71421542741143</v>
      </c>
      <c r="E13" s="249">
        <f t="shared" si="4"/>
        <v>324.93128995317261</v>
      </c>
      <c r="F13" s="238"/>
      <c r="G13" s="249">
        <f t="shared" ref="G13:I13" si="16">SUM(G30,G47,G64,G81,G98,G115,G132,G149,G166,G183,G200,G217,G234,G251,G268,G285,G302,G319,G336,G353,G370,G387,G404,G421,G438,G455,G472,G489,G506,G523,G540,G557,G574,G591,G608,G625,G642,G659,G676,G693,G710,G727,G744,G761,G778,G795,G812,G829,G846,G863,G880,G897,G914,G931,G948,G965,G982,G999,G1016,G1033,G1050,G1067,G1084,G1101,G1118,G1135,G1152,G1169,G1186,G1203,G1220,G1237,G1254,G1271,G1288)</f>
        <v>146.53181878649482</v>
      </c>
      <c r="H13" s="249">
        <f t="shared" si="16"/>
        <v>27.352178243539498</v>
      </c>
      <c r="I13" s="249">
        <f t="shared" si="16"/>
        <v>97.582597076204706</v>
      </c>
      <c r="J13" s="249">
        <f t="shared" si="6"/>
        <v>271.46659410623903</v>
      </c>
      <c r="K13" s="238"/>
      <c r="L13" s="249">
        <f t="shared" ref="L13:N13" si="17">SUM(L30,L47,L64,L81,L98,L115,L132,L149,L166,L183,L200,L217,L234,L251,L268,L285,L302,L319,L336,L353,L370,L387,L404,L421,L438,L455,L472,L489,L506,L523,L540,L557,L574,L591,L608,L625,L642,L659,L676,L693,L710,L727,L744,L761,L778,L795,L812,L829,L846,L863,L880,L897,L914,L931,L948,L965,L982,L999,L1016,L1033,L1050,L1067,L1084,L1101,L1118,L1135,L1152,L1169,L1186,L1203,L1220,L1237,L1254,L1271,L1288)</f>
        <v>129.81090444964212</v>
      </c>
      <c r="M13" s="249">
        <f t="shared" si="17"/>
        <v>33.333877445355135</v>
      </c>
      <c r="N13" s="249">
        <f t="shared" si="17"/>
        <v>114.49764440463538</v>
      </c>
      <c r="O13" s="249">
        <f t="shared" si="8"/>
        <v>277.64242629963263</v>
      </c>
      <c r="T13" s="249"/>
      <c r="V13" s="249"/>
    </row>
    <row r="14" spans="1:23" s="236" customFormat="1" x14ac:dyDescent="0.3">
      <c r="A14" s="237" t="str">
        <f>name!E$9</f>
        <v>Caring, leisure and other service occupations</v>
      </c>
      <c r="B14" s="249">
        <f t="shared" ref="B14:D14" si="18">SUM(B31,B48,B65,B82,B99,B116,B133,B150,B167,B184,B201,B218,B235,B252,B269,B286,B303,B320,B337,B354,B371,B388,B405,B422,B439,B456,B473,B490,B507,B524,B541,B558,B575,B592,B609,B626,B643,B660,B677,B694,B711,B728,B745,B762,B779,B796,B813,B830,B847,B864,B881,B898,B915,B932,B949,B966,B983,B1000,B1017,B1034,B1051,B1068,B1085,B1102,B1119,B1136,B1153,B1170,B1187,B1204,B1221,B1238,B1255,B1272,B1289)</f>
        <v>122.91874615359275</v>
      </c>
      <c r="C14" s="249">
        <f t="shared" si="18"/>
        <v>125.92878578072805</v>
      </c>
      <c r="D14" s="249">
        <f t="shared" si="18"/>
        <v>32.030811625095488</v>
      </c>
      <c r="E14" s="249">
        <f t="shared" si="4"/>
        <v>280.87834355941629</v>
      </c>
      <c r="F14" s="238"/>
      <c r="G14" s="249">
        <f t="shared" ref="G14:I14" si="19">SUM(G31,G48,G65,G82,G99,G116,G133,G150,G167,G184,G201,G218,G235,G252,G269,G286,G303,G320,G337,G354,G371,G388,G405,G422,G439,G456,G473,G490,G507,G524,G541,G558,G575,G592,G609,G626,G643,G660,G677,G694,G711,G728,G745,G762,G779,G796,G813,G830,G847,G864,G881,G898,G915,G932,G949,G966,G983,G1000,G1017,G1034,G1051,G1068,G1085,G1102,G1119,G1136,G1153,G1170,G1187,G1204,G1221,G1238,G1255,G1272,G1289)</f>
        <v>121.49762196330207</v>
      </c>
      <c r="H14" s="249">
        <f t="shared" si="19"/>
        <v>134.59315229321291</v>
      </c>
      <c r="I14" s="249">
        <f t="shared" si="19"/>
        <v>43.421505139943065</v>
      </c>
      <c r="J14" s="249">
        <f t="shared" si="6"/>
        <v>299.51227939645804</v>
      </c>
      <c r="K14" s="238"/>
      <c r="L14" s="249">
        <f t="shared" ref="L14:N14" si="20">SUM(L31,L48,L65,L82,L99,L116,L133,L150,L167,L184,L201,L218,L235,L252,L269,L286,L303,L320,L337,L354,L371,L388,L405,L422,L439,L456,L473,L490,L507,L524,L541,L558,L575,L592,L609,L626,L643,L660,L677,L694,L711,L728,L745,L762,L779,L796,L813,L830,L847,L864,L881,L898,L915,L932,L949,L966,L983,L1000,L1017,L1034,L1051,L1068,L1085,L1102,L1119,L1136,L1153,L1170,L1187,L1204,L1221,L1238,L1255,L1272,L1289)</f>
        <v>153.19932703907082</v>
      </c>
      <c r="M14" s="249">
        <f t="shared" si="20"/>
        <v>147.83314161668898</v>
      </c>
      <c r="N14" s="249">
        <f t="shared" si="20"/>
        <v>52.469540640128294</v>
      </c>
      <c r="O14" s="249">
        <f t="shared" si="8"/>
        <v>353.50200929588806</v>
      </c>
      <c r="T14" s="249"/>
      <c r="V14" s="249"/>
    </row>
    <row r="15" spans="1:23" s="236" customFormat="1" x14ac:dyDescent="0.3">
      <c r="A15" s="237" t="str">
        <f>name!E$10</f>
        <v>Sales and customer service occupations</v>
      </c>
      <c r="B15" s="249">
        <f t="shared" ref="B15:D15" si="21">SUM(B32,B49,B66,B83,B100,B117,B134,B151,B168,B185,B202,B219,B236,B253,B270,B287,B304,B321,B338,B355,B372,B389,B406,B423,B440,B457,B474,B491,B508,B525,B542,B559,B576,B593,B610,B627,B644,B661,B678,B695,B712,B729,B746,B763,B780,B797,B814,B831,B848,B865,B882,B899,B916,B933,B950,B967,B984,B1001,B1018,B1035,B1052,B1069,B1086,B1103,B1120,B1137,B1154,B1171,B1188,B1205,B1222,B1239,B1256,B1273,B1290)</f>
        <v>91.696578708077226</v>
      </c>
      <c r="C15" s="249">
        <f t="shared" si="21"/>
        <v>153.77035584381295</v>
      </c>
      <c r="D15" s="249">
        <f t="shared" si="21"/>
        <v>20.922813266677149</v>
      </c>
      <c r="E15" s="249">
        <f t="shared" si="4"/>
        <v>266.38974781856734</v>
      </c>
      <c r="F15" s="238"/>
      <c r="G15" s="249">
        <f t="shared" ref="G15:I15" si="22">SUM(G32,G49,G66,G83,G100,G117,G134,G151,G168,G185,G202,G219,G236,G253,G270,G287,G304,G321,G338,G355,G372,G389,G406,G423,G440,G457,G474,G491,G508,G525,G542,G559,G576,G593,G610,G627,G644,G661,G678,G695,G712,G729,G746,G763,G780,G797,G814,G831,G848,G865,G882,G899,G916,G933,G950,G967,G984,G1001,G1018,G1035,G1052,G1069,G1086,G1103,G1120,G1137,G1154,G1171,G1188,G1205,G1222,G1239,G1256,G1273,G1290)</f>
        <v>83.284744129615419</v>
      </c>
      <c r="H15" s="249">
        <f t="shared" si="22"/>
        <v>147.3856018230982</v>
      </c>
      <c r="I15" s="249">
        <f t="shared" si="22"/>
        <v>13.885721739517777</v>
      </c>
      <c r="J15" s="249">
        <f t="shared" si="6"/>
        <v>244.55606769223138</v>
      </c>
      <c r="K15" s="238"/>
      <c r="L15" s="249">
        <f t="shared" ref="L15:N15" si="23">SUM(L32,L49,L66,L83,L100,L117,L134,L151,L168,L185,L202,L219,L236,L253,L270,L287,L304,L321,L338,L355,L372,L389,L406,L423,L440,L457,L474,L491,L508,L525,L542,L559,L576,L593,L610,L627,L644,L661,L678,L695,L712,L729,L746,L763,L780,L797,L814,L831,L848,L865,L882,L899,L916,L933,L950,L967,L984,L1001,L1018,L1035,L1052,L1069,L1086,L1103,L1120,L1137,L1154,L1171,L1188,L1205,L1222,L1239,L1256,L1273,L1290)</f>
        <v>84.24672949873019</v>
      </c>
      <c r="M15" s="249">
        <f t="shared" si="23"/>
        <v>149.36991235766459</v>
      </c>
      <c r="N15" s="249">
        <f t="shared" si="23"/>
        <v>12.195916083261265</v>
      </c>
      <c r="O15" s="249">
        <f t="shared" si="8"/>
        <v>245.81255793965605</v>
      </c>
      <c r="T15" s="249"/>
      <c r="V15" s="249"/>
    </row>
    <row r="16" spans="1:23" s="236" customFormat="1" x14ac:dyDescent="0.3">
      <c r="A16" s="237" t="str">
        <f>name!E$11</f>
        <v>Process, plant and machine operatives</v>
      </c>
      <c r="B16" s="249">
        <f t="shared" ref="B16:D16" si="24">SUM(B33,B50,B67,B84,B101,B118,B135,B152,B169,B186,B203,B220,B237,B254,B271,B288,B305,B322,B339,B356,B373,B390,B407,B424,B441,B458,B475,B492,B509,B526,B543,B560,B577,B594,B611,B628,B645,B662,B679,B696,B713,B730,B747,B764,B781,B798,B815,B832,B849,B866,B883,B900,B917,B934,B951,B968,B985,B1002,B1019,B1036,B1053,B1070,B1087,B1104,B1121,B1138,B1155,B1172,B1189,B1206,B1223,B1240,B1257,B1274,B1291)</f>
        <v>137.02716284902343</v>
      </c>
      <c r="C16" s="249">
        <f t="shared" si="24"/>
        <v>24.927489945040964</v>
      </c>
      <c r="D16" s="249">
        <f t="shared" si="24"/>
        <v>28.823466989335671</v>
      </c>
      <c r="E16" s="249">
        <f t="shared" si="4"/>
        <v>190.77811978340009</v>
      </c>
      <c r="F16" s="238"/>
      <c r="G16" s="249">
        <f t="shared" ref="G16:I16" si="25">SUM(G33,G50,G67,G84,G101,G118,G135,G152,G169,G186,G203,G220,G237,G254,G271,G288,G305,G322,G339,G356,G373,G390,G407,G424,G441,G458,G475,G492,G509,G526,G543,G560,G577,G594,G611,G628,G645,G662,G679,G696,G713,G730,G747,G764,G781,G798,G815,G832,G849,G866,G883,G900,G917,G934,G951,G968,G985,G1002,G1019,G1036,G1053,G1070,G1087,G1104,G1121,G1138,G1155,G1172,G1189,G1206,G1223,G1240,G1257,G1274,G1291)</f>
        <v>115.18764471513359</v>
      </c>
      <c r="H16" s="249">
        <f t="shared" si="25"/>
        <v>28.714754353786834</v>
      </c>
      <c r="I16" s="249">
        <f t="shared" si="25"/>
        <v>37.71380348352654</v>
      </c>
      <c r="J16" s="249">
        <f t="shared" si="6"/>
        <v>181.61620255244696</v>
      </c>
      <c r="K16" s="238"/>
      <c r="L16" s="249">
        <f t="shared" ref="L16:N16" si="26">SUM(L33,L50,L67,L84,L101,L118,L135,L152,L169,L186,L203,L220,L237,L254,L271,L288,L305,L322,L339,L356,L373,L390,L407,L424,L441,L458,L475,L492,L509,L526,L543,L560,L577,L594,L611,L628,L645,L662,L679,L696,L713,L730,L747,L764,L781,L798,L815,L832,L849,L866,L883,L900,L917,L934,L951,L968,L985,L1002,L1019,L1036,L1053,L1070,L1087,L1104,L1121,L1138,L1155,L1172,L1189,L1206,L1223,L1240,L1257,L1274,L1291)</f>
        <v>125.76912758453783</v>
      </c>
      <c r="M16" s="249">
        <f t="shared" si="26"/>
        <v>38.650071499721605</v>
      </c>
      <c r="N16" s="249">
        <f t="shared" si="26"/>
        <v>50.227416184099511</v>
      </c>
      <c r="O16" s="249">
        <f t="shared" si="8"/>
        <v>214.64661526835897</v>
      </c>
      <c r="T16" s="249"/>
      <c r="V16" s="249"/>
    </row>
    <row r="17" spans="1:15" s="236" customFormat="1" x14ac:dyDescent="0.3">
      <c r="A17" s="237" t="str">
        <f>name!E$12</f>
        <v>Elementary occupations</v>
      </c>
      <c r="B17" s="249">
        <f t="shared" ref="B17:D17" si="27">SUM(B34,B51,B68,B85,B102,B119,B136,B153,B170,B187,B204,B221,B238,B255,B272,B289,B306,B323,B340,B357,B374,B391,B408,B425,B442,B459,B476,B493,B510,B527,B544,B561,B578,B595,B612,B629,B646,B663,B680,B697,B714,B731,B748,B765,B782,B799,B816,B833,B850,B867,B884,B901,B918,B935,B952,B969,B986,B1003,B1020,B1037,B1054,B1071,B1088,B1105,B1122,B1139,B1156,B1173,B1190,B1207,B1224,B1241,B1258,B1275,B1292)</f>
        <v>148.03566681758491</v>
      </c>
      <c r="C17" s="249">
        <f t="shared" si="27"/>
        <v>214.93183063032478</v>
      </c>
      <c r="D17" s="249">
        <f t="shared" si="27"/>
        <v>21.988782809883464</v>
      </c>
      <c r="E17" s="249">
        <f t="shared" si="4"/>
        <v>384.95628025779314</v>
      </c>
      <c r="F17" s="238"/>
      <c r="G17" s="249">
        <f t="shared" ref="G17:I17" si="28">SUM(G34,G51,G68,G85,G102,G119,G136,G153,G170,G187,G204,G221,G238,G255,G272,G289,G306,G323,G340,G357,G374,G391,G408,G425,G442,G459,G476,G493,G510,G527,G544,G561,G578,G595,G612,G629,G646,G663,G680,G697,G714,G731,G748,G765,G782,G799,G816,G833,G850,G867,G884,G901,G918,G935,G952,G969,G986,G1003,G1020,G1037,G1054,G1071,G1088,G1105,G1122,G1139,G1156,G1173,G1190,G1207,G1224,G1241,G1258,G1275,G1292)</f>
        <v>123.29832155647203</v>
      </c>
      <c r="H17" s="249">
        <f t="shared" si="28"/>
        <v>209.57431782248491</v>
      </c>
      <c r="I17" s="249">
        <f t="shared" si="28"/>
        <v>18.878380882857002</v>
      </c>
      <c r="J17" s="249">
        <f t="shared" si="6"/>
        <v>351.75102026181395</v>
      </c>
      <c r="K17" s="238"/>
      <c r="L17" s="249">
        <f t="shared" ref="L17:N17" si="29">SUM(L34,L51,L68,L85,L102,L119,L136,L153,L170,L187,L204,L221,L238,L255,L272,L289,L306,L323,L340,L357,L374,L391,L408,L425,L442,L459,L476,L493,L510,L527,L544,L561,L578,L595,L612,L629,L646,L663,L680,L697,L714,L731,L748,L765,L782,L799,L816,L833,L850,L867,L884,L901,L918,L935,L952,L969,L986,L1003,L1020,L1037,L1054,L1071,L1088,L1105,L1122,L1139,L1156,L1173,L1190,L1207,L1224,L1241,L1258,L1275,L1292)</f>
        <v>120.54628848767773</v>
      </c>
      <c r="M17" s="249">
        <f t="shared" si="29"/>
        <v>193.17394428840606</v>
      </c>
      <c r="N17" s="249">
        <f t="shared" si="29"/>
        <v>26.212733375572164</v>
      </c>
      <c r="O17" s="249">
        <f t="shared" si="8"/>
        <v>339.93296615165593</v>
      </c>
    </row>
    <row r="18" spans="1:15" s="236" customFormat="1" x14ac:dyDescent="0.3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3">
      <c r="A19" s="244" t="s">
        <v>32</v>
      </c>
      <c r="B19" s="247">
        <f>SUM(B9:B17)</f>
        <v>1717.3849999954114</v>
      </c>
      <c r="C19" s="247">
        <f t="shared" ref="C19:O19" si="30">SUM(C9:C17)</f>
        <v>902.62800000560401</v>
      </c>
      <c r="D19" s="247">
        <f t="shared" si="30"/>
        <v>435.76599999849736</v>
      </c>
      <c r="E19" s="247">
        <f t="shared" si="30"/>
        <v>3055.7789999995125</v>
      </c>
      <c r="F19" s="247"/>
      <c r="G19" s="247">
        <f t="shared" si="30"/>
        <v>1764.4490000002017</v>
      </c>
      <c r="H19" s="247">
        <f t="shared" si="30"/>
        <v>973.80599999635126</v>
      </c>
      <c r="I19" s="247">
        <f t="shared" si="30"/>
        <v>435.93700000184617</v>
      </c>
      <c r="J19" s="247">
        <f t="shared" si="30"/>
        <v>3174.1919999983993</v>
      </c>
      <c r="K19" s="247"/>
      <c r="L19" s="247">
        <f t="shared" si="30"/>
        <v>1923.7659999994544</v>
      </c>
      <c r="M19" s="247">
        <f t="shared" si="30"/>
        <v>1027.0889999973106</v>
      </c>
      <c r="N19" s="247">
        <f t="shared" si="30"/>
        <v>493.42800000113488</v>
      </c>
      <c r="O19" s="247">
        <f t="shared" si="30"/>
        <v>3444.2829999978994</v>
      </c>
    </row>
    <row r="20" spans="1:15" s="236" customFormat="1" x14ac:dyDescent="0.3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3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35</v>
      </c>
    </row>
    <row r="22" spans="1:15" s="236" customFormat="1" x14ac:dyDescent="0.3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3">
      <c r="A23" s="241" t="str">
        <f>name!A4</f>
        <v>Agriculture, etc</v>
      </c>
      <c r="B23" s="375">
        <f>$B$6</f>
        <v>2015</v>
      </c>
      <c r="C23" s="375"/>
      <c r="D23" s="375"/>
      <c r="E23" s="375"/>
      <c r="F23" s="263"/>
      <c r="G23" s="375">
        <f>$G$6</f>
        <v>2020</v>
      </c>
      <c r="H23" s="375"/>
      <c r="I23" s="375"/>
      <c r="J23" s="375"/>
      <c r="K23" s="263"/>
      <c r="L23" s="375">
        <f>$L$6</f>
        <v>2035</v>
      </c>
      <c r="M23" s="375"/>
      <c r="N23" s="375"/>
      <c r="O23" s="375"/>
    </row>
    <row r="24" spans="1:15" s="236" customFormat="1" x14ac:dyDescent="0.3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3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3">
      <c r="A26" s="237" t="str">
        <f>name!E$4</f>
        <v>Managers, directors and senior officials</v>
      </c>
      <c r="B26" s="302">
        <v>1.5904497583709094</v>
      </c>
      <c r="C26" s="302">
        <v>0.39502310764007093</v>
      </c>
      <c r="D26" s="302">
        <v>0.27519666089580397</v>
      </c>
      <c r="E26" s="302">
        <f>SUM(B26:D26)</f>
        <v>2.2606695269067845</v>
      </c>
      <c r="F26" s="303"/>
      <c r="G26" s="302">
        <v>1.6589352081193627</v>
      </c>
      <c r="H26" s="302">
        <v>0.32840340968257875</v>
      </c>
      <c r="I26" s="302">
        <v>7.7058847814419462E-2</v>
      </c>
      <c r="J26" s="302">
        <f>SUM(G26:I26)</f>
        <v>2.0643974656163611</v>
      </c>
      <c r="K26" s="303"/>
      <c r="L26" s="302">
        <v>2.4058864598619123</v>
      </c>
      <c r="M26" s="302">
        <v>0.33324181555783888</v>
      </c>
      <c r="N26" s="302">
        <v>8.9626948687072175E-2</v>
      </c>
      <c r="O26" s="302">
        <f>SUM(L26:N26)</f>
        <v>2.828755224106823</v>
      </c>
    </row>
    <row r="27" spans="1:15" s="236" customFormat="1" x14ac:dyDescent="0.3">
      <c r="A27" s="237" t="str">
        <f>name!E$5</f>
        <v>Professional occupations</v>
      </c>
      <c r="B27" s="302">
        <v>1.2172473267608057</v>
      </c>
      <c r="C27" s="302">
        <v>0.26728155127336362</v>
      </c>
      <c r="D27" s="302">
        <v>8.560385612402828E-2</v>
      </c>
      <c r="E27" s="302">
        <f t="shared" ref="E27:E34" si="31">SUM(B27:D27)</f>
        <v>1.5701327341581977</v>
      </c>
      <c r="F27" s="303"/>
      <c r="G27" s="302">
        <v>1.7332170470730508</v>
      </c>
      <c r="H27" s="302">
        <v>0.27652425287661231</v>
      </c>
      <c r="I27" s="302">
        <v>1.3001120070673387E-2</v>
      </c>
      <c r="J27" s="302">
        <f t="shared" ref="J27:J34" si="32">SUM(G27:I27)</f>
        <v>2.0227424200203368</v>
      </c>
      <c r="K27" s="303"/>
      <c r="L27" s="302">
        <v>2.474756452913728</v>
      </c>
      <c r="M27" s="302">
        <v>0.33329689459755318</v>
      </c>
      <c r="N27" s="302">
        <v>2.8240728607368343E-2</v>
      </c>
      <c r="O27" s="302">
        <f t="shared" ref="O27:O34" si="33">SUM(L27:N27)</f>
        <v>2.8362940761186497</v>
      </c>
    </row>
    <row r="28" spans="1:15" s="236" customFormat="1" x14ac:dyDescent="0.3">
      <c r="A28" s="237" t="str">
        <f>name!E$6</f>
        <v>Associate professional occupations</v>
      </c>
      <c r="B28" s="302">
        <v>0.83630618366196419</v>
      </c>
      <c r="C28" s="302">
        <v>0.26934588066605047</v>
      </c>
      <c r="D28" s="302">
        <v>3.2868084810396186E-2</v>
      </c>
      <c r="E28" s="302">
        <f t="shared" si="31"/>
        <v>1.1385201491384107</v>
      </c>
      <c r="F28" s="303"/>
      <c r="G28" s="302">
        <v>1.0613593138415576</v>
      </c>
      <c r="H28" s="302">
        <v>0.23536614212390589</v>
      </c>
      <c r="I28" s="302">
        <v>9.1255032226405866E-3</v>
      </c>
      <c r="J28" s="302">
        <f t="shared" si="32"/>
        <v>1.305850959188104</v>
      </c>
      <c r="K28" s="303"/>
      <c r="L28" s="302">
        <v>1.22324771880321</v>
      </c>
      <c r="M28" s="302">
        <v>0.2373682102681289</v>
      </c>
      <c r="N28" s="302">
        <v>1.6317465829287052E-2</v>
      </c>
      <c r="O28" s="302">
        <f t="shared" si="33"/>
        <v>1.476933394900626</v>
      </c>
    </row>
    <row r="29" spans="1:15" s="236" customFormat="1" x14ac:dyDescent="0.3">
      <c r="A29" s="237" t="str">
        <f>name!E$7</f>
        <v>Administrative and secretarial occupations</v>
      </c>
      <c r="B29" s="302">
        <v>0.65204361075914219</v>
      </c>
      <c r="C29" s="302">
        <v>1.568689042598018</v>
      </c>
      <c r="D29" s="302">
        <v>3.185322805189994E-2</v>
      </c>
      <c r="E29" s="302">
        <f t="shared" si="31"/>
        <v>2.2525858814090602</v>
      </c>
      <c r="F29" s="303"/>
      <c r="G29" s="302">
        <v>0.82242648773540894</v>
      </c>
      <c r="H29" s="302">
        <v>1.2998442330559565</v>
      </c>
      <c r="I29" s="302">
        <v>2.5839811660006533E-2</v>
      </c>
      <c r="J29" s="302">
        <f t="shared" si="32"/>
        <v>2.1481105324513723</v>
      </c>
      <c r="K29" s="303"/>
      <c r="L29" s="302">
        <v>0.49417582864276649</v>
      </c>
      <c r="M29" s="302">
        <v>0.92469614754288298</v>
      </c>
      <c r="N29" s="302">
        <v>1.0888465423563648E-2</v>
      </c>
      <c r="O29" s="302">
        <f t="shared" si="33"/>
        <v>1.4297604416092131</v>
      </c>
    </row>
    <row r="30" spans="1:15" s="236" customFormat="1" x14ac:dyDescent="0.3">
      <c r="A30" s="237" t="str">
        <f>name!E$8</f>
        <v>Skilled trades occupations</v>
      </c>
      <c r="B30" s="302">
        <v>8.5152126718794534</v>
      </c>
      <c r="C30" s="302">
        <v>3.02036513095904</v>
      </c>
      <c r="D30" s="302">
        <v>8.9255645180524166</v>
      </c>
      <c r="E30" s="302">
        <f t="shared" si="31"/>
        <v>20.461142320890907</v>
      </c>
      <c r="F30" s="303"/>
      <c r="G30" s="302">
        <v>6.841155828916218</v>
      </c>
      <c r="H30" s="302">
        <v>1.0271336203587638</v>
      </c>
      <c r="I30" s="302">
        <v>1.5114748813390531</v>
      </c>
      <c r="J30" s="302">
        <f>SUM(G30:I30)</f>
        <v>9.3797643306140337</v>
      </c>
      <c r="K30" s="303"/>
      <c r="L30" s="302">
        <v>7.2185093729977217</v>
      </c>
      <c r="M30" s="302">
        <v>1.2902986365080245</v>
      </c>
      <c r="N30" s="302">
        <v>1.5152885864885832</v>
      </c>
      <c r="O30" s="302">
        <f t="shared" si="33"/>
        <v>10.02409659599433</v>
      </c>
    </row>
    <row r="31" spans="1:15" s="236" customFormat="1" x14ac:dyDescent="0.3">
      <c r="A31" s="237" t="str">
        <f>name!E$9</f>
        <v>Caring, leisure and other service occupations</v>
      </c>
      <c r="B31" s="302">
        <v>0.96168961029541022</v>
      </c>
      <c r="C31" s="302">
        <v>0.62423085365469322</v>
      </c>
      <c r="D31" s="302">
        <v>4.6100956132587093E-2</v>
      </c>
      <c r="E31" s="302">
        <f t="shared" si="31"/>
        <v>1.6320214200826906</v>
      </c>
      <c r="F31" s="303"/>
      <c r="G31" s="302">
        <v>0.94216875415043866</v>
      </c>
      <c r="H31" s="302">
        <v>0.44941736787456538</v>
      </c>
      <c r="I31" s="302">
        <v>1.8842889271873973E-2</v>
      </c>
      <c r="J31" s="302">
        <f t="shared" si="32"/>
        <v>1.410429011296878</v>
      </c>
      <c r="K31" s="303"/>
      <c r="L31" s="302">
        <v>1.0957199472986512</v>
      </c>
      <c r="M31" s="302">
        <v>0.30807361823512802</v>
      </c>
      <c r="N31" s="302">
        <v>1.3980003158389558E-2</v>
      </c>
      <c r="O31" s="302">
        <f t="shared" si="33"/>
        <v>1.4177735686921689</v>
      </c>
    </row>
    <row r="32" spans="1:15" s="236" customFormat="1" x14ac:dyDescent="0.3">
      <c r="A32" s="237" t="str">
        <f>name!E$10</f>
        <v>Sales and customer service occupations</v>
      </c>
      <c r="B32" s="302">
        <v>0.35482207618308376</v>
      </c>
      <c r="C32" s="302">
        <v>0.46908435639306106</v>
      </c>
      <c r="D32" s="302">
        <v>7.8015576265834677E-2</v>
      </c>
      <c r="E32" s="302">
        <f t="shared" si="31"/>
        <v>0.90192200884197948</v>
      </c>
      <c r="F32" s="303"/>
      <c r="G32" s="302">
        <v>0.35004949148666059</v>
      </c>
      <c r="H32" s="302">
        <v>0.31432751505222345</v>
      </c>
      <c r="I32" s="302">
        <v>1.4998292002822277E-2</v>
      </c>
      <c r="J32" s="302">
        <f t="shared" si="32"/>
        <v>0.67937529854170642</v>
      </c>
      <c r="K32" s="303"/>
      <c r="L32" s="302">
        <v>0.38464232898537903</v>
      </c>
      <c r="M32" s="302">
        <v>0.25086749867877567</v>
      </c>
      <c r="N32" s="302">
        <v>1.1430829003283158E-2</v>
      </c>
      <c r="O32" s="302">
        <f t="shared" si="33"/>
        <v>0.64694065666743783</v>
      </c>
    </row>
    <row r="33" spans="1:15" s="236" customFormat="1" x14ac:dyDescent="0.3">
      <c r="A33" s="237" t="str">
        <f>name!E$11</f>
        <v>Process, plant and machine operatives</v>
      </c>
      <c r="B33" s="302">
        <v>2.0591436682502304</v>
      </c>
      <c r="C33" s="302">
        <v>0.54016151590530381</v>
      </c>
      <c r="D33" s="302">
        <v>1.9000842638529098E-2</v>
      </c>
      <c r="E33" s="302">
        <f t="shared" si="31"/>
        <v>2.6183060267940634</v>
      </c>
      <c r="F33" s="303"/>
      <c r="G33" s="302">
        <v>1.4601858368653342</v>
      </c>
      <c r="H33" s="302">
        <v>0.19783588191263243</v>
      </c>
      <c r="I33" s="302">
        <v>3.6314727002443041E-3</v>
      </c>
      <c r="J33" s="302">
        <f t="shared" si="32"/>
        <v>1.6616531914782109</v>
      </c>
      <c r="K33" s="303"/>
      <c r="L33" s="302">
        <v>1.4703428977754529</v>
      </c>
      <c r="M33" s="302">
        <v>0.31643257934962538</v>
      </c>
      <c r="N33" s="302">
        <v>1.1809050650484033E-2</v>
      </c>
      <c r="O33" s="302">
        <f t="shared" si="33"/>
        <v>1.7985845277755623</v>
      </c>
    </row>
    <row r="34" spans="1:15" s="236" customFormat="1" x14ac:dyDescent="0.3">
      <c r="A34" s="237" t="str">
        <f>name!E$12</f>
        <v>Elementary occupations</v>
      </c>
      <c r="B34" s="302">
        <v>5.5080850938482433</v>
      </c>
      <c r="C34" s="302">
        <v>2.2248185610041462</v>
      </c>
      <c r="D34" s="302">
        <v>0.24279627712019072</v>
      </c>
      <c r="E34" s="302">
        <f t="shared" si="31"/>
        <v>7.9756999319725805</v>
      </c>
      <c r="F34" s="303"/>
      <c r="G34" s="302">
        <v>3.5945020318231435</v>
      </c>
      <c r="H34" s="302">
        <v>1.1421475770615839</v>
      </c>
      <c r="I34" s="302">
        <v>3.4027181851648471E-2</v>
      </c>
      <c r="J34" s="302">
        <f t="shared" si="32"/>
        <v>4.7706767907363758</v>
      </c>
      <c r="K34" s="303"/>
      <c r="L34" s="302">
        <v>2.8407189928442933</v>
      </c>
      <c r="M34" s="302">
        <v>0.72672459924688881</v>
      </c>
      <c r="N34" s="302">
        <v>3.1417922130816039E-2</v>
      </c>
      <c r="O34" s="302">
        <f t="shared" si="33"/>
        <v>3.5988615142219982</v>
      </c>
    </row>
    <row r="35" spans="1:15" s="236" customFormat="1" x14ac:dyDescent="0.3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3">
      <c r="A36" s="244" t="s">
        <v>32</v>
      </c>
      <c r="B36" s="311">
        <f>SUM(B26:B34)</f>
        <v>21.695000000009244</v>
      </c>
      <c r="C36" s="311">
        <f t="shared" ref="C36:O36" si="34">SUM(C26:C34)</f>
        <v>9.3790000000937468</v>
      </c>
      <c r="D36" s="311">
        <f t="shared" si="34"/>
        <v>9.7370000000916868</v>
      </c>
      <c r="E36" s="311">
        <f t="shared" si="34"/>
        <v>40.811000000194674</v>
      </c>
      <c r="F36" s="311"/>
      <c r="G36" s="311">
        <f t="shared" si="34"/>
        <v>18.464000000011175</v>
      </c>
      <c r="H36" s="311">
        <f t="shared" si="34"/>
        <v>5.2709999999988231</v>
      </c>
      <c r="I36" s="311">
        <f t="shared" si="34"/>
        <v>1.7079999999333819</v>
      </c>
      <c r="J36" s="311">
        <f t="shared" si="34"/>
        <v>25.442999999943382</v>
      </c>
      <c r="K36" s="311"/>
      <c r="L36" s="311">
        <f t="shared" si="34"/>
        <v>19.608000000123116</v>
      </c>
      <c r="M36" s="311">
        <f t="shared" si="34"/>
        <v>4.720999999984846</v>
      </c>
      <c r="N36" s="311">
        <f t="shared" si="34"/>
        <v>1.7289999999788472</v>
      </c>
      <c r="O36" s="311">
        <f t="shared" si="34"/>
        <v>26.05800000008681</v>
      </c>
    </row>
    <row r="37" spans="1:15" s="236" customFormat="1" x14ac:dyDescent="0.3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3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35</v>
      </c>
    </row>
    <row r="39" spans="1:15" s="236" customFormat="1" x14ac:dyDescent="0.3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3">
      <c r="A40" s="241" t="str">
        <f>name!A5</f>
        <v>Coal, oil &amp; gas; Mining &amp; related</v>
      </c>
      <c r="B40" s="375">
        <f>$B$6</f>
        <v>2015</v>
      </c>
      <c r="C40" s="375"/>
      <c r="D40" s="375"/>
      <c r="E40" s="375"/>
      <c r="F40" s="263"/>
      <c r="G40" s="375">
        <f>$G$6</f>
        <v>2020</v>
      </c>
      <c r="H40" s="375"/>
      <c r="I40" s="375"/>
      <c r="J40" s="375"/>
      <c r="K40" s="263"/>
      <c r="L40" s="375">
        <f>$L$6</f>
        <v>2035</v>
      </c>
      <c r="M40" s="375"/>
      <c r="N40" s="375"/>
      <c r="O40" s="375"/>
    </row>
    <row r="41" spans="1:15" s="236" customFormat="1" x14ac:dyDescent="0.3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3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3">
      <c r="A43" s="237" t="str">
        <f>name!E$4</f>
        <v>Managers, directors and senior officials</v>
      </c>
      <c r="B43" s="302">
        <v>0.17830096616278607</v>
      </c>
      <c r="C43" s="302">
        <v>2.5843876143216054E-3</v>
      </c>
      <c r="D43" s="302">
        <v>8.7131028145416331E-2</v>
      </c>
      <c r="E43" s="302">
        <f>SUM(B43:D43)</f>
        <v>0.26801638192252403</v>
      </c>
      <c r="F43" s="303"/>
      <c r="G43" s="302">
        <v>0.22920469435246618</v>
      </c>
      <c r="H43" s="302">
        <v>2.7929141197263613E-3</v>
      </c>
      <c r="I43" s="302">
        <v>0.13007752492888855</v>
      </c>
      <c r="J43" s="302">
        <f>SUM(G43:I43)</f>
        <v>0.36207513340108111</v>
      </c>
      <c r="K43" s="303"/>
      <c r="L43" s="302">
        <v>0.13275773901113061</v>
      </c>
      <c r="M43" s="302">
        <v>2.0679933272431572E-3</v>
      </c>
      <c r="N43" s="302">
        <v>5.7555427239459819E-2</v>
      </c>
      <c r="O43" s="302">
        <f>SUM(L43:N43)</f>
        <v>0.19238115957783358</v>
      </c>
    </row>
    <row r="44" spans="1:15" s="236" customFormat="1" x14ac:dyDescent="0.3">
      <c r="A44" s="237" t="str">
        <f>name!E$5</f>
        <v>Professional occupations</v>
      </c>
      <c r="B44" s="302">
        <v>0.38959124384852478</v>
      </c>
      <c r="C44" s="302">
        <v>8.9631304306055579E-3</v>
      </c>
      <c r="D44" s="302">
        <v>6.7052562411778954E-2</v>
      </c>
      <c r="E44" s="302">
        <f t="shared" ref="E44:E51" si="35">SUM(B44:D44)</f>
        <v>0.46560693669090925</v>
      </c>
      <c r="F44" s="303"/>
      <c r="G44" s="302">
        <v>0.55109601948136555</v>
      </c>
      <c r="H44" s="302">
        <v>7.7096923226012684E-3</v>
      </c>
      <c r="I44" s="302">
        <v>7.9182783905376447E-2</v>
      </c>
      <c r="J44" s="302">
        <f t="shared" ref="J44:J46" si="36">SUM(G44:I44)</f>
        <v>0.63798849570934324</v>
      </c>
      <c r="K44" s="303"/>
      <c r="L44" s="302">
        <v>0.3849380246006347</v>
      </c>
      <c r="M44" s="302">
        <v>4.6346735676150554E-3</v>
      </c>
      <c r="N44" s="302">
        <v>1.2922515184303299E-2</v>
      </c>
      <c r="O44" s="302">
        <f t="shared" ref="O44:O51" si="37">SUM(L44:N44)</f>
        <v>0.40249521335255306</v>
      </c>
    </row>
    <row r="45" spans="1:15" s="236" customFormat="1" x14ac:dyDescent="0.3">
      <c r="A45" s="237" t="str">
        <f>name!E$6</f>
        <v>Associate professional occupations</v>
      </c>
      <c r="B45" s="302">
        <v>0.17265491042682315</v>
      </c>
      <c r="C45" s="302">
        <v>5.5411885483426897E-3</v>
      </c>
      <c r="D45" s="302">
        <v>3.8069654039539887E-2</v>
      </c>
      <c r="E45" s="302">
        <f t="shared" si="35"/>
        <v>0.21626575301470571</v>
      </c>
      <c r="F45" s="303"/>
      <c r="G45" s="302">
        <v>0.23109620514085139</v>
      </c>
      <c r="H45" s="302">
        <v>4.927607351232554E-3</v>
      </c>
      <c r="I45" s="302">
        <v>4.4413425420574214E-2</v>
      </c>
      <c r="J45" s="302">
        <f t="shared" si="36"/>
        <v>0.28043723791265812</v>
      </c>
      <c r="K45" s="303"/>
      <c r="L45" s="302">
        <v>0.11617631665968367</v>
      </c>
      <c r="M45" s="302">
        <v>3.0864946147931937E-3</v>
      </c>
      <c r="N45" s="302">
        <v>1.0186323225463177E-2</v>
      </c>
      <c r="O45" s="302">
        <f t="shared" si="37"/>
        <v>0.12944913449994006</v>
      </c>
    </row>
    <row r="46" spans="1:15" s="236" customFormat="1" x14ac:dyDescent="0.3">
      <c r="A46" s="237" t="str">
        <f>name!E$7</f>
        <v>Administrative and secretarial occupations</v>
      </c>
      <c r="B46" s="302">
        <v>9.0533216201954175E-2</v>
      </c>
      <c r="C46" s="302">
        <v>1.0712934431868909E-2</v>
      </c>
      <c r="D46" s="302">
        <v>1.7763240240630286E-2</v>
      </c>
      <c r="E46" s="302">
        <f t="shared" si="35"/>
        <v>0.11900939087445336</v>
      </c>
      <c r="F46" s="303"/>
      <c r="G46" s="302">
        <v>9.8248056155576483E-2</v>
      </c>
      <c r="H46" s="302">
        <v>9.5151306990179062E-3</v>
      </c>
      <c r="I46" s="302">
        <v>1.8721450828716821E-2</v>
      </c>
      <c r="J46" s="302">
        <f t="shared" si="36"/>
        <v>0.12648463768331122</v>
      </c>
      <c r="K46" s="303"/>
      <c r="L46" s="302">
        <v>4.4935591042958398E-2</v>
      </c>
      <c r="M46" s="302">
        <v>4.5169598214065557E-3</v>
      </c>
      <c r="N46" s="302">
        <v>8.045743230459184E-3</v>
      </c>
      <c r="O46" s="302">
        <f t="shared" si="37"/>
        <v>5.749829409482414E-2</v>
      </c>
    </row>
    <row r="47" spans="1:15" s="236" customFormat="1" x14ac:dyDescent="0.3">
      <c r="A47" s="237" t="str">
        <f>name!E$8</f>
        <v>Skilled trades occupations</v>
      </c>
      <c r="B47" s="302">
        <v>0.20547077783064507</v>
      </c>
      <c r="C47" s="302">
        <v>2.8707230617553751E-3</v>
      </c>
      <c r="D47" s="302">
        <v>0.16607298520352037</v>
      </c>
      <c r="E47" s="302">
        <f t="shared" si="35"/>
        <v>0.37441448609592082</v>
      </c>
      <c r="F47" s="303"/>
      <c r="G47" s="302">
        <v>0.19490873374833692</v>
      </c>
      <c r="H47" s="302">
        <v>1.513490168375283E-3</v>
      </c>
      <c r="I47" s="302">
        <v>0.16653292973367703</v>
      </c>
      <c r="J47" s="302">
        <f>SUM(G47:I47)</f>
        <v>0.36295515365038922</v>
      </c>
      <c r="K47" s="303"/>
      <c r="L47" s="302">
        <v>7.9927094717210434E-2</v>
      </c>
      <c r="M47" s="302">
        <v>1.1548178601636897E-3</v>
      </c>
      <c r="N47" s="302">
        <v>7.269024922045314E-2</v>
      </c>
      <c r="O47" s="302">
        <f t="shared" si="37"/>
        <v>0.15377216179782727</v>
      </c>
    </row>
    <row r="48" spans="1:15" s="236" customFormat="1" x14ac:dyDescent="0.3">
      <c r="A48" s="237" t="str">
        <f>name!E$9</f>
        <v>Caring, leisure and other service occupations</v>
      </c>
      <c r="B48" s="302">
        <v>4.5334946914736537E-2</v>
      </c>
      <c r="C48" s="302">
        <v>1.0583693003128978E-2</v>
      </c>
      <c r="D48" s="302">
        <v>5.2821953890595059E-3</v>
      </c>
      <c r="E48" s="302">
        <f t="shared" si="35"/>
        <v>6.1200835306925015E-2</v>
      </c>
      <c r="F48" s="303"/>
      <c r="G48" s="302">
        <v>4.5904023783800964E-2</v>
      </c>
      <c r="H48" s="302">
        <v>7.4639081463036116E-3</v>
      </c>
      <c r="I48" s="302">
        <v>6.7469854250916048E-3</v>
      </c>
      <c r="J48" s="302">
        <f t="shared" ref="J48:J51" si="38">SUM(G48:I48)</f>
        <v>6.0114917355196182E-2</v>
      </c>
      <c r="K48" s="303"/>
      <c r="L48" s="302">
        <v>2.1020373997292431E-2</v>
      </c>
      <c r="M48" s="302">
        <v>4.1723357596546232E-3</v>
      </c>
      <c r="N48" s="302">
        <v>5.131883224924934E-3</v>
      </c>
      <c r="O48" s="302">
        <f t="shared" si="37"/>
        <v>3.0324592981871987E-2</v>
      </c>
    </row>
    <row r="49" spans="1:15" s="236" customFormat="1" x14ac:dyDescent="0.3">
      <c r="A49" s="237" t="str">
        <f>name!E$10</f>
        <v>Sales and customer service occupations</v>
      </c>
      <c r="B49" s="302">
        <v>3.0180797346408009E-2</v>
      </c>
      <c r="C49" s="302">
        <v>1.2237554723134359E-2</v>
      </c>
      <c r="D49" s="302">
        <v>1.2601071777692242E-2</v>
      </c>
      <c r="E49" s="302">
        <f t="shared" si="35"/>
        <v>5.5019423847234607E-2</v>
      </c>
      <c r="F49" s="303"/>
      <c r="G49" s="302">
        <v>3.1497915276826473E-2</v>
      </c>
      <c r="H49" s="302">
        <v>8.5883138037735098E-3</v>
      </c>
      <c r="I49" s="302">
        <v>1.2896308886884582E-2</v>
      </c>
      <c r="J49" s="302">
        <f t="shared" si="38"/>
        <v>5.2982537967484568E-2</v>
      </c>
      <c r="K49" s="303"/>
      <c r="L49" s="302">
        <v>1.7808012256613295E-2</v>
      </c>
      <c r="M49" s="302">
        <v>5.0234033444878567E-3</v>
      </c>
      <c r="N49" s="302">
        <v>4.8260610281772587E-3</v>
      </c>
      <c r="O49" s="302">
        <f t="shared" si="37"/>
        <v>2.7657476629278411E-2</v>
      </c>
    </row>
    <row r="50" spans="1:15" s="236" customFormat="1" x14ac:dyDescent="0.3">
      <c r="A50" s="237" t="str">
        <f>name!E$11</f>
        <v>Process, plant and machine operatives</v>
      </c>
      <c r="B50" s="302">
        <v>0.46764725850058353</v>
      </c>
      <c r="C50" s="302">
        <v>4.7836550841332346E-3</v>
      </c>
      <c r="D50" s="302">
        <v>0.10271062070620673</v>
      </c>
      <c r="E50" s="302">
        <f t="shared" si="35"/>
        <v>0.57514153429092352</v>
      </c>
      <c r="F50" s="303"/>
      <c r="G50" s="302">
        <v>0.4281636274384259</v>
      </c>
      <c r="H50" s="302">
        <v>1.7329280475274328E-3</v>
      </c>
      <c r="I50" s="302">
        <v>0.13341282518321881</v>
      </c>
      <c r="J50" s="302">
        <f t="shared" si="38"/>
        <v>0.56330938066917213</v>
      </c>
      <c r="K50" s="303"/>
      <c r="L50" s="302">
        <v>0.14012772334945545</v>
      </c>
      <c r="M50" s="302">
        <v>1.4992638156250012E-3</v>
      </c>
      <c r="N50" s="302">
        <v>8.5900331344571437E-2</v>
      </c>
      <c r="O50" s="302">
        <f t="shared" si="37"/>
        <v>0.22752731850965191</v>
      </c>
    </row>
    <row r="51" spans="1:15" s="236" customFormat="1" x14ac:dyDescent="0.3">
      <c r="A51" s="237" t="str">
        <f>name!E$12</f>
        <v>Elementary occupations</v>
      </c>
      <c r="B51" s="302">
        <v>4.028588276152064E-2</v>
      </c>
      <c r="C51" s="302">
        <v>1.2722733102565434E-2</v>
      </c>
      <c r="D51" s="302">
        <v>0.25031664207923265</v>
      </c>
      <c r="E51" s="302">
        <f t="shared" si="35"/>
        <v>0.30332525794331872</v>
      </c>
      <c r="F51" s="303"/>
      <c r="G51" s="302">
        <v>3.3880724619651997E-2</v>
      </c>
      <c r="H51" s="302">
        <v>7.7560153416742139E-3</v>
      </c>
      <c r="I51" s="302">
        <v>0.27101576567794422</v>
      </c>
      <c r="J51" s="302">
        <f t="shared" si="38"/>
        <v>0.31265250563927044</v>
      </c>
      <c r="K51" s="303"/>
      <c r="L51" s="302">
        <v>1.2309124367577367E-2</v>
      </c>
      <c r="M51" s="302">
        <v>2.8440578890667582E-3</v>
      </c>
      <c r="N51" s="302">
        <v>0.16274146628852068</v>
      </c>
      <c r="O51" s="302">
        <f t="shared" si="37"/>
        <v>0.17789464854516482</v>
      </c>
    </row>
    <row r="52" spans="1:15" s="236" customFormat="1" x14ac:dyDescent="0.3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3">
      <c r="A53" s="244" t="s">
        <v>32</v>
      </c>
      <c r="B53" s="311">
        <f>SUM(B43:B51)</f>
        <v>1.6199999999939823</v>
      </c>
      <c r="C53" s="311">
        <f t="shared" ref="C53:E53" si="39">SUM(C43:C51)</f>
        <v>7.0999999999856137E-2</v>
      </c>
      <c r="D53" s="311">
        <f t="shared" si="39"/>
        <v>0.74699999999307698</v>
      </c>
      <c r="E53" s="311">
        <f t="shared" si="39"/>
        <v>2.4379999999869151</v>
      </c>
      <c r="F53" s="311"/>
      <c r="G53" s="311">
        <f t="shared" ref="G53:J53" si="40">SUM(G43:G51)</f>
        <v>1.8439999999973016</v>
      </c>
      <c r="H53" s="311">
        <f t="shared" si="40"/>
        <v>5.2000000000232145E-2</v>
      </c>
      <c r="I53" s="311">
        <f t="shared" si="40"/>
        <v>0.86299999999037236</v>
      </c>
      <c r="J53" s="311">
        <f t="shared" si="40"/>
        <v>2.7589999999879065</v>
      </c>
      <c r="K53" s="311"/>
      <c r="L53" s="311">
        <f t="shared" ref="L53:O53" si="41">SUM(L43:L51)</f>
        <v>0.95000000000255624</v>
      </c>
      <c r="M53" s="311">
        <f t="shared" si="41"/>
        <v>2.9000000000055894E-2</v>
      </c>
      <c r="N53" s="311">
        <f t="shared" si="41"/>
        <v>0.41999999998633297</v>
      </c>
      <c r="O53" s="311">
        <f t="shared" si="41"/>
        <v>1.3989999999889453</v>
      </c>
    </row>
    <row r="54" spans="1:15" s="236" customFormat="1" x14ac:dyDescent="0.3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3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35</v>
      </c>
    </row>
    <row r="56" spans="1:15" s="236" customFormat="1" x14ac:dyDescent="0.3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3">
      <c r="A57" s="241" t="str">
        <f>name!A6</f>
        <v>Food products</v>
      </c>
      <c r="B57" s="375">
        <f>$B$6</f>
        <v>2015</v>
      </c>
      <c r="C57" s="375"/>
      <c r="D57" s="375"/>
      <c r="E57" s="375"/>
      <c r="F57" s="263"/>
      <c r="G57" s="375">
        <f>$G$6</f>
        <v>2020</v>
      </c>
      <c r="H57" s="375"/>
      <c r="I57" s="375"/>
      <c r="J57" s="375"/>
      <c r="K57" s="263"/>
      <c r="L57" s="375">
        <f>$L$6</f>
        <v>2035</v>
      </c>
      <c r="M57" s="375"/>
      <c r="N57" s="375"/>
      <c r="O57" s="375"/>
    </row>
    <row r="58" spans="1:15" s="236" customFormat="1" x14ac:dyDescent="0.3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3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3">
      <c r="A60" s="237" t="str">
        <f>name!E$4</f>
        <v>Managers, directors and senior officials</v>
      </c>
      <c r="B60" s="302">
        <v>1.6179331938592454</v>
      </c>
      <c r="C60" s="302">
        <v>8.819341631637187E-2</v>
      </c>
      <c r="D60" s="302">
        <v>0.12480595730180491</v>
      </c>
      <c r="E60" s="302">
        <f>SUM(B60:D60)</f>
        <v>1.8309325674774222</v>
      </c>
      <c r="F60" s="303"/>
      <c r="G60" s="302">
        <v>2.2496522692464787</v>
      </c>
      <c r="H60" s="302">
        <v>0.1846393978610599</v>
      </c>
      <c r="I60" s="302">
        <v>5.790282274233053E-2</v>
      </c>
      <c r="J60" s="302">
        <f>SUM(G60:I60)</f>
        <v>2.4921944898498691</v>
      </c>
      <c r="K60" s="303"/>
      <c r="L60" s="302">
        <v>2.7347466481024743</v>
      </c>
      <c r="M60" s="302">
        <v>0.24412466481611836</v>
      </c>
      <c r="N60" s="302">
        <v>4.7187584010799671E-2</v>
      </c>
      <c r="O60" s="302">
        <f>SUM(L60:N60)</f>
        <v>3.0260588969293924</v>
      </c>
    </row>
    <row r="61" spans="1:15" s="236" customFormat="1" x14ac:dyDescent="0.3">
      <c r="A61" s="237" t="str">
        <f>name!E$5</f>
        <v>Professional occupations</v>
      </c>
      <c r="B61" s="302">
        <v>1.2788004890863718</v>
      </c>
      <c r="C61" s="302">
        <v>6.5733888113432476E-2</v>
      </c>
      <c r="D61" s="302">
        <v>4.0718767226766005E-2</v>
      </c>
      <c r="E61" s="302">
        <f t="shared" ref="E61:E68" si="42">SUM(B61:D61)</f>
        <v>1.3852531444265701</v>
      </c>
      <c r="F61" s="303"/>
      <c r="G61" s="302">
        <v>2.0088756630310582</v>
      </c>
      <c r="H61" s="302">
        <v>0.11536679859526759</v>
      </c>
      <c r="I61" s="302">
        <v>1.6597661631503158E-2</v>
      </c>
      <c r="J61" s="302">
        <f t="shared" ref="J61:J63" si="43">SUM(G61:I61)</f>
        <v>2.1408401232578291</v>
      </c>
      <c r="K61" s="303"/>
      <c r="L61" s="302">
        <v>3.1179578083967661</v>
      </c>
      <c r="M61" s="302">
        <v>0.14226640075299823</v>
      </c>
      <c r="N61" s="302">
        <v>6.695926523986981E-3</v>
      </c>
      <c r="O61" s="302">
        <f t="shared" ref="O61:O68" si="44">SUM(L61:N61)</f>
        <v>3.2669201356737512</v>
      </c>
    </row>
    <row r="62" spans="1:15" s="236" customFormat="1" x14ac:dyDescent="0.3">
      <c r="A62" s="237" t="str">
        <f>name!E$6</f>
        <v>Associate professional occupations</v>
      </c>
      <c r="B62" s="302">
        <v>2.0081858838143072</v>
      </c>
      <c r="C62" s="302">
        <v>0.14047039933317135</v>
      </c>
      <c r="D62" s="302">
        <v>4.5623115464110735E-2</v>
      </c>
      <c r="E62" s="302">
        <f t="shared" si="42"/>
        <v>2.1942793986115894</v>
      </c>
      <c r="F62" s="303"/>
      <c r="G62" s="302">
        <v>2.8998259260582713</v>
      </c>
      <c r="H62" s="302">
        <v>0.18724242230995877</v>
      </c>
      <c r="I62" s="302">
        <v>1.5207329555526741E-2</v>
      </c>
      <c r="J62" s="302">
        <f t="shared" si="43"/>
        <v>3.1022756779237568</v>
      </c>
      <c r="K62" s="303"/>
      <c r="L62" s="302">
        <v>3.4294768089373964</v>
      </c>
      <c r="M62" s="302">
        <v>0.18418400611491775</v>
      </c>
      <c r="N62" s="302">
        <v>7.6497176168292729E-3</v>
      </c>
      <c r="O62" s="302">
        <f t="shared" si="44"/>
        <v>3.6213105326691433</v>
      </c>
    </row>
    <row r="63" spans="1:15" s="236" customFormat="1" x14ac:dyDescent="0.3">
      <c r="A63" s="237" t="str">
        <f>name!E$7</f>
        <v>Administrative and secretarial occupations</v>
      </c>
      <c r="B63" s="302">
        <v>1.0082514366876987</v>
      </c>
      <c r="C63" s="302">
        <v>0.47926777233295481</v>
      </c>
      <c r="D63" s="302">
        <v>0.31641265454414241</v>
      </c>
      <c r="E63" s="302">
        <f t="shared" si="42"/>
        <v>1.8039318635647958</v>
      </c>
      <c r="F63" s="303"/>
      <c r="G63" s="302">
        <v>1.3070297364362997</v>
      </c>
      <c r="H63" s="302">
        <v>0.48741843810506219</v>
      </c>
      <c r="I63" s="302">
        <v>8.2316732659982572E-2</v>
      </c>
      <c r="J63" s="302">
        <f t="shared" si="43"/>
        <v>1.8767649072013444</v>
      </c>
      <c r="K63" s="303"/>
      <c r="L63" s="302">
        <v>1.4274103523060988</v>
      </c>
      <c r="M63" s="302">
        <v>0.46031004291005934</v>
      </c>
      <c r="N63" s="302">
        <v>0.10487717824566439</v>
      </c>
      <c r="O63" s="302">
        <f t="shared" si="44"/>
        <v>1.9925975734618224</v>
      </c>
    </row>
    <row r="64" spans="1:15" s="236" customFormat="1" x14ac:dyDescent="0.3">
      <c r="A64" s="237" t="str">
        <f>name!E$8</f>
        <v>Skilled trades occupations</v>
      </c>
      <c r="B64" s="302">
        <v>5.046009511642783</v>
      </c>
      <c r="C64" s="302">
        <v>0.13259412451573882</v>
      </c>
      <c r="D64" s="302">
        <v>0.66685641992460065</v>
      </c>
      <c r="E64" s="302">
        <f t="shared" si="42"/>
        <v>5.8454600560831231</v>
      </c>
      <c r="F64" s="303"/>
      <c r="G64" s="302">
        <v>4.824990856660281</v>
      </c>
      <c r="H64" s="302">
        <v>0.14599099400226859</v>
      </c>
      <c r="I64" s="302">
        <v>0.25714704974091501</v>
      </c>
      <c r="J64" s="302">
        <f>SUM(G64:I64)</f>
        <v>5.2281289004034646</v>
      </c>
      <c r="K64" s="303"/>
      <c r="L64" s="302">
        <v>5.2295885264606223</v>
      </c>
      <c r="M64" s="302">
        <v>9.3529436216595846E-2</v>
      </c>
      <c r="N64" s="302">
        <v>0.32658456774916972</v>
      </c>
      <c r="O64" s="302">
        <f t="shared" si="44"/>
        <v>5.6497025304263877</v>
      </c>
    </row>
    <row r="65" spans="1:15" s="236" customFormat="1" x14ac:dyDescent="0.3">
      <c r="A65" s="237" t="str">
        <f>name!E$9</f>
        <v>Caring, leisure and other service occupations</v>
      </c>
      <c r="B65" s="302">
        <v>0.12394278665296744</v>
      </c>
      <c r="C65" s="302">
        <v>3.2515056550786861E-2</v>
      </c>
      <c r="D65" s="302">
        <v>3.1367299114839417E-2</v>
      </c>
      <c r="E65" s="302">
        <f t="shared" si="42"/>
        <v>0.18782514231859371</v>
      </c>
      <c r="F65" s="303"/>
      <c r="G65" s="302">
        <v>0.15337349486609417</v>
      </c>
      <c r="H65" s="302">
        <v>3.6891471365085589E-2</v>
      </c>
      <c r="I65" s="302">
        <v>1.0700675795657503E-2</v>
      </c>
      <c r="J65" s="302">
        <f t="shared" ref="J65:J68" si="45">SUM(G65:I65)</f>
        <v>0.20096564202683725</v>
      </c>
      <c r="K65" s="303"/>
      <c r="L65" s="302">
        <v>0.16195696928412809</v>
      </c>
      <c r="M65" s="302">
        <v>3.6365700781982403E-2</v>
      </c>
      <c r="N65" s="302">
        <v>1.884680012588396E-2</v>
      </c>
      <c r="O65" s="302">
        <f t="shared" si="44"/>
        <v>0.21716947019199445</v>
      </c>
    </row>
    <row r="66" spans="1:15" s="236" customFormat="1" x14ac:dyDescent="0.3">
      <c r="A66" s="237" t="str">
        <f>name!E$10</f>
        <v>Sales and customer service occupations</v>
      </c>
      <c r="B66" s="302">
        <v>0.59109034332412214</v>
      </c>
      <c r="C66" s="302">
        <v>0.35397854930909917</v>
      </c>
      <c r="D66" s="302">
        <v>4.6864002008592705E-2</v>
      </c>
      <c r="E66" s="302">
        <f t="shared" si="42"/>
        <v>0.99193289464181411</v>
      </c>
      <c r="F66" s="303"/>
      <c r="G66" s="302">
        <v>0.65325212013022249</v>
      </c>
      <c r="H66" s="302">
        <v>0.41165994795432576</v>
      </c>
      <c r="I66" s="302">
        <v>1.4124769302780166E-2</v>
      </c>
      <c r="J66" s="302">
        <f t="shared" si="45"/>
        <v>1.0790368373873285</v>
      </c>
      <c r="K66" s="303"/>
      <c r="L66" s="302">
        <v>0.78308991366829228</v>
      </c>
      <c r="M66" s="302">
        <v>0.49540365072786519</v>
      </c>
      <c r="N66" s="302">
        <v>1.7475826020840305E-2</v>
      </c>
      <c r="O66" s="302">
        <f t="shared" si="44"/>
        <v>1.2959693904169978</v>
      </c>
    </row>
    <row r="67" spans="1:15" s="236" customFormat="1" x14ac:dyDescent="0.3">
      <c r="A67" s="237" t="str">
        <f>name!E$11</f>
        <v>Process, plant and machine operatives</v>
      </c>
      <c r="B67" s="302">
        <v>10.239323934285791</v>
      </c>
      <c r="C67" s="302">
        <v>0.33371927801869566</v>
      </c>
      <c r="D67" s="302">
        <v>0.13795790529248814</v>
      </c>
      <c r="E67" s="302">
        <f t="shared" si="42"/>
        <v>10.711001117596975</v>
      </c>
      <c r="F67" s="303"/>
      <c r="G67" s="302">
        <v>9.8501203316214099</v>
      </c>
      <c r="H67" s="302">
        <v>0.60382543291407387</v>
      </c>
      <c r="I67" s="302">
        <v>4.8341196727949835E-2</v>
      </c>
      <c r="J67" s="302">
        <f t="shared" si="45"/>
        <v>10.502286961263433</v>
      </c>
      <c r="K67" s="303"/>
      <c r="L67" s="302">
        <v>11.459833315762708</v>
      </c>
      <c r="M67" s="302">
        <v>0.72143347466395225</v>
      </c>
      <c r="N67" s="302">
        <v>5.7764394847069273E-2</v>
      </c>
      <c r="O67" s="302">
        <f t="shared" si="44"/>
        <v>12.239031185273729</v>
      </c>
    </row>
    <row r="68" spans="1:15" s="236" customFormat="1" x14ac:dyDescent="0.3">
      <c r="A68" s="237" t="str">
        <f>name!E$12</f>
        <v>Elementary occupations</v>
      </c>
      <c r="B68" s="302">
        <v>2.7474624206777225</v>
      </c>
      <c r="C68" s="302">
        <v>0.82152751556516346</v>
      </c>
      <c r="D68" s="302">
        <v>0.1343938791317878</v>
      </c>
      <c r="E68" s="302">
        <f t="shared" si="42"/>
        <v>3.7033838153746741</v>
      </c>
      <c r="F68" s="303"/>
      <c r="G68" s="302">
        <v>2.4518796019191904</v>
      </c>
      <c r="H68" s="302">
        <v>1.1519650968945938</v>
      </c>
      <c r="I68" s="302">
        <v>3.366176183233565E-2</v>
      </c>
      <c r="J68" s="302">
        <f t="shared" si="45"/>
        <v>3.63750646064612</v>
      </c>
      <c r="K68" s="303"/>
      <c r="L68" s="302">
        <v>1.9269396573566524</v>
      </c>
      <c r="M68" s="302">
        <v>1.3883826229902632</v>
      </c>
      <c r="N68" s="302">
        <v>4.5918004850897517E-2</v>
      </c>
      <c r="O68" s="302">
        <f t="shared" si="44"/>
        <v>3.3612402851978129</v>
      </c>
    </row>
    <row r="69" spans="1:15" s="236" customFormat="1" x14ac:dyDescent="0.3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3">
      <c r="A70" s="244" t="s">
        <v>32</v>
      </c>
      <c r="B70" s="311">
        <f>SUM(B60:B68)</f>
        <v>24.661000000031009</v>
      </c>
      <c r="C70" s="311">
        <f t="shared" ref="C70:E70" si="46">SUM(C60:C68)</f>
        <v>2.4480000000554147</v>
      </c>
      <c r="D70" s="311">
        <f t="shared" si="46"/>
        <v>1.5450000000091328</v>
      </c>
      <c r="E70" s="311">
        <f t="shared" si="46"/>
        <v>28.654000000095557</v>
      </c>
      <c r="F70" s="311"/>
      <c r="G70" s="311">
        <f t="shared" ref="G70:J70" si="47">SUM(G60:G68)</f>
        <v>26.398999999969309</v>
      </c>
      <c r="H70" s="311">
        <f t="shared" si="47"/>
        <v>3.3250000000016962</v>
      </c>
      <c r="I70" s="311">
        <f t="shared" si="47"/>
        <v>0.53599999998898107</v>
      </c>
      <c r="J70" s="311">
        <f t="shared" si="47"/>
        <v>30.25999999995998</v>
      </c>
      <c r="K70" s="311"/>
      <c r="L70" s="311">
        <f t="shared" ref="L70:O70" si="48">SUM(L60:L68)</f>
        <v>30.271000000275137</v>
      </c>
      <c r="M70" s="311">
        <f t="shared" si="48"/>
        <v>3.7659999999747527</v>
      </c>
      <c r="N70" s="311">
        <f t="shared" si="48"/>
        <v>0.63299999999114109</v>
      </c>
      <c r="O70" s="311">
        <f t="shared" si="48"/>
        <v>34.670000000241039</v>
      </c>
    </row>
    <row r="71" spans="1:15" s="236" customFormat="1" x14ac:dyDescent="0.3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3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35</v>
      </c>
    </row>
    <row r="73" spans="1:15" s="236" customFormat="1" x14ac:dyDescent="0.3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3">
      <c r="A74" s="241" t="str">
        <f>name!A7</f>
        <v>Beverages and tobacco</v>
      </c>
      <c r="B74" s="375">
        <f>$B$6</f>
        <v>2015</v>
      </c>
      <c r="C74" s="375"/>
      <c r="D74" s="375"/>
      <c r="E74" s="375"/>
      <c r="F74" s="263"/>
      <c r="G74" s="375">
        <f>$G$6</f>
        <v>2020</v>
      </c>
      <c r="H74" s="375"/>
      <c r="I74" s="375"/>
      <c r="J74" s="375"/>
      <c r="K74" s="263"/>
      <c r="L74" s="375">
        <f>$L$6</f>
        <v>2035</v>
      </c>
      <c r="M74" s="375"/>
      <c r="N74" s="375"/>
      <c r="O74" s="375"/>
    </row>
    <row r="75" spans="1:15" s="236" customFormat="1" x14ac:dyDescent="0.3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3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3">
      <c r="A77" s="237" t="str">
        <f>name!E$4</f>
        <v>Managers, directors and senior officials</v>
      </c>
      <c r="B77" s="302">
        <v>0.47198804500248026</v>
      </c>
      <c r="C77" s="302">
        <v>3.0533436044017124E-2</v>
      </c>
      <c r="D77" s="302">
        <v>2.0924015932587692E-2</v>
      </c>
      <c r="E77" s="302">
        <f>SUM(B77:D77)</f>
        <v>0.52344549697908516</v>
      </c>
      <c r="F77" s="303"/>
      <c r="G77" s="302">
        <v>0.4469607810213172</v>
      </c>
      <c r="H77" s="302">
        <v>6.3648547728955993E-2</v>
      </c>
      <c r="I77" s="302">
        <v>9.5231392300423757E-3</v>
      </c>
      <c r="J77" s="302">
        <f>SUM(G77:I77)</f>
        <v>0.52013246798031554</v>
      </c>
      <c r="K77" s="303"/>
      <c r="L77" s="302">
        <v>0.49594236685687432</v>
      </c>
      <c r="M77" s="302">
        <v>7.6286422155812036E-2</v>
      </c>
      <c r="N77" s="302">
        <v>1.4597982672544472E-2</v>
      </c>
      <c r="O77" s="302">
        <f>SUM(L77:N77)</f>
        <v>0.58682677168523079</v>
      </c>
    </row>
    <row r="78" spans="1:15" s="236" customFormat="1" x14ac:dyDescent="0.3">
      <c r="A78" s="237" t="str">
        <f>name!E$5</f>
        <v>Professional occupations</v>
      </c>
      <c r="B78" s="302">
        <v>0.49714247171182124</v>
      </c>
      <c r="C78" s="302">
        <v>4.3430266724776859E-2</v>
      </c>
      <c r="D78" s="302">
        <v>0.11488500898726041</v>
      </c>
      <c r="E78" s="302">
        <f t="shared" ref="E78:E85" si="49">SUM(B78:D78)</f>
        <v>0.65545774742385854</v>
      </c>
      <c r="F78" s="303"/>
      <c r="G78" s="302">
        <v>0.52143007649677298</v>
      </c>
      <c r="H78" s="302">
        <v>8.661255268449003E-2</v>
      </c>
      <c r="I78" s="302">
        <v>0.10649651212240525</v>
      </c>
      <c r="J78" s="302">
        <f t="shared" ref="J78:J80" si="50">SUM(G78:I78)</f>
        <v>0.71453914130366836</v>
      </c>
      <c r="K78" s="303"/>
      <c r="L78" s="302">
        <v>0.71688229101620249</v>
      </c>
      <c r="M78" s="302">
        <v>9.8009818402430518E-2</v>
      </c>
      <c r="N78" s="302">
        <v>0.13942170031172943</v>
      </c>
      <c r="O78" s="302">
        <f t="shared" ref="O78:O85" si="51">SUM(L78:N78)</f>
        <v>0.95431380973036239</v>
      </c>
    </row>
    <row r="79" spans="1:15" s="236" customFormat="1" x14ac:dyDescent="0.3">
      <c r="A79" s="237" t="str">
        <f>name!E$6</f>
        <v>Associate professional occupations</v>
      </c>
      <c r="B79" s="302">
        <v>0.5339035468272616</v>
      </c>
      <c r="C79" s="302">
        <v>9.414387395210258E-2</v>
      </c>
      <c r="D79" s="302">
        <v>2.1904072966213647E-2</v>
      </c>
      <c r="E79" s="302">
        <f t="shared" si="49"/>
        <v>0.64995149374557781</v>
      </c>
      <c r="F79" s="303"/>
      <c r="G79" s="302">
        <v>0.52494548004435337</v>
      </c>
      <c r="H79" s="302">
        <v>0.1622377112811243</v>
      </c>
      <c r="I79" s="302">
        <v>6.7993464868336745E-3</v>
      </c>
      <c r="J79" s="302">
        <f t="shared" si="50"/>
        <v>0.69398253781231134</v>
      </c>
      <c r="K79" s="303"/>
      <c r="L79" s="302">
        <v>0.56245966287791394</v>
      </c>
      <c r="M79" s="302">
        <v>0.16100118793333851</v>
      </c>
      <c r="N79" s="302">
        <v>8.9931276474056621E-3</v>
      </c>
      <c r="O79" s="302">
        <f t="shared" si="51"/>
        <v>0.73245397845865812</v>
      </c>
    </row>
    <row r="80" spans="1:15" s="236" customFormat="1" x14ac:dyDescent="0.3">
      <c r="A80" s="237" t="str">
        <f>name!E$7</f>
        <v>Administrative and secretarial occupations</v>
      </c>
      <c r="B80" s="302">
        <v>0.18864884824499109</v>
      </c>
      <c r="C80" s="302">
        <v>0.19892987837591003</v>
      </c>
      <c r="D80" s="302">
        <v>7.3043173012987458E-3</v>
      </c>
      <c r="E80" s="302">
        <f t="shared" si="49"/>
        <v>0.39488304392219986</v>
      </c>
      <c r="F80" s="303"/>
      <c r="G80" s="302">
        <v>0.15030945462973117</v>
      </c>
      <c r="H80" s="302">
        <v>0.23565071982565791</v>
      </c>
      <c r="I80" s="302">
        <v>1.8264705125564755E-3</v>
      </c>
      <c r="J80" s="302">
        <f t="shared" si="50"/>
        <v>0.38778664496794557</v>
      </c>
      <c r="K80" s="303"/>
      <c r="L80" s="302">
        <v>0.14156324810186835</v>
      </c>
      <c r="M80" s="302">
        <v>0.29221919124968426</v>
      </c>
      <c r="N80" s="302">
        <v>1.3893932632893088E-3</v>
      </c>
      <c r="O80" s="302">
        <f t="shared" si="51"/>
        <v>0.43517183261484188</v>
      </c>
    </row>
    <row r="81" spans="1:15" s="236" customFormat="1" x14ac:dyDescent="0.3">
      <c r="A81" s="237" t="str">
        <f>name!E$8</f>
        <v>Skilled trades occupations</v>
      </c>
      <c r="B81" s="302">
        <v>0.31889325228512333</v>
      </c>
      <c r="C81" s="302">
        <v>2.5726546983293359E-2</v>
      </c>
      <c r="D81" s="302">
        <v>2.3952605495963536E-2</v>
      </c>
      <c r="E81" s="302">
        <f t="shared" si="49"/>
        <v>0.36857240476438025</v>
      </c>
      <c r="F81" s="303"/>
      <c r="G81" s="302">
        <v>0.21823032512866278</v>
      </c>
      <c r="H81" s="302">
        <v>4.5325385600689896E-2</v>
      </c>
      <c r="I81" s="302">
        <v>8.1021799490057465E-3</v>
      </c>
      <c r="J81" s="302">
        <f>SUM(G81:I81)</f>
        <v>0.27165789067835844</v>
      </c>
      <c r="K81" s="303"/>
      <c r="L81" s="302">
        <v>0.20833010943961291</v>
      </c>
      <c r="M81" s="302">
        <v>4.3555207285500275E-2</v>
      </c>
      <c r="N81" s="302">
        <v>9.1468699907680077E-3</v>
      </c>
      <c r="O81" s="302">
        <f t="shared" si="51"/>
        <v>0.26103218671588119</v>
      </c>
    </row>
    <row r="82" spans="1:15" s="236" customFormat="1" x14ac:dyDescent="0.3">
      <c r="A82" s="237" t="str">
        <f>name!E$9</f>
        <v>Caring, leisure and other service occupations</v>
      </c>
      <c r="B82" s="302">
        <v>6.9492409642966976E-2</v>
      </c>
      <c r="C82" s="302">
        <v>4.7328016473645151E-2</v>
      </c>
      <c r="D82" s="302">
        <v>1.7856775423300622E-2</v>
      </c>
      <c r="E82" s="302">
        <f t="shared" si="49"/>
        <v>0.13467720153991275</v>
      </c>
      <c r="F82" s="303"/>
      <c r="G82" s="302">
        <v>5.5316948281917064E-2</v>
      </c>
      <c r="H82" s="302">
        <v>6.1204268174136871E-2</v>
      </c>
      <c r="I82" s="302">
        <v>4.9134816187223823E-3</v>
      </c>
      <c r="J82" s="302">
        <f t="shared" ref="J82:J85" si="52">SUM(G82:I82)</f>
        <v>0.1214346980747763</v>
      </c>
      <c r="K82" s="303"/>
      <c r="L82" s="302">
        <v>7.2982803979456126E-2</v>
      </c>
      <c r="M82" s="302">
        <v>5.6004874475986628E-2</v>
      </c>
      <c r="N82" s="302">
        <v>4.5942725856356892E-3</v>
      </c>
      <c r="O82" s="302">
        <f t="shared" si="51"/>
        <v>0.13358195104107845</v>
      </c>
    </row>
    <row r="83" spans="1:15" s="236" customFormat="1" x14ac:dyDescent="0.3">
      <c r="A83" s="237" t="str">
        <f>name!E$10</f>
        <v>Sales and customer service occupations</v>
      </c>
      <c r="B83" s="302">
        <v>0.12475021994687929</v>
      </c>
      <c r="C83" s="302">
        <v>8.585133228783591E-2</v>
      </c>
      <c r="D83" s="302">
        <v>1.0030955607629519E-2</v>
      </c>
      <c r="E83" s="302">
        <f t="shared" si="49"/>
        <v>0.22063250784234473</v>
      </c>
      <c r="F83" s="303"/>
      <c r="G83" s="302">
        <v>9.9478311313344586E-2</v>
      </c>
      <c r="H83" s="302">
        <v>0.12026258164343873</v>
      </c>
      <c r="I83" s="302">
        <v>2.8167804287942077E-3</v>
      </c>
      <c r="J83" s="302">
        <f t="shared" si="52"/>
        <v>0.22255767338557753</v>
      </c>
      <c r="K83" s="303"/>
      <c r="L83" s="302">
        <v>0.11651646654057635</v>
      </c>
      <c r="M83" s="302">
        <v>0.1758168625148244</v>
      </c>
      <c r="N83" s="302">
        <v>2.6365933330592096E-3</v>
      </c>
      <c r="O83" s="302">
        <f t="shared" si="51"/>
        <v>0.29496992238845998</v>
      </c>
    </row>
    <row r="84" spans="1:15" s="236" customFormat="1" x14ac:dyDescent="0.3">
      <c r="A84" s="237" t="str">
        <f>name!E$11</f>
        <v>Process, plant and machine operatives</v>
      </c>
      <c r="B84" s="302">
        <v>0.85795880647810308</v>
      </c>
      <c r="C84" s="302">
        <v>7.4659421561992276E-2</v>
      </c>
      <c r="D84" s="302">
        <v>8.0231512917262361E-3</v>
      </c>
      <c r="E84" s="302">
        <f t="shared" si="49"/>
        <v>0.94064137933182157</v>
      </c>
      <c r="F84" s="303"/>
      <c r="G84" s="302">
        <v>0.61719737061598201</v>
      </c>
      <c r="H84" s="302">
        <v>0.17725183002678863</v>
      </c>
      <c r="I84" s="302">
        <v>4.5835450328934706E-3</v>
      </c>
      <c r="J84" s="302">
        <f t="shared" si="52"/>
        <v>0.79903274567566407</v>
      </c>
      <c r="K84" s="303"/>
      <c r="L84" s="302">
        <v>0.74260783389757123</v>
      </c>
      <c r="M84" s="302">
        <v>0.23473733875789948</v>
      </c>
      <c r="N84" s="302">
        <v>2.3695649399050854E-3</v>
      </c>
      <c r="O84" s="302">
        <f t="shared" si="51"/>
        <v>0.97971473759537575</v>
      </c>
    </row>
    <row r="85" spans="1:15" s="236" customFormat="1" x14ac:dyDescent="0.3">
      <c r="A85" s="237" t="str">
        <f>name!E$12</f>
        <v>Elementary occupations</v>
      </c>
      <c r="B85" s="302">
        <v>0.29222239985517739</v>
      </c>
      <c r="C85" s="302">
        <v>9.4397227604810521E-2</v>
      </c>
      <c r="D85" s="302">
        <v>1.8119096997670205E-2</v>
      </c>
      <c r="E85" s="302">
        <f t="shared" si="49"/>
        <v>0.40473872445765813</v>
      </c>
      <c r="F85" s="303"/>
      <c r="G85" s="302">
        <v>0.19813125247263741</v>
      </c>
      <c r="H85" s="302">
        <v>0.10480640303038524</v>
      </c>
      <c r="I85" s="302">
        <v>2.9385446197789226E-3</v>
      </c>
      <c r="J85" s="302">
        <f t="shared" si="52"/>
        <v>0.30587620012280159</v>
      </c>
      <c r="K85" s="303"/>
      <c r="L85" s="302">
        <v>0.14471521730749409</v>
      </c>
      <c r="M85" s="302">
        <v>5.7369097215621778E-2</v>
      </c>
      <c r="N85" s="302">
        <v>4.8504952592985347E-3</v>
      </c>
      <c r="O85" s="302">
        <f t="shared" si="51"/>
        <v>0.20693480978241441</v>
      </c>
    </row>
    <row r="86" spans="1:15" s="236" customFormat="1" x14ac:dyDescent="0.3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3">
      <c r="A87" s="244" t="s">
        <v>32</v>
      </c>
      <c r="B87" s="311">
        <f>SUM(B77:B85)</f>
        <v>3.3549999999948037</v>
      </c>
      <c r="C87" s="311">
        <f t="shared" ref="C87:E87" si="53">SUM(C77:C85)</f>
        <v>0.69500000000838369</v>
      </c>
      <c r="D87" s="311">
        <f t="shared" si="53"/>
        <v>0.24300000000365057</v>
      </c>
      <c r="E87" s="311">
        <f t="shared" si="53"/>
        <v>4.2930000000068391</v>
      </c>
      <c r="F87" s="311"/>
      <c r="G87" s="311">
        <f t="shared" ref="G87:J87" si="54">SUM(G77:G85)</f>
        <v>2.8320000000047187</v>
      </c>
      <c r="H87" s="311">
        <f t="shared" si="54"/>
        <v>1.0569999999956676</v>
      </c>
      <c r="I87" s="311">
        <f t="shared" si="54"/>
        <v>0.14800000000103247</v>
      </c>
      <c r="J87" s="311">
        <f t="shared" si="54"/>
        <v>4.0370000000014183</v>
      </c>
      <c r="K87" s="311"/>
      <c r="L87" s="311">
        <f t="shared" ref="L87:O87" si="55">SUM(L77:L85)</f>
        <v>3.2020000000175695</v>
      </c>
      <c r="M87" s="311">
        <f t="shared" si="55"/>
        <v>1.1949999999910981</v>
      </c>
      <c r="N87" s="311">
        <f t="shared" si="55"/>
        <v>0.1880000000036354</v>
      </c>
      <c r="O87" s="311">
        <f t="shared" si="55"/>
        <v>4.5850000000123021</v>
      </c>
    </row>
    <row r="88" spans="1:15" s="236" customFormat="1" x14ac:dyDescent="0.3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3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35</v>
      </c>
    </row>
    <row r="90" spans="1:15" s="236" customFormat="1" x14ac:dyDescent="0.3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3">
      <c r="A91" s="241" t="str">
        <f>name!A8</f>
        <v>Textiles</v>
      </c>
      <c r="B91" s="375">
        <f>$B$6</f>
        <v>2015</v>
      </c>
      <c r="C91" s="375"/>
      <c r="D91" s="375"/>
      <c r="E91" s="375"/>
      <c r="F91" s="263"/>
      <c r="G91" s="375">
        <f>$G$6</f>
        <v>2020</v>
      </c>
      <c r="H91" s="375"/>
      <c r="I91" s="375"/>
      <c r="J91" s="375"/>
      <c r="K91" s="263"/>
      <c r="L91" s="375">
        <f>$L$6</f>
        <v>2035</v>
      </c>
      <c r="M91" s="375"/>
      <c r="N91" s="375"/>
      <c r="O91" s="375"/>
    </row>
    <row r="92" spans="1:15" s="236" customFormat="1" x14ac:dyDescent="0.3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3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3">
      <c r="A94" s="237" t="str">
        <f>name!E$4</f>
        <v>Managers, directors and senior officials</v>
      </c>
      <c r="B94" s="302">
        <v>0.25031385657747834</v>
      </c>
      <c r="C94" s="302">
        <v>1.3137022802076183E-2</v>
      </c>
      <c r="D94" s="302">
        <v>0.18559344886245419</v>
      </c>
      <c r="E94" s="302">
        <f>SUM(B94:D94)</f>
        <v>0.44904432824200868</v>
      </c>
      <c r="F94" s="303"/>
      <c r="G94" s="302">
        <v>0.560369621540036</v>
      </c>
      <c r="H94" s="302">
        <v>3.9689133212730425E-2</v>
      </c>
      <c r="I94" s="302">
        <v>0.20206318472519616</v>
      </c>
      <c r="J94" s="302">
        <f>SUM(G94:I94)</f>
        <v>0.80212193947796251</v>
      </c>
      <c r="K94" s="303"/>
      <c r="L94" s="302">
        <v>0.45247046353444498</v>
      </c>
      <c r="M94" s="302">
        <v>3.0957342286158249E-2</v>
      </c>
      <c r="N94" s="302">
        <v>0.16311651897675569</v>
      </c>
      <c r="O94" s="302">
        <f>SUM(L94:N94)</f>
        <v>0.6465443247973589</v>
      </c>
    </row>
    <row r="95" spans="1:15" s="236" customFormat="1" x14ac:dyDescent="0.3">
      <c r="A95" s="237" t="str">
        <f>name!E$5</f>
        <v>Professional occupations</v>
      </c>
      <c r="B95" s="302">
        <v>0.25057772377830323</v>
      </c>
      <c r="C95" s="302">
        <v>1.7687756299415148E-2</v>
      </c>
      <c r="D95" s="302">
        <v>8.7094913724918649E-2</v>
      </c>
      <c r="E95" s="302">
        <f t="shared" ref="E95:E102" si="56">SUM(B95:D95)</f>
        <v>0.35536039380263706</v>
      </c>
      <c r="F95" s="303"/>
      <c r="G95" s="302">
        <v>0.61721643574748786</v>
      </c>
      <c r="H95" s="302">
        <v>3.7643538356170708E-2</v>
      </c>
      <c r="I95" s="302">
        <v>7.3049662200992752E-2</v>
      </c>
      <c r="J95" s="302">
        <f t="shared" ref="J95:J97" si="57">SUM(G95:I95)</f>
        <v>0.72790963630465133</v>
      </c>
      <c r="K95" s="303"/>
      <c r="L95" s="302">
        <v>0.59961238507190473</v>
      </c>
      <c r="M95" s="302">
        <v>2.7316329076881585E-2</v>
      </c>
      <c r="N95" s="302">
        <v>5.1556215588713782E-2</v>
      </c>
      <c r="O95" s="302">
        <f t="shared" ref="O95:O102" si="58">SUM(L95:N95)</f>
        <v>0.67848492973750008</v>
      </c>
    </row>
    <row r="96" spans="1:15" s="236" customFormat="1" x14ac:dyDescent="0.3">
      <c r="A96" s="237" t="str">
        <f>name!E$6</f>
        <v>Associate professional occupations</v>
      </c>
      <c r="B96" s="302">
        <v>0.25876880924374757</v>
      </c>
      <c r="C96" s="302">
        <v>2.7834079044358778E-2</v>
      </c>
      <c r="D96" s="302">
        <v>0.14208574723977552</v>
      </c>
      <c r="E96" s="302">
        <f t="shared" si="56"/>
        <v>0.42868863552788183</v>
      </c>
      <c r="F96" s="303"/>
      <c r="G96" s="302">
        <v>0.56016712385510503</v>
      </c>
      <c r="H96" s="302">
        <v>4.8135387319772009E-2</v>
      </c>
      <c r="I96" s="302">
        <v>0.10690011843523588</v>
      </c>
      <c r="J96" s="302">
        <f t="shared" si="57"/>
        <v>0.71520262961011283</v>
      </c>
      <c r="K96" s="303"/>
      <c r="L96" s="302">
        <v>0.44971332098356326</v>
      </c>
      <c r="M96" s="302">
        <v>3.3943344825042257E-2</v>
      </c>
      <c r="N96" s="302">
        <v>8.9415349477822273E-2</v>
      </c>
      <c r="O96" s="302">
        <f t="shared" si="58"/>
        <v>0.57307201528642782</v>
      </c>
    </row>
    <row r="97" spans="1:15" s="236" customFormat="1" x14ac:dyDescent="0.3">
      <c r="A97" s="237" t="str">
        <f>name!E$7</f>
        <v>Administrative and secretarial occupations</v>
      </c>
      <c r="B97" s="302">
        <v>0.3334913930657375</v>
      </c>
      <c r="C97" s="302">
        <v>3.0223146400405142E-2</v>
      </c>
      <c r="D97" s="302">
        <v>2.0013446522431675E-2</v>
      </c>
      <c r="E97" s="302">
        <f t="shared" si="56"/>
        <v>0.38372798598857433</v>
      </c>
      <c r="F97" s="303"/>
      <c r="G97" s="302">
        <v>0.61777602119514385</v>
      </c>
      <c r="H97" s="302">
        <v>4.3887838196497053E-2</v>
      </c>
      <c r="I97" s="302">
        <v>1.5656413906151027E-2</v>
      </c>
      <c r="J97" s="302">
        <f t="shared" si="57"/>
        <v>0.67732027329779187</v>
      </c>
      <c r="K97" s="303"/>
      <c r="L97" s="302">
        <v>0.42861433718487957</v>
      </c>
      <c r="M97" s="302">
        <v>2.1835482837929399E-2</v>
      </c>
      <c r="N97" s="302">
        <v>1.1070056654783493E-2</v>
      </c>
      <c r="O97" s="302">
        <f t="shared" si="58"/>
        <v>0.46151987667759248</v>
      </c>
    </row>
    <row r="98" spans="1:15" s="236" customFormat="1" x14ac:dyDescent="0.3">
      <c r="A98" s="237" t="str">
        <f>name!E$8</f>
        <v>Skilled trades occupations</v>
      </c>
      <c r="B98" s="302">
        <v>0.43844342976671891</v>
      </c>
      <c r="C98" s="302">
        <v>2.7135236265406829E-2</v>
      </c>
      <c r="D98" s="302">
        <v>0.13893921137199458</v>
      </c>
      <c r="E98" s="302">
        <f t="shared" si="56"/>
        <v>0.60451787740412033</v>
      </c>
      <c r="F98" s="303"/>
      <c r="G98" s="302">
        <v>0.6995189689966439</v>
      </c>
      <c r="H98" s="302">
        <v>3.6728664948956435E-2</v>
      </c>
      <c r="I98" s="302">
        <v>0.10188802903972112</v>
      </c>
      <c r="J98" s="302">
        <f>SUM(G98:I98)</f>
        <v>0.83813566298532149</v>
      </c>
      <c r="K98" s="303"/>
      <c r="L98" s="302">
        <v>0.46443398041932477</v>
      </c>
      <c r="M98" s="302">
        <v>2.7011923894689566E-2</v>
      </c>
      <c r="N98" s="302">
        <v>6.4991606544380714E-2</v>
      </c>
      <c r="O98" s="302">
        <f t="shared" si="58"/>
        <v>0.5564375108583951</v>
      </c>
    </row>
    <row r="99" spans="1:15" s="236" customFormat="1" x14ac:dyDescent="0.3">
      <c r="A99" s="237" t="str">
        <f>name!E$9</f>
        <v>Caring, leisure and other service occupations</v>
      </c>
      <c r="B99" s="302">
        <v>3.0968793121939488E-2</v>
      </c>
      <c r="C99" s="302">
        <v>1.7947886153031596E-3</v>
      </c>
      <c r="D99" s="302">
        <v>8.4973452440368982E-3</v>
      </c>
      <c r="E99" s="302">
        <f t="shared" si="56"/>
        <v>4.1260926981279547E-2</v>
      </c>
      <c r="F99" s="303"/>
      <c r="G99" s="302">
        <v>4.8641685886065197E-2</v>
      </c>
      <c r="H99" s="302">
        <v>3.3073614085687413E-3</v>
      </c>
      <c r="I99" s="302">
        <v>7.7312974571164634E-3</v>
      </c>
      <c r="J99" s="302">
        <f t="shared" ref="J99:J102" si="59">SUM(G99:I99)</f>
        <v>5.9680344751750401E-2</v>
      </c>
      <c r="K99" s="303"/>
      <c r="L99" s="302">
        <v>3.6707372948490059E-2</v>
      </c>
      <c r="M99" s="302">
        <v>2.2760961013495624E-3</v>
      </c>
      <c r="N99" s="302">
        <v>7.6382702410535243E-3</v>
      </c>
      <c r="O99" s="302">
        <f t="shared" si="58"/>
        <v>4.6621739290893152E-2</v>
      </c>
    </row>
    <row r="100" spans="1:15" s="236" customFormat="1" x14ac:dyDescent="0.3">
      <c r="A100" s="237" t="str">
        <f>name!E$10</f>
        <v>Sales and customer service occupations</v>
      </c>
      <c r="B100" s="302">
        <v>0.13067513727673508</v>
      </c>
      <c r="C100" s="302">
        <v>3.2445698744659857E-2</v>
      </c>
      <c r="D100" s="302">
        <v>6.8226178357895809E-2</v>
      </c>
      <c r="E100" s="302">
        <f t="shared" si="56"/>
        <v>0.23134701437929073</v>
      </c>
      <c r="F100" s="303"/>
      <c r="G100" s="302">
        <v>0.23033464405063289</v>
      </c>
      <c r="H100" s="302">
        <v>7.0088954926466288E-2</v>
      </c>
      <c r="I100" s="302">
        <v>4.3162698353553026E-2</v>
      </c>
      <c r="J100" s="302">
        <f t="shared" si="59"/>
        <v>0.34358629733065221</v>
      </c>
      <c r="K100" s="303"/>
      <c r="L100" s="302">
        <v>0.18483826297294487</v>
      </c>
      <c r="M100" s="302">
        <v>5.1229507550314309E-2</v>
      </c>
      <c r="N100" s="302">
        <v>2.6436926299197902E-2</v>
      </c>
      <c r="O100" s="302">
        <f t="shared" si="58"/>
        <v>0.26250469682245708</v>
      </c>
    </row>
    <row r="101" spans="1:15" s="236" customFormat="1" x14ac:dyDescent="0.3">
      <c r="A101" s="237" t="str">
        <f>name!E$11</f>
        <v>Process, plant and machine operatives</v>
      </c>
      <c r="B101" s="302">
        <v>0.43624394212826273</v>
      </c>
      <c r="C101" s="302">
        <v>7.5869182548628081E-2</v>
      </c>
      <c r="D101" s="302">
        <v>0.11167337655297695</v>
      </c>
      <c r="E101" s="302">
        <f t="shared" si="56"/>
        <v>0.62378650122986778</v>
      </c>
      <c r="F101" s="303"/>
      <c r="G101" s="302">
        <v>0.62557458627716878</v>
      </c>
      <c r="H101" s="302">
        <v>0.12185708529684482</v>
      </c>
      <c r="I101" s="302">
        <v>8.4537522594608575E-2</v>
      </c>
      <c r="J101" s="302">
        <f t="shared" si="59"/>
        <v>0.83196919416862214</v>
      </c>
      <c r="K101" s="303"/>
      <c r="L101" s="302">
        <v>0.46801475081345517</v>
      </c>
      <c r="M101" s="302">
        <v>0.11561226373616539</v>
      </c>
      <c r="N101" s="302">
        <v>5.3818605552264136E-2</v>
      </c>
      <c r="O101" s="302">
        <f t="shared" si="58"/>
        <v>0.63744562010188466</v>
      </c>
    </row>
    <row r="102" spans="1:15" s="236" customFormat="1" x14ac:dyDescent="0.3">
      <c r="A102" s="237" t="str">
        <f>name!E$12</f>
        <v>Elementary occupations</v>
      </c>
      <c r="B102" s="302">
        <v>0.15051691503236575</v>
      </c>
      <c r="C102" s="302">
        <v>2.3873089284610672E-2</v>
      </c>
      <c r="D102" s="302">
        <v>5.7876332135058918E-2</v>
      </c>
      <c r="E102" s="302">
        <f t="shared" si="56"/>
        <v>0.23226633645203534</v>
      </c>
      <c r="F102" s="303"/>
      <c r="G102" s="302">
        <v>0.24340091244463838</v>
      </c>
      <c r="H102" s="302">
        <v>3.6662036334362325E-2</v>
      </c>
      <c r="I102" s="302">
        <v>2.101107328423106E-2</v>
      </c>
      <c r="J102" s="302">
        <f t="shared" si="59"/>
        <v>0.30107402206323181</v>
      </c>
      <c r="K102" s="303"/>
      <c r="L102" s="302">
        <v>0.14859512609420972</v>
      </c>
      <c r="M102" s="302">
        <v>1.7817709691538921E-2</v>
      </c>
      <c r="N102" s="302">
        <v>1.6956450668732751E-2</v>
      </c>
      <c r="O102" s="302">
        <f t="shared" si="58"/>
        <v>0.18336928645448139</v>
      </c>
    </row>
    <row r="103" spans="1:15" s="236" customFormat="1" x14ac:dyDescent="0.3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3">
      <c r="A104" s="244" t="s">
        <v>32</v>
      </c>
      <c r="B104" s="311">
        <f>SUM(B94:B102)</f>
        <v>2.279999999991289</v>
      </c>
      <c r="C104" s="311">
        <f t="shared" ref="C104:E104" si="60">SUM(C94:C102)</f>
        <v>0.25000000000486383</v>
      </c>
      <c r="D104" s="311">
        <f t="shared" si="60"/>
        <v>0.82000000001154316</v>
      </c>
      <c r="E104" s="311">
        <f t="shared" si="60"/>
        <v>3.3500000000076953</v>
      </c>
      <c r="F104" s="311"/>
      <c r="G104" s="311">
        <f t="shared" ref="G104:J104" si="61">SUM(G94:G102)</f>
        <v>4.2029999999929224</v>
      </c>
      <c r="H104" s="311">
        <f t="shared" si="61"/>
        <v>0.43800000000036882</v>
      </c>
      <c r="I104" s="311">
        <f t="shared" si="61"/>
        <v>0.65599999999680603</v>
      </c>
      <c r="J104" s="311">
        <f t="shared" si="61"/>
        <v>5.2969999999900974</v>
      </c>
      <c r="K104" s="311"/>
      <c r="L104" s="311">
        <f t="shared" ref="L104:O104" si="62">SUM(L94:L102)</f>
        <v>3.2330000000232171</v>
      </c>
      <c r="M104" s="311">
        <f t="shared" si="62"/>
        <v>0.32800000000006918</v>
      </c>
      <c r="N104" s="311">
        <f t="shared" si="62"/>
        <v>0.4850000000037043</v>
      </c>
      <c r="O104" s="311">
        <f t="shared" si="62"/>
        <v>4.0460000000269902</v>
      </c>
    </row>
    <row r="105" spans="1:15" s="236" customFormat="1" x14ac:dyDescent="0.3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3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35</v>
      </c>
    </row>
    <row r="107" spans="1:15" s="236" customFormat="1" x14ac:dyDescent="0.3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3">
      <c r="A108" s="241" t="str">
        <f>name!A9</f>
        <v>Wearing apparel; Leather, etc</v>
      </c>
      <c r="B108" s="375">
        <f>$B$6</f>
        <v>2015</v>
      </c>
      <c r="C108" s="375"/>
      <c r="D108" s="375"/>
      <c r="E108" s="375"/>
      <c r="F108" s="263"/>
      <c r="G108" s="375">
        <f>$G$6</f>
        <v>2020</v>
      </c>
      <c r="H108" s="375"/>
      <c r="I108" s="375"/>
      <c r="J108" s="375"/>
      <c r="K108" s="263"/>
      <c r="L108" s="375">
        <f>$L$6</f>
        <v>2035</v>
      </c>
      <c r="M108" s="375"/>
      <c r="N108" s="375"/>
      <c r="O108" s="375"/>
    </row>
    <row r="109" spans="1:15" s="236" customFormat="1" x14ac:dyDescent="0.3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3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3">
      <c r="A111" s="237" t="str">
        <f>name!E$4</f>
        <v>Managers, directors and senior officials</v>
      </c>
      <c r="B111" s="302">
        <v>9.329907578986664E-2</v>
      </c>
      <c r="C111" s="302">
        <v>1.6075907134350656E-2</v>
      </c>
      <c r="D111" s="302">
        <v>9.569623912304738E-2</v>
      </c>
      <c r="E111" s="302">
        <f>SUM(B111:D111)</f>
        <v>0.20507122204726469</v>
      </c>
      <c r="F111" s="303"/>
      <c r="G111" s="302">
        <v>0.20909300313624324</v>
      </c>
      <c r="H111" s="302">
        <v>3.147571117763711E-2</v>
      </c>
      <c r="I111" s="302">
        <v>0.17240190724863574</v>
      </c>
      <c r="J111" s="302">
        <f>SUM(G111:I111)</f>
        <v>0.41297062156251607</v>
      </c>
      <c r="K111" s="303"/>
      <c r="L111" s="302">
        <v>0.16165142161146337</v>
      </c>
      <c r="M111" s="302">
        <v>2.4031972669800533E-2</v>
      </c>
      <c r="N111" s="302">
        <v>0.1425007194138587</v>
      </c>
      <c r="O111" s="302">
        <f>SUM(L111:N111)</f>
        <v>0.32818411369512257</v>
      </c>
    </row>
    <row r="112" spans="1:15" s="236" customFormat="1" x14ac:dyDescent="0.3">
      <c r="A112" s="237" t="str">
        <f>name!E$5</f>
        <v>Professional occupations</v>
      </c>
      <c r="B112" s="302">
        <v>0.1421507920354578</v>
      </c>
      <c r="C112" s="302">
        <v>1.3938981849967563E-2</v>
      </c>
      <c r="D112" s="302">
        <v>3.542180860386112E-2</v>
      </c>
      <c r="E112" s="302">
        <f t="shared" ref="E112:E119" si="63">SUM(B112:D112)</f>
        <v>0.19151158248928649</v>
      </c>
      <c r="F112" s="303"/>
      <c r="G112" s="302">
        <v>0.3623711685587237</v>
      </c>
      <c r="H112" s="302">
        <v>2.4578394192205557E-2</v>
      </c>
      <c r="I112" s="302">
        <v>4.5973852622641316E-2</v>
      </c>
      <c r="J112" s="302">
        <f t="shared" ref="J112:J114" si="64">SUM(G112:I112)</f>
        <v>0.43292341537357054</v>
      </c>
      <c r="K112" s="303"/>
      <c r="L112" s="302">
        <v>0.33095555444528124</v>
      </c>
      <c r="M112" s="302">
        <v>2.0182041707635958E-2</v>
      </c>
      <c r="N112" s="302">
        <v>3.1734634494517085E-2</v>
      </c>
      <c r="O112" s="302">
        <f t="shared" ref="O112:O119" si="65">SUM(L112:N112)</f>
        <v>0.38287223064743425</v>
      </c>
    </row>
    <row r="113" spans="1:15" s="236" customFormat="1" x14ac:dyDescent="0.3">
      <c r="A113" s="237" t="str">
        <f>name!E$6</f>
        <v>Associate professional occupations</v>
      </c>
      <c r="B113" s="302">
        <v>0.10875124102996656</v>
      </c>
      <c r="C113" s="302">
        <v>3.8009674500756256E-2</v>
      </c>
      <c r="D113" s="302">
        <v>7.465881495676531E-2</v>
      </c>
      <c r="E113" s="302">
        <f t="shared" si="63"/>
        <v>0.22141973048748814</v>
      </c>
      <c r="F113" s="303"/>
      <c r="G113" s="302">
        <v>0.25085991470641578</v>
      </c>
      <c r="H113" s="302">
        <v>4.9497136671540563E-2</v>
      </c>
      <c r="I113" s="302">
        <v>6.2361566517444546E-2</v>
      </c>
      <c r="J113" s="302">
        <f t="shared" si="64"/>
        <v>0.36271861789540089</v>
      </c>
      <c r="K113" s="303"/>
      <c r="L113" s="302">
        <v>0.19803855585821606</v>
      </c>
      <c r="M113" s="302">
        <v>3.1998809238372415E-2</v>
      </c>
      <c r="N113" s="302">
        <v>4.5202721147291583E-2</v>
      </c>
      <c r="O113" s="302">
        <f t="shared" si="65"/>
        <v>0.27524008624388008</v>
      </c>
    </row>
    <row r="114" spans="1:15" s="236" customFormat="1" x14ac:dyDescent="0.3">
      <c r="A114" s="237" t="str">
        <f>name!E$7</f>
        <v>Administrative and secretarial occupations</v>
      </c>
      <c r="B114" s="302">
        <v>0.12976166334751082</v>
      </c>
      <c r="C114" s="302">
        <v>5.5711565607817558E-2</v>
      </c>
      <c r="D114" s="302">
        <v>2.4848477219416059E-2</v>
      </c>
      <c r="E114" s="302">
        <f t="shared" si="63"/>
        <v>0.21032170617474444</v>
      </c>
      <c r="F114" s="303"/>
      <c r="G114" s="302">
        <v>0.24719448225697802</v>
      </c>
      <c r="H114" s="302">
        <v>3.7842195021874206E-2</v>
      </c>
      <c r="I114" s="302">
        <v>2.5382757106255757E-2</v>
      </c>
      <c r="J114" s="302">
        <f t="shared" si="64"/>
        <v>0.310419434385108</v>
      </c>
      <c r="K114" s="303"/>
      <c r="L114" s="302">
        <v>0.18263556589617025</v>
      </c>
      <c r="M114" s="302">
        <v>2.2686983639376334E-2</v>
      </c>
      <c r="N114" s="302">
        <v>1.7738939100444238E-2</v>
      </c>
      <c r="O114" s="302">
        <f t="shared" si="65"/>
        <v>0.22306148863599082</v>
      </c>
    </row>
    <row r="115" spans="1:15" s="236" customFormat="1" x14ac:dyDescent="0.3">
      <c r="A115" s="237" t="str">
        <f>name!E$8</f>
        <v>Skilled trades occupations</v>
      </c>
      <c r="B115" s="302">
        <v>0.19542079003434754</v>
      </c>
      <c r="C115" s="302">
        <v>2.1248514005957595E-2</v>
      </c>
      <c r="D115" s="302">
        <v>0.10960319649089796</v>
      </c>
      <c r="E115" s="302">
        <f t="shared" si="63"/>
        <v>0.3262725005312031</v>
      </c>
      <c r="F115" s="303"/>
      <c r="G115" s="302">
        <v>0.31644067392167879</v>
      </c>
      <c r="H115" s="302">
        <v>3.2553090516714525E-2</v>
      </c>
      <c r="I115" s="302">
        <v>0.11563132281411327</v>
      </c>
      <c r="J115" s="302">
        <f>SUM(G115:I115)</f>
        <v>0.46462508725250656</v>
      </c>
      <c r="K115" s="303"/>
      <c r="L115" s="302">
        <v>0.24701888642567973</v>
      </c>
      <c r="M115" s="302">
        <v>3.3407944712345865E-2</v>
      </c>
      <c r="N115" s="302">
        <v>8.3264230061121908E-2</v>
      </c>
      <c r="O115" s="302">
        <f t="shared" si="65"/>
        <v>0.36369106119914751</v>
      </c>
    </row>
    <row r="116" spans="1:15" s="236" customFormat="1" x14ac:dyDescent="0.3">
      <c r="A116" s="237" t="str">
        <f>name!E$9</f>
        <v>Caring, leisure and other service occupations</v>
      </c>
      <c r="B116" s="302">
        <v>3.9032474310630443E-2</v>
      </c>
      <c r="C116" s="302">
        <v>5.9953736477114201E-3</v>
      </c>
      <c r="D116" s="302">
        <v>8.4000240773289027E-3</v>
      </c>
      <c r="E116" s="302">
        <f t="shared" si="63"/>
        <v>5.3427872035670759E-2</v>
      </c>
      <c r="F116" s="303"/>
      <c r="G116" s="302">
        <v>7.5800198118487067E-2</v>
      </c>
      <c r="H116" s="302">
        <v>8.1837904283273318E-3</v>
      </c>
      <c r="I116" s="302">
        <v>7.9043082899513499E-3</v>
      </c>
      <c r="J116" s="302">
        <f t="shared" ref="J116:J119" si="66">SUM(G116:I116)</f>
        <v>9.1888296836765748E-2</v>
      </c>
      <c r="K116" s="303"/>
      <c r="L116" s="302">
        <v>6.563391106628301E-2</v>
      </c>
      <c r="M116" s="302">
        <v>6.4607435081556258E-3</v>
      </c>
      <c r="N116" s="302">
        <v>8.0872758090882457E-3</v>
      </c>
      <c r="O116" s="302">
        <f t="shared" si="65"/>
        <v>8.0181930383526875E-2</v>
      </c>
    </row>
    <row r="117" spans="1:15" s="236" customFormat="1" x14ac:dyDescent="0.3">
      <c r="A117" s="237" t="str">
        <f>name!E$10</f>
        <v>Sales and customer service occupations</v>
      </c>
      <c r="B117" s="302">
        <v>5.8094273003036934E-2</v>
      </c>
      <c r="C117" s="302">
        <v>4.93617576190504E-2</v>
      </c>
      <c r="D117" s="302">
        <v>2.1740490926681805E-2</v>
      </c>
      <c r="E117" s="302">
        <f t="shared" si="63"/>
        <v>0.12919652154876915</v>
      </c>
      <c r="F117" s="303"/>
      <c r="G117" s="302">
        <v>0.11053168155760781</v>
      </c>
      <c r="H117" s="302">
        <v>6.3261784078365857E-2</v>
      </c>
      <c r="I117" s="302">
        <v>1.6546715494974457E-2</v>
      </c>
      <c r="J117" s="302">
        <f t="shared" si="66"/>
        <v>0.19034018113094814</v>
      </c>
      <c r="K117" s="303"/>
      <c r="L117" s="302">
        <v>9.2800488213262283E-2</v>
      </c>
      <c r="M117" s="302">
        <v>4.2646201132494697E-2</v>
      </c>
      <c r="N117" s="302">
        <v>1.194143463718433E-2</v>
      </c>
      <c r="O117" s="302">
        <f t="shared" si="65"/>
        <v>0.14738812398294132</v>
      </c>
    </row>
    <row r="118" spans="1:15" s="236" customFormat="1" x14ac:dyDescent="0.3">
      <c r="A118" s="237" t="str">
        <f>name!E$11</f>
        <v>Process, plant and machine operatives</v>
      </c>
      <c r="B118" s="302">
        <v>0.17821472122114893</v>
      </c>
      <c r="C118" s="302">
        <v>4.537842226721623E-2</v>
      </c>
      <c r="D118" s="302">
        <v>4.0088165756509746E-2</v>
      </c>
      <c r="E118" s="302">
        <f t="shared" si="63"/>
        <v>0.26368130924487487</v>
      </c>
      <c r="F118" s="303"/>
      <c r="G118" s="302">
        <v>0.26301850963494089</v>
      </c>
      <c r="H118" s="302">
        <v>7.0795422251260898E-2</v>
      </c>
      <c r="I118" s="302">
        <v>4.3033809645471766E-2</v>
      </c>
      <c r="J118" s="302">
        <f t="shared" si="66"/>
        <v>0.37684774153167355</v>
      </c>
      <c r="K118" s="303"/>
      <c r="L118" s="302">
        <v>0.19743318312522914</v>
      </c>
      <c r="M118" s="302">
        <v>6.5435676946126564E-2</v>
      </c>
      <c r="N118" s="302">
        <v>3.9095581854921305E-2</v>
      </c>
      <c r="O118" s="302">
        <f t="shared" si="65"/>
        <v>0.30196444192627697</v>
      </c>
    </row>
    <row r="119" spans="1:15" s="236" customFormat="1" x14ac:dyDescent="0.3">
      <c r="A119" s="237" t="str">
        <f>name!E$12</f>
        <v>Elementary occupations</v>
      </c>
      <c r="B119" s="302">
        <v>0.20927496922710559</v>
      </c>
      <c r="C119" s="302">
        <v>2.7279803372100397E-2</v>
      </c>
      <c r="D119" s="302">
        <v>5.2542782851845077E-2</v>
      </c>
      <c r="E119" s="302">
        <f t="shared" si="63"/>
        <v>0.28909755545105109</v>
      </c>
      <c r="F119" s="303"/>
      <c r="G119" s="302">
        <v>0.34169036811484349</v>
      </c>
      <c r="H119" s="302">
        <v>3.3812475662164783E-2</v>
      </c>
      <c r="I119" s="302">
        <v>3.4763760258923297E-2</v>
      </c>
      <c r="J119" s="302">
        <f t="shared" si="66"/>
        <v>0.41026660403593157</v>
      </c>
      <c r="K119" s="303"/>
      <c r="L119" s="302">
        <v>0.19983243337640016</v>
      </c>
      <c r="M119" s="302">
        <v>1.8149626446283255E-2</v>
      </c>
      <c r="N119" s="302">
        <v>3.0434463483406112E-2</v>
      </c>
      <c r="O119" s="302">
        <f t="shared" si="65"/>
        <v>0.24841652330608954</v>
      </c>
    </row>
    <row r="120" spans="1:15" s="236" customFormat="1" x14ac:dyDescent="0.3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3">
      <c r="A121" s="244" t="s">
        <v>32</v>
      </c>
      <c r="B121" s="311">
        <f>SUM(B111:B119)</f>
        <v>1.1539999999990711</v>
      </c>
      <c r="C121" s="311">
        <f t="shared" ref="C121:E121" si="67">SUM(C111:C119)</f>
        <v>0.27300000000492808</v>
      </c>
      <c r="D121" s="311">
        <f t="shared" si="67"/>
        <v>0.46300000000635333</v>
      </c>
      <c r="E121" s="311">
        <f t="shared" si="67"/>
        <v>1.8900000000103525</v>
      </c>
      <c r="F121" s="311"/>
      <c r="G121" s="311">
        <f t="shared" ref="G121:J121" si="68">SUM(G111:G119)</f>
        <v>2.1770000000059184</v>
      </c>
      <c r="H121" s="311">
        <f t="shared" si="68"/>
        <v>0.3520000000000908</v>
      </c>
      <c r="I121" s="311">
        <f t="shared" si="68"/>
        <v>0.52399999999841151</v>
      </c>
      <c r="J121" s="311">
        <f t="shared" si="68"/>
        <v>3.0530000000044208</v>
      </c>
      <c r="K121" s="311"/>
      <c r="L121" s="311">
        <f t="shared" ref="L121:O121" si="69">SUM(L111:L119)</f>
        <v>1.6760000000179851</v>
      </c>
      <c r="M121" s="311">
        <f t="shared" si="69"/>
        <v>0.26500000000059126</v>
      </c>
      <c r="N121" s="311">
        <f t="shared" si="69"/>
        <v>0.41000000000183351</v>
      </c>
      <c r="O121" s="311">
        <f t="shared" si="69"/>
        <v>2.3510000000204103</v>
      </c>
    </row>
    <row r="122" spans="1:15" s="236" customFormat="1" x14ac:dyDescent="0.3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3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35</v>
      </c>
    </row>
    <row r="124" spans="1:15" s="236" customFormat="1" x14ac:dyDescent="0.3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3">
      <c r="A125" s="241" t="str">
        <f>name!A10</f>
        <v xml:space="preserve">Wood and cork </v>
      </c>
      <c r="B125" s="375">
        <f>$B$6</f>
        <v>2015</v>
      </c>
      <c r="C125" s="375"/>
      <c r="D125" s="375"/>
      <c r="E125" s="375"/>
      <c r="F125" s="263"/>
      <c r="G125" s="375">
        <f>$G$6</f>
        <v>2020</v>
      </c>
      <c r="H125" s="375"/>
      <c r="I125" s="375"/>
      <c r="J125" s="375"/>
      <c r="K125" s="263"/>
      <c r="L125" s="375">
        <f>$L$6</f>
        <v>2035</v>
      </c>
      <c r="M125" s="375"/>
      <c r="N125" s="375"/>
      <c r="O125" s="375"/>
    </row>
    <row r="126" spans="1:15" s="236" customFormat="1" x14ac:dyDescent="0.3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3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3">
      <c r="A128" s="237" t="str">
        <f>name!E$4</f>
        <v>Managers, directors and senior officials</v>
      </c>
      <c r="B128" s="302">
        <v>0.57558250199600902</v>
      </c>
      <c r="C128" s="302">
        <v>4.6183622566921392E-2</v>
      </c>
      <c r="D128" s="302">
        <v>0.15095999976919844</v>
      </c>
      <c r="E128" s="302">
        <f>SUM(B128:D128)</f>
        <v>0.77272612433212884</v>
      </c>
      <c r="F128" s="303"/>
      <c r="G128" s="302">
        <v>1.1084894182556098</v>
      </c>
      <c r="H128" s="302">
        <v>0.11279244079905747</v>
      </c>
      <c r="I128" s="302">
        <v>0.41583136127822168</v>
      </c>
      <c r="J128" s="302">
        <f>SUM(G128:I128)</f>
        <v>1.6371132203328889</v>
      </c>
      <c r="K128" s="303"/>
      <c r="L128" s="302">
        <v>0.97556948271050914</v>
      </c>
      <c r="M128" s="302">
        <v>0.11112620230997659</v>
      </c>
      <c r="N128" s="302">
        <v>0.34849219833398842</v>
      </c>
      <c r="O128" s="302">
        <f>SUM(L128:N128)</f>
        <v>1.435187883354474</v>
      </c>
    </row>
    <row r="129" spans="1:15" s="236" customFormat="1" x14ac:dyDescent="0.3">
      <c r="A129" s="237" t="str">
        <f>name!E$5</f>
        <v>Professional occupations</v>
      </c>
      <c r="B129" s="302">
        <v>0.44609935255501021</v>
      </c>
      <c r="C129" s="302">
        <v>3.4784433482732365E-2</v>
      </c>
      <c r="D129" s="302">
        <v>4.9131379432680956E-2</v>
      </c>
      <c r="E129" s="302">
        <f t="shared" ref="E129:E136" si="70">SUM(B129:D129)</f>
        <v>0.53001516547042349</v>
      </c>
      <c r="F129" s="303"/>
      <c r="G129" s="302">
        <v>0.97654202828495984</v>
      </c>
      <c r="H129" s="302">
        <v>7.1648500500468115E-2</v>
      </c>
      <c r="I129" s="302">
        <v>0.11465284109998676</v>
      </c>
      <c r="J129" s="302">
        <f t="shared" ref="J129:J131" si="71">SUM(G129:I129)</f>
        <v>1.1628433698854146</v>
      </c>
      <c r="K129" s="303"/>
      <c r="L129" s="302">
        <v>1.0380949651770111</v>
      </c>
      <c r="M129" s="302">
        <v>6.6388240038466967E-2</v>
      </c>
      <c r="N129" s="302">
        <v>8.5588894378181277E-2</v>
      </c>
      <c r="O129" s="302">
        <f t="shared" ref="O129:O136" si="72">SUM(L129:N129)</f>
        <v>1.1900720995936593</v>
      </c>
    </row>
    <row r="130" spans="1:15" s="236" customFormat="1" x14ac:dyDescent="0.3">
      <c r="A130" s="237" t="str">
        <f>name!E$6</f>
        <v>Associate professional occupations</v>
      </c>
      <c r="B130" s="302">
        <v>0.62779850295408646</v>
      </c>
      <c r="C130" s="302">
        <v>4.7374160363140856E-2</v>
      </c>
      <c r="D130" s="302">
        <v>4.0208134083110324E-2</v>
      </c>
      <c r="E130" s="302">
        <f t="shared" si="70"/>
        <v>0.71538079740033766</v>
      </c>
      <c r="F130" s="303"/>
      <c r="G130" s="302">
        <v>1.2557329211349142</v>
      </c>
      <c r="H130" s="302">
        <v>0.10157058565512242</v>
      </c>
      <c r="I130" s="302">
        <v>9.2856418411588412E-2</v>
      </c>
      <c r="J130" s="302">
        <f t="shared" si="71"/>
        <v>1.4501599252016248</v>
      </c>
      <c r="K130" s="303"/>
      <c r="L130" s="302">
        <v>1.0654167289548007</v>
      </c>
      <c r="M130" s="302">
        <v>7.5809825835438938E-2</v>
      </c>
      <c r="N130" s="302">
        <v>7.0516974878193792E-2</v>
      </c>
      <c r="O130" s="302">
        <f t="shared" si="72"/>
        <v>1.2117435296684334</v>
      </c>
    </row>
    <row r="131" spans="1:15" s="236" customFormat="1" x14ac:dyDescent="0.3">
      <c r="A131" s="237" t="str">
        <f>name!E$7</f>
        <v>Administrative and secretarial occupations</v>
      </c>
      <c r="B131" s="302">
        <v>0.25327991345102802</v>
      </c>
      <c r="C131" s="302">
        <v>0.37747915319736974</v>
      </c>
      <c r="D131" s="302">
        <v>1.986702960354433E-2</v>
      </c>
      <c r="E131" s="302">
        <f t="shared" si="70"/>
        <v>0.65062609625194212</v>
      </c>
      <c r="F131" s="303"/>
      <c r="G131" s="302">
        <v>0.43553926543899463</v>
      </c>
      <c r="H131" s="302">
        <v>0.27970091551270526</v>
      </c>
      <c r="I131" s="302">
        <v>2.6547503982389566E-2</v>
      </c>
      <c r="J131" s="302">
        <f t="shared" si="71"/>
        <v>0.74178768493408953</v>
      </c>
      <c r="K131" s="303"/>
      <c r="L131" s="302">
        <v>0.32116221239148707</v>
      </c>
      <c r="M131" s="302">
        <v>0.19824058478374534</v>
      </c>
      <c r="N131" s="302">
        <v>2.6997282581248127E-2</v>
      </c>
      <c r="O131" s="302">
        <f t="shared" si="72"/>
        <v>0.54640007975648053</v>
      </c>
    </row>
    <row r="132" spans="1:15" s="236" customFormat="1" x14ac:dyDescent="0.3">
      <c r="A132" s="237" t="str">
        <f>name!E$8</f>
        <v>Skilled trades occupations</v>
      </c>
      <c r="B132" s="302">
        <v>1.5834782234219511</v>
      </c>
      <c r="C132" s="302">
        <v>0.12169263860272984</v>
      </c>
      <c r="D132" s="302">
        <v>0.66364846036899416</v>
      </c>
      <c r="E132" s="302">
        <f t="shared" si="70"/>
        <v>2.3688193223936751</v>
      </c>
      <c r="F132" s="303"/>
      <c r="G132" s="302">
        <v>2.1857002094768596</v>
      </c>
      <c r="H132" s="302">
        <v>0.20340673669169451</v>
      </c>
      <c r="I132" s="302">
        <v>1.131269470915554</v>
      </c>
      <c r="J132" s="302">
        <f>SUM(G132:I132)</f>
        <v>3.5203764170841083</v>
      </c>
      <c r="K132" s="303"/>
      <c r="L132" s="302">
        <v>1.6491788166471151</v>
      </c>
      <c r="M132" s="302">
        <v>0.24385260603896727</v>
      </c>
      <c r="N132" s="302">
        <v>0.85101259469479873</v>
      </c>
      <c r="O132" s="302">
        <f t="shared" si="72"/>
        <v>2.7440440173808809</v>
      </c>
    </row>
    <row r="133" spans="1:15" s="236" customFormat="1" x14ac:dyDescent="0.3">
      <c r="A133" s="237" t="str">
        <f>name!E$9</f>
        <v>Caring, leisure and other service occupations</v>
      </c>
      <c r="B133" s="302">
        <v>5.5047385441608768E-2</v>
      </c>
      <c r="C133" s="302">
        <v>1.8468694445248401E-2</v>
      </c>
      <c r="D133" s="302">
        <v>6.0986458697666369E-3</v>
      </c>
      <c r="E133" s="302">
        <f t="shared" si="70"/>
        <v>7.9614725756623803E-2</v>
      </c>
      <c r="F133" s="303"/>
      <c r="G133" s="302">
        <v>9.826080063355562E-2</v>
      </c>
      <c r="H133" s="302">
        <v>2.3810772446478702E-2</v>
      </c>
      <c r="I133" s="302">
        <v>8.2563561506407198E-3</v>
      </c>
      <c r="J133" s="302">
        <f t="shared" ref="J133:J136" si="73">SUM(G133:I133)</f>
        <v>0.13032792923067504</v>
      </c>
      <c r="K133" s="303"/>
      <c r="L133" s="302">
        <v>0.11678743395762008</v>
      </c>
      <c r="M133" s="302">
        <v>1.8523910637415892E-2</v>
      </c>
      <c r="N133" s="302">
        <v>8.3608625471250572E-3</v>
      </c>
      <c r="O133" s="302">
        <f t="shared" si="72"/>
        <v>0.14367220714216103</v>
      </c>
    </row>
    <row r="134" spans="1:15" s="236" customFormat="1" x14ac:dyDescent="0.3">
      <c r="A134" s="237" t="str">
        <f>name!E$10</f>
        <v>Sales and customer service occupations</v>
      </c>
      <c r="B134" s="302">
        <v>0.13868380255047227</v>
      </c>
      <c r="C134" s="302">
        <v>6.3157795048023602E-2</v>
      </c>
      <c r="D134" s="302">
        <v>1.9901172350834547E-2</v>
      </c>
      <c r="E134" s="302">
        <f t="shared" si="70"/>
        <v>0.22174276994933043</v>
      </c>
      <c r="F134" s="303"/>
      <c r="G134" s="302">
        <v>0.21521240679714373</v>
      </c>
      <c r="H134" s="302">
        <v>8.9308783906230468E-2</v>
      </c>
      <c r="I134" s="302">
        <v>3.2431086421349585E-2</v>
      </c>
      <c r="J134" s="302">
        <f t="shared" si="73"/>
        <v>0.33695227712472375</v>
      </c>
      <c r="K134" s="303"/>
      <c r="L134" s="302">
        <v>0.19621019644136414</v>
      </c>
      <c r="M134" s="302">
        <v>8.7039418736869781E-2</v>
      </c>
      <c r="N134" s="302">
        <v>2.3453232637657796E-2</v>
      </c>
      <c r="O134" s="302">
        <f t="shared" si="72"/>
        <v>0.30670284781589174</v>
      </c>
    </row>
    <row r="135" spans="1:15" s="236" customFormat="1" x14ac:dyDescent="0.3">
      <c r="A135" s="237" t="str">
        <f>name!E$11</f>
        <v>Process, plant and machine operatives</v>
      </c>
      <c r="B135" s="302">
        <v>1.3574824710233975</v>
      </c>
      <c r="C135" s="302">
        <v>8.9317106632224016E-2</v>
      </c>
      <c r="D135" s="302">
        <v>7.8142706757189137E-2</v>
      </c>
      <c r="E135" s="302">
        <f t="shared" si="70"/>
        <v>1.5249422844128107</v>
      </c>
      <c r="F135" s="303"/>
      <c r="G135" s="302">
        <v>1.9210293067833546</v>
      </c>
      <c r="H135" s="302">
        <v>0.23666122779358817</v>
      </c>
      <c r="I135" s="302">
        <v>0.19053473317346373</v>
      </c>
      <c r="J135" s="302">
        <f t="shared" si="73"/>
        <v>2.3482252677504065</v>
      </c>
      <c r="K135" s="303"/>
      <c r="L135" s="302">
        <v>1.7942931580352921</v>
      </c>
      <c r="M135" s="302">
        <v>0.25728613505958353</v>
      </c>
      <c r="N135" s="302">
        <v>0.18243637434555421</v>
      </c>
      <c r="O135" s="302">
        <f t="shared" si="72"/>
        <v>2.2340156674404299</v>
      </c>
    </row>
    <row r="136" spans="1:15" s="236" customFormat="1" x14ac:dyDescent="0.3">
      <c r="A136" s="237" t="str">
        <f>name!E$12</f>
        <v>Elementary occupations</v>
      </c>
      <c r="B136" s="302">
        <v>0.41954784659746724</v>
      </c>
      <c r="C136" s="302">
        <v>0.14454239567836488</v>
      </c>
      <c r="D136" s="302">
        <v>4.8042471744380442E-2</v>
      </c>
      <c r="E136" s="302">
        <f t="shared" si="70"/>
        <v>0.61213271402021263</v>
      </c>
      <c r="F136" s="303"/>
      <c r="G136" s="302">
        <v>0.57849364324089469</v>
      </c>
      <c r="H136" s="302">
        <v>0.15910003669276937</v>
      </c>
      <c r="I136" s="302">
        <v>5.9620228539078515E-2</v>
      </c>
      <c r="J136" s="302">
        <f t="shared" si="73"/>
        <v>0.79721390847274265</v>
      </c>
      <c r="K136" s="303"/>
      <c r="L136" s="302">
        <v>0.35628700578775274</v>
      </c>
      <c r="M136" s="302">
        <v>0.10973307656120265</v>
      </c>
      <c r="N136" s="302">
        <v>4.0141585558701377E-2</v>
      </c>
      <c r="O136" s="302">
        <f t="shared" si="72"/>
        <v>0.50616166790765682</v>
      </c>
    </row>
    <row r="137" spans="1:15" s="236" customFormat="1" x14ac:dyDescent="0.3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3">
      <c r="A138" s="244" t="s">
        <v>32</v>
      </c>
      <c r="B138" s="311">
        <f>SUM(B128:B136)</f>
        <v>5.456999999991031</v>
      </c>
      <c r="C138" s="311">
        <f t="shared" ref="C138:E138" si="74">SUM(C128:C136)</f>
        <v>0.9430000000167551</v>
      </c>
      <c r="D138" s="311">
        <f t="shared" si="74"/>
        <v>1.0759999999796988</v>
      </c>
      <c r="E138" s="311">
        <f t="shared" si="74"/>
        <v>7.4759999999874855</v>
      </c>
      <c r="F138" s="311"/>
      <c r="G138" s="311">
        <f t="shared" ref="G138:J138" si="75">SUM(G128:G136)</f>
        <v>8.7750000000462869</v>
      </c>
      <c r="H138" s="311">
        <f t="shared" si="75"/>
        <v>1.2779999999981144</v>
      </c>
      <c r="I138" s="311">
        <f t="shared" si="75"/>
        <v>2.0719999999722729</v>
      </c>
      <c r="J138" s="311">
        <f t="shared" si="75"/>
        <v>12.125000000016675</v>
      </c>
      <c r="K138" s="311"/>
      <c r="L138" s="311">
        <f t="shared" ref="L138:O138" si="76">SUM(L128:L136)</f>
        <v>7.5130000001029522</v>
      </c>
      <c r="M138" s="311">
        <f t="shared" si="76"/>
        <v>1.1680000000016668</v>
      </c>
      <c r="N138" s="311">
        <f t="shared" si="76"/>
        <v>1.6369999999554485</v>
      </c>
      <c r="O138" s="311">
        <f t="shared" si="76"/>
        <v>10.318000000060067</v>
      </c>
    </row>
    <row r="139" spans="1:15" s="236" customFormat="1" x14ac:dyDescent="0.3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3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35</v>
      </c>
    </row>
    <row r="141" spans="1:15" s="236" customFormat="1" x14ac:dyDescent="0.3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3">
      <c r="A142" s="241" t="str">
        <f>name!A11</f>
        <v>Paper, etc</v>
      </c>
      <c r="B142" s="375">
        <f>$B$6</f>
        <v>2015</v>
      </c>
      <c r="C142" s="375"/>
      <c r="D142" s="375"/>
      <c r="E142" s="375"/>
      <c r="F142" s="263"/>
      <c r="G142" s="375">
        <f>$G$6</f>
        <v>2020</v>
      </c>
      <c r="H142" s="375"/>
      <c r="I142" s="375"/>
      <c r="J142" s="375"/>
      <c r="K142" s="263"/>
      <c r="L142" s="375">
        <f>$L$6</f>
        <v>2035</v>
      </c>
      <c r="M142" s="375"/>
      <c r="N142" s="375"/>
      <c r="O142" s="375"/>
    </row>
    <row r="143" spans="1:15" s="236" customFormat="1" x14ac:dyDescent="0.3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3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3">
      <c r="A145" s="237" t="str">
        <f>name!E$4</f>
        <v>Managers, directors and senior officials</v>
      </c>
      <c r="B145" s="302">
        <v>0.62653115627402745</v>
      </c>
      <c r="C145" s="302">
        <v>2.2518822280916222E-2</v>
      </c>
      <c r="D145" s="302">
        <v>0.22854240114533009</v>
      </c>
      <c r="E145" s="302">
        <f>SUM(B145:D145)</f>
        <v>0.87759237970027371</v>
      </c>
      <c r="F145" s="303"/>
      <c r="G145" s="302">
        <v>0.67643084693743893</v>
      </c>
      <c r="H145" s="302">
        <v>5.9822731772220715E-2</v>
      </c>
      <c r="I145" s="302">
        <v>2.6202910027431265E-2</v>
      </c>
      <c r="J145" s="302">
        <f>SUM(G145:I145)</f>
        <v>0.76245648873709093</v>
      </c>
      <c r="K145" s="303"/>
      <c r="L145" s="302">
        <v>0.66951196793123313</v>
      </c>
      <c r="M145" s="302">
        <v>6.6197764492395422E-2</v>
      </c>
      <c r="N145" s="302">
        <v>3.1395358266731128E-2</v>
      </c>
      <c r="O145" s="302">
        <f>SUM(L145:N145)</f>
        <v>0.7671050906903597</v>
      </c>
    </row>
    <row r="146" spans="1:15" s="236" customFormat="1" x14ac:dyDescent="0.3">
      <c r="A146" s="237" t="str">
        <f>name!E$5</f>
        <v>Professional occupations</v>
      </c>
      <c r="B146" s="302">
        <v>0.60854830027209739</v>
      </c>
      <c r="C146" s="302">
        <v>2.891909761486007E-2</v>
      </c>
      <c r="D146" s="302">
        <v>0.10242283936596953</v>
      </c>
      <c r="E146" s="302">
        <f t="shared" ref="E146:E153" si="77">SUM(B146:D146)</f>
        <v>0.73989023725292702</v>
      </c>
      <c r="F146" s="303"/>
      <c r="G146" s="302">
        <v>0.73859188209976756</v>
      </c>
      <c r="H146" s="302">
        <v>6.6912712030942401E-2</v>
      </c>
      <c r="I146" s="302">
        <v>1.1936680656697419E-2</v>
      </c>
      <c r="J146" s="302">
        <f t="shared" ref="J146:J148" si="78">SUM(G146:I146)</f>
        <v>0.81744127478740736</v>
      </c>
      <c r="K146" s="303"/>
      <c r="L146" s="302">
        <v>0.81631556559183149</v>
      </c>
      <c r="M146" s="302">
        <v>8.7114739602537267E-2</v>
      </c>
      <c r="N146" s="302">
        <v>1.0927565291390058E-2</v>
      </c>
      <c r="O146" s="302">
        <f t="shared" ref="O146:O153" si="79">SUM(L146:N146)</f>
        <v>0.91435787048575878</v>
      </c>
    </row>
    <row r="147" spans="1:15" s="236" customFormat="1" x14ac:dyDescent="0.3">
      <c r="A147" s="237" t="str">
        <f>name!E$6</f>
        <v>Associate professional occupations</v>
      </c>
      <c r="B147" s="302">
        <v>0.64853670410019226</v>
      </c>
      <c r="C147" s="302">
        <v>7.3353520937777153E-2</v>
      </c>
      <c r="D147" s="302">
        <v>0.15367849026263322</v>
      </c>
      <c r="E147" s="302">
        <f t="shared" si="77"/>
        <v>0.87556871530060265</v>
      </c>
      <c r="F147" s="303"/>
      <c r="G147" s="302">
        <v>0.73369862313046996</v>
      </c>
      <c r="H147" s="302">
        <v>0.13039601994093061</v>
      </c>
      <c r="I147" s="302">
        <v>2.1744078768436623E-2</v>
      </c>
      <c r="J147" s="302">
        <f t="shared" si="78"/>
        <v>0.88583872183983725</v>
      </c>
      <c r="K147" s="303"/>
      <c r="L147" s="302">
        <v>0.71552408251768784</v>
      </c>
      <c r="M147" s="302">
        <v>0.11554579927849239</v>
      </c>
      <c r="N147" s="302">
        <v>2.3642161327611641E-2</v>
      </c>
      <c r="O147" s="302">
        <f t="shared" si="79"/>
        <v>0.8547120431237919</v>
      </c>
    </row>
    <row r="148" spans="1:15" s="236" customFormat="1" x14ac:dyDescent="0.3">
      <c r="A148" s="237" t="str">
        <f>name!E$7</f>
        <v>Administrative and secretarial occupations</v>
      </c>
      <c r="B148" s="302">
        <v>0.22732890618963353</v>
      </c>
      <c r="C148" s="302">
        <v>5.9484202502113968E-2</v>
      </c>
      <c r="D148" s="302">
        <v>2.2348617031027192E-2</v>
      </c>
      <c r="E148" s="302">
        <f t="shared" si="77"/>
        <v>0.30916172572277467</v>
      </c>
      <c r="F148" s="303"/>
      <c r="G148" s="302">
        <v>0.21964300105524417</v>
      </c>
      <c r="H148" s="302">
        <v>4.8368583997664215E-2</v>
      </c>
      <c r="I148" s="302">
        <v>2.9382097006544938E-3</v>
      </c>
      <c r="J148" s="302">
        <f t="shared" si="78"/>
        <v>0.2709497947535629</v>
      </c>
      <c r="K148" s="303"/>
      <c r="L148" s="302">
        <v>0.15297959459249474</v>
      </c>
      <c r="M148" s="302">
        <v>3.32215649694418E-2</v>
      </c>
      <c r="N148" s="302">
        <v>2.2488803533658435E-3</v>
      </c>
      <c r="O148" s="302">
        <f t="shared" si="79"/>
        <v>0.1884500399153024</v>
      </c>
    </row>
    <row r="149" spans="1:15" s="236" customFormat="1" x14ac:dyDescent="0.3">
      <c r="A149" s="237" t="str">
        <f>name!E$8</f>
        <v>Skilled trades occupations</v>
      </c>
      <c r="B149" s="302">
        <v>0.58292743666467495</v>
      </c>
      <c r="C149" s="302">
        <v>2.2745072581801019E-2</v>
      </c>
      <c r="D149" s="302">
        <v>0.11481813042383333</v>
      </c>
      <c r="E149" s="302">
        <f t="shared" si="77"/>
        <v>0.72049063967030935</v>
      </c>
      <c r="F149" s="303"/>
      <c r="G149" s="302">
        <v>0.41700473256383941</v>
      </c>
      <c r="H149" s="302">
        <v>2.9393775327638032E-2</v>
      </c>
      <c r="I149" s="302">
        <v>1.0522907331478374E-2</v>
      </c>
      <c r="J149" s="302">
        <f>SUM(G149:I149)</f>
        <v>0.45692141522295582</v>
      </c>
      <c r="K149" s="303"/>
      <c r="L149" s="302">
        <v>0.25821398817741281</v>
      </c>
      <c r="M149" s="302">
        <v>3.0932362463964004E-2</v>
      </c>
      <c r="N149" s="302">
        <v>9.4895609717264937E-3</v>
      </c>
      <c r="O149" s="302">
        <f t="shared" si="79"/>
        <v>0.29863591161310332</v>
      </c>
    </row>
    <row r="150" spans="1:15" s="236" customFormat="1" x14ac:dyDescent="0.3">
      <c r="A150" s="237" t="str">
        <f>name!E$9</f>
        <v>Caring, leisure and other service occupations</v>
      </c>
      <c r="B150" s="302">
        <v>4.0561289528523163E-2</v>
      </c>
      <c r="C150" s="302">
        <v>6.4492269103788953E-3</v>
      </c>
      <c r="D150" s="302">
        <v>8.5182207368620973E-3</v>
      </c>
      <c r="E150" s="302">
        <f t="shared" si="77"/>
        <v>5.5528737175764155E-2</v>
      </c>
      <c r="F150" s="303"/>
      <c r="G150" s="302">
        <v>3.7310317430103379E-2</v>
      </c>
      <c r="H150" s="302">
        <v>1.0755694762752923E-2</v>
      </c>
      <c r="I150" s="302">
        <v>3.2087061524872771E-3</v>
      </c>
      <c r="J150" s="302">
        <f t="shared" ref="J150:J153" si="80">SUM(G150:I150)</f>
        <v>5.1274718345343584E-2</v>
      </c>
      <c r="K150" s="303"/>
      <c r="L150" s="302">
        <v>2.6894877511336415E-2</v>
      </c>
      <c r="M150" s="302">
        <v>9.895582672982503E-3</v>
      </c>
      <c r="N150" s="302">
        <v>2.8214740951817393E-3</v>
      </c>
      <c r="O150" s="302">
        <f t="shared" si="79"/>
        <v>3.961193427950066E-2</v>
      </c>
    </row>
    <row r="151" spans="1:15" s="236" customFormat="1" x14ac:dyDescent="0.3">
      <c r="A151" s="237" t="str">
        <f>name!E$10</f>
        <v>Sales and customer service occupations</v>
      </c>
      <c r="B151" s="302">
        <v>0.11605443179696619</v>
      </c>
      <c r="C151" s="302">
        <v>2.8590977449555865E-2</v>
      </c>
      <c r="D151" s="302">
        <v>4.0314855384033281E-2</v>
      </c>
      <c r="E151" s="302">
        <f t="shared" si="77"/>
        <v>0.18496026463055534</v>
      </c>
      <c r="F151" s="303"/>
      <c r="G151" s="302">
        <v>0.10689529586407054</v>
      </c>
      <c r="H151" s="302">
        <v>4.1298540063513856E-2</v>
      </c>
      <c r="I151" s="302">
        <v>3.7073590984237808E-3</v>
      </c>
      <c r="J151" s="302">
        <f t="shared" si="80"/>
        <v>0.15190119502600818</v>
      </c>
      <c r="K151" s="303"/>
      <c r="L151" s="302">
        <v>0.10695955443805713</v>
      </c>
      <c r="M151" s="302">
        <v>3.6906844296424851E-2</v>
      </c>
      <c r="N151" s="302">
        <v>3.5909366603410864E-3</v>
      </c>
      <c r="O151" s="302">
        <f t="shared" si="79"/>
        <v>0.14745733539482306</v>
      </c>
    </row>
    <row r="152" spans="1:15" s="236" customFormat="1" x14ac:dyDescent="0.3">
      <c r="A152" s="237" t="str">
        <f>name!E$11</f>
        <v>Process, plant and machine operatives</v>
      </c>
      <c r="B152" s="302">
        <v>0.72357957962588271</v>
      </c>
      <c r="C152" s="302">
        <v>2.7750997663544334E-2</v>
      </c>
      <c r="D152" s="302">
        <v>2.1859845232724381E-2</v>
      </c>
      <c r="E152" s="302">
        <f t="shared" si="77"/>
        <v>0.77319042252215142</v>
      </c>
      <c r="F152" s="303"/>
      <c r="G152" s="302">
        <v>0.48591030279986991</v>
      </c>
      <c r="H152" s="302">
        <v>6.3169498257898804E-2</v>
      </c>
      <c r="I152" s="302">
        <v>3.8291708184184136E-3</v>
      </c>
      <c r="J152" s="302">
        <f t="shared" si="80"/>
        <v>0.55290897187618704</v>
      </c>
      <c r="K152" s="303"/>
      <c r="L152" s="302">
        <v>0.25184387136130809</v>
      </c>
      <c r="M152" s="302">
        <v>5.3839136310132582E-2</v>
      </c>
      <c r="N152" s="302">
        <v>6.0472041268024206E-3</v>
      </c>
      <c r="O152" s="302">
        <f t="shared" si="79"/>
        <v>0.31173021179824312</v>
      </c>
    </row>
    <row r="153" spans="1:15" s="236" customFormat="1" x14ac:dyDescent="0.3">
      <c r="A153" s="237" t="str">
        <f>name!E$12</f>
        <v>Elementary occupations</v>
      </c>
      <c r="B153" s="302">
        <v>0.41793219553289723</v>
      </c>
      <c r="C153" s="302">
        <v>0.13018808206392768</v>
      </c>
      <c r="D153" s="302">
        <v>6.0496600428888624E-2</v>
      </c>
      <c r="E153" s="302">
        <f t="shared" si="77"/>
        <v>0.60861687802571351</v>
      </c>
      <c r="F153" s="303"/>
      <c r="G153" s="302">
        <v>0.30251499811399862</v>
      </c>
      <c r="H153" s="302">
        <v>0.17488244384778201</v>
      </c>
      <c r="I153" s="302">
        <v>8.9099774463664936E-3</v>
      </c>
      <c r="J153" s="302">
        <f t="shared" si="80"/>
        <v>0.48630741940814715</v>
      </c>
      <c r="K153" s="303"/>
      <c r="L153" s="302">
        <v>0.18675649788431223</v>
      </c>
      <c r="M153" s="302">
        <v>0.14134620591631211</v>
      </c>
      <c r="N153" s="302">
        <v>9.8368589084770804E-3</v>
      </c>
      <c r="O153" s="302">
        <f t="shared" si="79"/>
        <v>0.33793956270910142</v>
      </c>
    </row>
    <row r="154" spans="1:15" s="236" customFormat="1" x14ac:dyDescent="0.3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3">
      <c r="A155" s="244" t="s">
        <v>32</v>
      </c>
      <c r="B155" s="311">
        <f>SUM(B145:B153)</f>
        <v>3.9919999999848952</v>
      </c>
      <c r="C155" s="311">
        <f t="shared" ref="C155:E155" si="81">SUM(C145:C153)</f>
        <v>0.40000000000487523</v>
      </c>
      <c r="D155" s="311">
        <f t="shared" si="81"/>
        <v>0.75300000001130174</v>
      </c>
      <c r="E155" s="311">
        <f t="shared" si="81"/>
        <v>5.1450000000010725</v>
      </c>
      <c r="F155" s="311"/>
      <c r="G155" s="311">
        <f t="shared" ref="G155:J155" si="82">SUM(G145:G153)</f>
        <v>3.7179999999948028</v>
      </c>
      <c r="H155" s="311">
        <f t="shared" si="82"/>
        <v>0.62500000000134359</v>
      </c>
      <c r="I155" s="311">
        <f t="shared" si="82"/>
        <v>9.3000000000394129E-2</v>
      </c>
      <c r="J155" s="311">
        <f t="shared" si="82"/>
        <v>4.4359999999965405</v>
      </c>
      <c r="K155" s="311"/>
      <c r="L155" s="311">
        <f t="shared" ref="L155:O155" si="83">SUM(L145:L153)</f>
        <v>3.1850000000056737</v>
      </c>
      <c r="M155" s="311">
        <f t="shared" si="83"/>
        <v>0.57500000000268292</v>
      </c>
      <c r="N155" s="311">
        <f t="shared" si="83"/>
        <v>0.1000000000016275</v>
      </c>
      <c r="O155" s="311">
        <f t="shared" si="83"/>
        <v>3.8600000000099843</v>
      </c>
    </row>
    <row r="156" spans="1:15" s="236" customFormat="1" x14ac:dyDescent="0.3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3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35</v>
      </c>
    </row>
    <row r="158" spans="1:15" s="236" customFormat="1" x14ac:dyDescent="0.3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3">
      <c r="A159" s="241" t="str">
        <f>name!A12</f>
        <v>Printing and recording</v>
      </c>
      <c r="B159" s="375">
        <f>$B$6</f>
        <v>2015</v>
      </c>
      <c r="C159" s="375"/>
      <c r="D159" s="375"/>
      <c r="E159" s="375"/>
      <c r="F159" s="263"/>
      <c r="G159" s="375">
        <f>$G$6</f>
        <v>2020</v>
      </c>
      <c r="H159" s="375"/>
      <c r="I159" s="375"/>
      <c r="J159" s="375"/>
      <c r="K159" s="263"/>
      <c r="L159" s="375">
        <f>$L$6</f>
        <v>2035</v>
      </c>
      <c r="M159" s="375"/>
      <c r="N159" s="375"/>
      <c r="O159" s="375"/>
    </row>
    <row r="160" spans="1:15" s="236" customFormat="1" x14ac:dyDescent="0.3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3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3">
      <c r="A162" s="237" t="str">
        <f>name!E$4</f>
        <v>Managers, directors and senior officials</v>
      </c>
      <c r="B162" s="302">
        <v>1.7922744857155453</v>
      </c>
      <c r="C162" s="302">
        <v>3.2142715434067867E-2</v>
      </c>
      <c r="D162" s="302">
        <v>0.34243541605585076</v>
      </c>
      <c r="E162" s="302">
        <f>SUM(B162:D162)</f>
        <v>2.1668526172054641</v>
      </c>
      <c r="F162" s="303"/>
      <c r="G162" s="302">
        <v>1.57085822666581</v>
      </c>
      <c r="H162" s="302">
        <v>0.17690702955161627</v>
      </c>
      <c r="I162" s="302">
        <v>0.12534956826351565</v>
      </c>
      <c r="J162" s="302">
        <f>SUM(G162:I162)</f>
        <v>1.8731148244809419</v>
      </c>
      <c r="K162" s="303"/>
      <c r="L162" s="302">
        <v>1.4181610732400325</v>
      </c>
      <c r="M162" s="302">
        <v>0.21844067758842012</v>
      </c>
      <c r="N162" s="302">
        <v>0.14115594145911525</v>
      </c>
      <c r="O162" s="302">
        <f>SUM(L162:N162)</f>
        <v>1.7777576922875677</v>
      </c>
    </row>
    <row r="163" spans="1:15" s="236" customFormat="1" x14ac:dyDescent="0.3">
      <c r="A163" s="237" t="str">
        <f>name!E$5</f>
        <v>Professional occupations</v>
      </c>
      <c r="B163" s="302">
        <v>1.6428360238461157</v>
      </c>
      <c r="C163" s="302">
        <v>5.8029181364119324E-2</v>
      </c>
      <c r="D163" s="302">
        <v>0.24580972384438649</v>
      </c>
      <c r="E163" s="302">
        <f t="shared" ref="E163:E170" si="84">SUM(B163:D163)</f>
        <v>1.9466749290546215</v>
      </c>
      <c r="F163" s="303"/>
      <c r="G163" s="302">
        <v>1.6410514806412675</v>
      </c>
      <c r="H163" s="302">
        <v>0.23763297381944828</v>
      </c>
      <c r="I163" s="302">
        <v>7.9719981637626308E-2</v>
      </c>
      <c r="J163" s="302">
        <f t="shared" ref="J163:J165" si="85">SUM(G163:I163)</f>
        <v>1.9584044360983421</v>
      </c>
      <c r="K163" s="303"/>
      <c r="L163" s="302">
        <v>1.677301211836161</v>
      </c>
      <c r="M163" s="302">
        <v>0.30290161679950006</v>
      </c>
      <c r="N163" s="302">
        <v>6.7500297368066509E-2</v>
      </c>
      <c r="O163" s="302">
        <f t="shared" ref="O163:O170" si="86">SUM(L163:N163)</f>
        <v>2.0477031260037277</v>
      </c>
    </row>
    <row r="164" spans="1:15" s="236" customFormat="1" x14ac:dyDescent="0.3">
      <c r="A164" s="237" t="str">
        <f>name!E$6</f>
        <v>Associate professional occupations</v>
      </c>
      <c r="B164" s="302">
        <v>1.8962910440942164</v>
      </c>
      <c r="C164" s="302">
        <v>0.14989961761061057</v>
      </c>
      <c r="D164" s="302">
        <v>0.68569273552951038</v>
      </c>
      <c r="E164" s="302">
        <f t="shared" si="84"/>
        <v>2.7318833972343377</v>
      </c>
      <c r="F164" s="303"/>
      <c r="G164" s="302">
        <v>1.7578114418057198</v>
      </c>
      <c r="H164" s="302">
        <v>0.48951694134999135</v>
      </c>
      <c r="I164" s="302">
        <v>0.21435095660201761</v>
      </c>
      <c r="J164" s="302">
        <f t="shared" si="85"/>
        <v>2.4616793397577288</v>
      </c>
      <c r="K164" s="303"/>
      <c r="L164" s="302">
        <v>1.6606411920330668</v>
      </c>
      <c r="M164" s="302">
        <v>0.47338335338339649</v>
      </c>
      <c r="N164" s="302">
        <v>0.21643550809805015</v>
      </c>
      <c r="O164" s="302">
        <f t="shared" si="86"/>
        <v>2.3504600535145133</v>
      </c>
    </row>
    <row r="165" spans="1:15" s="236" customFormat="1" x14ac:dyDescent="0.3">
      <c r="A165" s="237" t="str">
        <f>name!E$7</f>
        <v>Administrative and secretarial occupations</v>
      </c>
      <c r="B165" s="302">
        <v>0.52644351379686671</v>
      </c>
      <c r="C165" s="302">
        <v>0.15812961220202268</v>
      </c>
      <c r="D165" s="302">
        <v>5.8360064898831741E-2</v>
      </c>
      <c r="E165" s="302">
        <f t="shared" si="84"/>
        <v>0.74293319089772114</v>
      </c>
      <c r="F165" s="303"/>
      <c r="G165" s="302">
        <v>0.41461435806783387</v>
      </c>
      <c r="H165" s="302">
        <v>0.29168154038614819</v>
      </c>
      <c r="I165" s="302">
        <v>1.4750052049679564E-2</v>
      </c>
      <c r="J165" s="302">
        <f t="shared" si="85"/>
        <v>0.7210459505036616</v>
      </c>
      <c r="K165" s="303"/>
      <c r="L165" s="302">
        <v>0.29033202075101683</v>
      </c>
      <c r="M165" s="302">
        <v>0.19416299128132095</v>
      </c>
      <c r="N165" s="302">
        <v>1.0091552742104173E-2</v>
      </c>
      <c r="O165" s="302">
        <f t="shared" si="86"/>
        <v>0.49458656477444196</v>
      </c>
    </row>
    <row r="166" spans="1:15" s="236" customFormat="1" x14ac:dyDescent="0.3">
      <c r="A166" s="237" t="str">
        <f>name!E$8</f>
        <v>Skilled trades occupations</v>
      </c>
      <c r="B166" s="302">
        <v>1.2194828574983185</v>
      </c>
      <c r="C166" s="302">
        <v>3.1462075049441818E-2</v>
      </c>
      <c r="D166" s="302">
        <v>0.14433873164641806</v>
      </c>
      <c r="E166" s="302">
        <f t="shared" si="84"/>
        <v>1.3952836641941784</v>
      </c>
      <c r="F166" s="303"/>
      <c r="G166" s="302">
        <v>0.72107981099036211</v>
      </c>
      <c r="H166" s="302">
        <v>9.2485324219651041E-2</v>
      </c>
      <c r="I166" s="302">
        <v>4.7934470699614228E-2</v>
      </c>
      <c r="J166" s="302">
        <f>SUM(G166:I166)</f>
        <v>0.86149960590962738</v>
      </c>
      <c r="K166" s="303"/>
      <c r="L166" s="302">
        <v>0.3638709117736762</v>
      </c>
      <c r="M166" s="302">
        <v>0.10363090669807871</v>
      </c>
      <c r="N166" s="302">
        <v>3.6830398936599285E-2</v>
      </c>
      <c r="O166" s="302">
        <f t="shared" si="86"/>
        <v>0.50433221740835421</v>
      </c>
    </row>
    <row r="167" spans="1:15" s="236" customFormat="1" x14ac:dyDescent="0.3">
      <c r="A167" s="237" t="str">
        <f>name!E$9</f>
        <v>Caring, leisure and other service occupations</v>
      </c>
      <c r="B167" s="302">
        <v>3.3213289024250019E-2</v>
      </c>
      <c r="C167" s="302">
        <v>1.0304336252761481E-2</v>
      </c>
      <c r="D167" s="302">
        <v>1.0449859371617199E-2</v>
      </c>
      <c r="E167" s="302">
        <f t="shared" si="84"/>
        <v>5.3967484648628702E-2</v>
      </c>
      <c r="F167" s="303"/>
      <c r="G167" s="302">
        <v>2.6958253716259307E-2</v>
      </c>
      <c r="H167" s="302">
        <v>3.3895260850606249E-2</v>
      </c>
      <c r="I167" s="302">
        <v>3.4586793408704496E-3</v>
      </c>
      <c r="J167" s="302">
        <f t="shared" ref="J167:J170" si="87">SUM(G167:I167)</f>
        <v>6.4312193907736001E-2</v>
      </c>
      <c r="K167" s="303"/>
      <c r="L167" s="302">
        <v>2.5217562306039394E-2</v>
      </c>
      <c r="M167" s="302">
        <v>3.0415709907581658E-2</v>
      </c>
      <c r="N167" s="302">
        <v>4.8119478888714665E-3</v>
      </c>
      <c r="O167" s="302">
        <f t="shared" si="86"/>
        <v>6.0445220102492515E-2</v>
      </c>
    </row>
    <row r="168" spans="1:15" s="236" customFormat="1" x14ac:dyDescent="0.3">
      <c r="A168" s="237" t="str">
        <f>name!E$10</f>
        <v>Sales and customer service occupations</v>
      </c>
      <c r="B168" s="302">
        <v>0.38896585955263968</v>
      </c>
      <c r="C168" s="302">
        <v>4.9283491311881873E-2</v>
      </c>
      <c r="D168" s="302">
        <v>7.9779785318203247E-2</v>
      </c>
      <c r="E168" s="302">
        <f t="shared" si="84"/>
        <v>0.51802913618272484</v>
      </c>
      <c r="F168" s="303"/>
      <c r="G168" s="302">
        <v>0.28208760529914712</v>
      </c>
      <c r="H168" s="302">
        <v>0.14590553596494457</v>
      </c>
      <c r="I168" s="302">
        <v>2.0673914302537587E-2</v>
      </c>
      <c r="J168" s="302">
        <f t="shared" si="87"/>
        <v>0.44866705556662928</v>
      </c>
      <c r="K168" s="303"/>
      <c r="L168" s="302">
        <v>0.25812726713338696</v>
      </c>
      <c r="M168" s="302">
        <v>0.14338912046350896</v>
      </c>
      <c r="N168" s="302">
        <v>1.7059772907271363E-2</v>
      </c>
      <c r="O168" s="302">
        <f t="shared" si="86"/>
        <v>0.41857616050416724</v>
      </c>
    </row>
    <row r="169" spans="1:15" s="236" customFormat="1" x14ac:dyDescent="0.3">
      <c r="A169" s="237" t="str">
        <f>name!E$11</f>
        <v>Process, plant and machine operatives</v>
      </c>
      <c r="B169" s="302">
        <v>0.37524041306372302</v>
      </c>
      <c r="C169" s="302">
        <v>2.3113727164497746E-2</v>
      </c>
      <c r="D169" s="302">
        <v>1.9427419565752366E-2</v>
      </c>
      <c r="E169" s="302">
        <f t="shared" si="84"/>
        <v>0.41778155979397313</v>
      </c>
      <c r="F169" s="303"/>
      <c r="G169" s="302">
        <v>0.23922256222097099</v>
      </c>
      <c r="H169" s="302">
        <v>0.15206712458633762</v>
      </c>
      <c r="I169" s="302">
        <v>6.4051608846045502E-3</v>
      </c>
      <c r="J169" s="302">
        <f t="shared" si="87"/>
        <v>0.39769484769191316</v>
      </c>
      <c r="K169" s="303"/>
      <c r="L169" s="302">
        <v>0.18605763740108133</v>
      </c>
      <c r="M169" s="302">
        <v>0.1904878940189102</v>
      </c>
      <c r="N169" s="302">
        <v>4.9965682534731382E-3</v>
      </c>
      <c r="O169" s="302">
        <f t="shared" si="86"/>
        <v>0.38154209967346464</v>
      </c>
    </row>
    <row r="170" spans="1:15" s="236" customFormat="1" x14ac:dyDescent="0.3">
      <c r="A170" s="237" t="str">
        <f>name!E$12</f>
        <v>Elementary occupations</v>
      </c>
      <c r="B170" s="302">
        <v>0.73825251335141051</v>
      </c>
      <c r="C170" s="302">
        <v>0.23963524362158781</v>
      </c>
      <c r="D170" s="302">
        <v>1.870626379928288E-2</v>
      </c>
      <c r="E170" s="302">
        <f t="shared" si="84"/>
        <v>0.99659402077228121</v>
      </c>
      <c r="F170" s="303"/>
      <c r="G170" s="302">
        <v>0.4553162605745249</v>
      </c>
      <c r="H170" s="302">
        <v>0.63990826927050448</v>
      </c>
      <c r="I170" s="302">
        <v>4.3572162264578773E-3</v>
      </c>
      <c r="J170" s="302">
        <f t="shared" si="87"/>
        <v>1.0995817460714872</v>
      </c>
      <c r="K170" s="303"/>
      <c r="L170" s="302">
        <v>0.29529112352709247</v>
      </c>
      <c r="M170" s="302">
        <v>0.48118772986366115</v>
      </c>
      <c r="N170" s="302">
        <v>4.1180123623940955E-3</v>
      </c>
      <c r="O170" s="302">
        <f t="shared" si="86"/>
        <v>0.78059686575314768</v>
      </c>
    </row>
    <row r="171" spans="1:15" s="236" customFormat="1" x14ac:dyDescent="0.3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3">
      <c r="A172" s="244" t="s">
        <v>32</v>
      </c>
      <c r="B172" s="311">
        <f>SUM(B162:B170)</f>
        <v>8.6129999999430868</v>
      </c>
      <c r="C172" s="311">
        <f t="shared" ref="C172:E172" si="88">SUM(C162:C170)</f>
        <v>0.75200000001099121</v>
      </c>
      <c r="D172" s="311">
        <f t="shared" si="88"/>
        <v>1.6050000000298532</v>
      </c>
      <c r="E172" s="311">
        <f t="shared" si="88"/>
        <v>10.96999999998393</v>
      </c>
      <c r="F172" s="311"/>
      <c r="G172" s="311">
        <f t="shared" ref="G172:J172" si="89">SUM(G162:G170)</f>
        <v>7.1089999999818954</v>
      </c>
      <c r="H172" s="311">
        <f t="shared" si="89"/>
        <v>2.2599999999992484</v>
      </c>
      <c r="I172" s="311">
        <f t="shared" si="89"/>
        <v>0.51700000000692381</v>
      </c>
      <c r="J172" s="311">
        <f t="shared" si="89"/>
        <v>9.8859999999880674</v>
      </c>
      <c r="K172" s="311"/>
      <c r="L172" s="311">
        <f t="shared" ref="L172:O172" si="90">SUM(L162:L170)</f>
        <v>6.1750000000015541</v>
      </c>
      <c r="M172" s="311">
        <f t="shared" si="90"/>
        <v>2.1380000000043786</v>
      </c>
      <c r="N172" s="311">
        <f t="shared" si="90"/>
        <v>0.50300000001594536</v>
      </c>
      <c r="O172" s="311">
        <f t="shared" si="90"/>
        <v>8.8160000000218783</v>
      </c>
    </row>
    <row r="173" spans="1:15" s="236" customFormat="1" x14ac:dyDescent="0.3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3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35</v>
      </c>
    </row>
    <row r="175" spans="1:15" s="236" customFormat="1" x14ac:dyDescent="0.3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3">
      <c r="A176" s="241" t="str">
        <f>name!A13</f>
        <v>Coke and petroleum; Chemicals, etc</v>
      </c>
      <c r="B176" s="375">
        <f>$B$6</f>
        <v>2015</v>
      </c>
      <c r="C176" s="375"/>
      <c r="D176" s="375"/>
      <c r="E176" s="375"/>
      <c r="F176" s="263"/>
      <c r="G176" s="375">
        <f>$G$6</f>
        <v>2020</v>
      </c>
      <c r="H176" s="375"/>
      <c r="I176" s="375"/>
      <c r="J176" s="375"/>
      <c r="K176" s="263"/>
      <c r="L176" s="375">
        <f>$L$6</f>
        <v>2035</v>
      </c>
      <c r="M176" s="375"/>
      <c r="N176" s="375"/>
      <c r="O176" s="375"/>
    </row>
    <row r="177" spans="1:15" s="236" customFormat="1" x14ac:dyDescent="0.3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3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3">
      <c r="A179" s="237" t="str">
        <f>name!E$4</f>
        <v>Managers, directors and senior officials</v>
      </c>
      <c r="B179" s="302">
        <v>1.1732205197667291</v>
      </c>
      <c r="C179" s="302">
        <v>2.5396850491130413E-2</v>
      </c>
      <c r="D179" s="302">
        <v>2.8506257310522684E-2</v>
      </c>
      <c r="E179" s="302">
        <f>SUM(B179:D179)</f>
        <v>1.2271236275683821</v>
      </c>
      <c r="F179" s="303"/>
      <c r="G179" s="302">
        <v>1.3420497013519463</v>
      </c>
      <c r="H179" s="302">
        <v>3.3256704725600009E-2</v>
      </c>
      <c r="I179" s="302">
        <v>4.8936590675591342E-2</v>
      </c>
      <c r="J179" s="302">
        <f>SUM(G179:I179)</f>
        <v>1.4242429967531378</v>
      </c>
      <c r="K179" s="303"/>
      <c r="L179" s="302">
        <v>1.1091337154058154</v>
      </c>
      <c r="M179" s="302">
        <v>3.4188949811266113E-2</v>
      </c>
      <c r="N179" s="302">
        <v>4.05150959652813E-2</v>
      </c>
      <c r="O179" s="302">
        <f>SUM(L179:N179)</f>
        <v>1.1838377611823629</v>
      </c>
    </row>
    <row r="180" spans="1:15" s="236" customFormat="1" x14ac:dyDescent="0.3">
      <c r="A180" s="237" t="str">
        <f>name!E$5</f>
        <v>Professional occupations</v>
      </c>
      <c r="B180" s="302">
        <v>2.078623442007911</v>
      </c>
      <c r="C180" s="302">
        <v>3.6361543689989076E-2</v>
      </c>
      <c r="D180" s="302">
        <v>0.22287845316553603</v>
      </c>
      <c r="E180" s="302">
        <f t="shared" ref="E180:E187" si="91">SUM(B180:D180)</f>
        <v>2.3378634388634358</v>
      </c>
      <c r="F180" s="303"/>
      <c r="G180" s="302">
        <v>2.6211499208239837</v>
      </c>
      <c r="H180" s="302">
        <v>5.4019436404583329E-2</v>
      </c>
      <c r="I180" s="302">
        <v>0.35271442235222683</v>
      </c>
      <c r="J180" s="302">
        <f t="shared" ref="J180:J182" si="92">SUM(G180:I180)</f>
        <v>3.0278837795807938</v>
      </c>
      <c r="K180" s="303"/>
      <c r="L180" s="302">
        <v>2.4479377558117785</v>
      </c>
      <c r="M180" s="302">
        <v>6.0210828329519586E-2</v>
      </c>
      <c r="N180" s="302">
        <v>0.26345190113299016</v>
      </c>
      <c r="O180" s="302">
        <f t="shared" ref="O180:O187" si="93">SUM(L180:N180)</f>
        <v>2.7716004852742886</v>
      </c>
    </row>
    <row r="181" spans="1:15" s="236" customFormat="1" x14ac:dyDescent="0.3">
      <c r="A181" s="237" t="str">
        <f>name!E$6</f>
        <v>Associate professional occupations</v>
      </c>
      <c r="B181" s="302">
        <v>1.1504348629562087</v>
      </c>
      <c r="C181" s="302">
        <v>4.4726786763137266E-2</v>
      </c>
      <c r="D181" s="302">
        <v>6.0042407961883731E-2</v>
      </c>
      <c r="E181" s="302">
        <f t="shared" si="91"/>
        <v>1.2552040576812298</v>
      </c>
      <c r="F181" s="303"/>
      <c r="G181" s="302">
        <v>1.4008708812950452</v>
      </c>
      <c r="H181" s="302">
        <v>5.4743972142044545E-2</v>
      </c>
      <c r="I181" s="302">
        <v>9.0728254516749055E-2</v>
      </c>
      <c r="J181" s="302">
        <f t="shared" si="92"/>
        <v>1.546343107953839</v>
      </c>
      <c r="K181" s="303"/>
      <c r="L181" s="302">
        <v>1.0955692979660192</v>
      </c>
      <c r="M181" s="302">
        <v>5.1310207028073436E-2</v>
      </c>
      <c r="N181" s="302">
        <v>8.12768887322875E-2</v>
      </c>
      <c r="O181" s="302">
        <f t="shared" si="93"/>
        <v>1.2281563937263802</v>
      </c>
    </row>
    <row r="182" spans="1:15" s="236" customFormat="1" x14ac:dyDescent="0.3">
      <c r="A182" s="237" t="str">
        <f>name!E$7</f>
        <v>Administrative and secretarial occupations</v>
      </c>
      <c r="B182" s="302">
        <v>0.75710113253054945</v>
      </c>
      <c r="C182" s="302">
        <v>6.7700912415717254E-2</v>
      </c>
      <c r="D182" s="302">
        <v>8.3637958134767897E-3</v>
      </c>
      <c r="E182" s="302">
        <f t="shared" si="91"/>
        <v>0.83316584075974354</v>
      </c>
      <c r="F182" s="303"/>
      <c r="G182" s="302">
        <v>0.80762276829517832</v>
      </c>
      <c r="H182" s="302">
        <v>5.6176711096791065E-2</v>
      </c>
      <c r="I182" s="302">
        <v>9.4257429088844859E-3</v>
      </c>
      <c r="J182" s="302">
        <f t="shared" si="92"/>
        <v>0.87322522230085398</v>
      </c>
      <c r="K182" s="303"/>
      <c r="L182" s="302">
        <v>0.59794229183047454</v>
      </c>
      <c r="M182" s="302">
        <v>3.1306391977104824E-2</v>
      </c>
      <c r="N182" s="302">
        <v>7.9881424613907851E-3</v>
      </c>
      <c r="O182" s="302">
        <f t="shared" si="93"/>
        <v>0.63723682626897016</v>
      </c>
    </row>
    <row r="183" spans="1:15" s="236" customFormat="1" x14ac:dyDescent="0.3">
      <c r="A183" s="237" t="str">
        <f>name!E$8</f>
        <v>Skilled trades occupations</v>
      </c>
      <c r="B183" s="302">
        <v>0.42466000272238408</v>
      </c>
      <c r="C183" s="302">
        <v>8.1114076555730219E-2</v>
      </c>
      <c r="D183" s="302">
        <v>0.12260147514520148</v>
      </c>
      <c r="E183" s="302">
        <f t="shared" si="91"/>
        <v>0.62837555442331572</v>
      </c>
      <c r="F183" s="303"/>
      <c r="G183" s="302">
        <v>0.35120291308017326</v>
      </c>
      <c r="H183" s="302">
        <v>5.1985998043220363E-2</v>
      </c>
      <c r="I183" s="302">
        <v>0.13916757260902152</v>
      </c>
      <c r="J183" s="302">
        <f>SUM(G183:I183)</f>
        <v>0.54235648373241507</v>
      </c>
      <c r="K183" s="303"/>
      <c r="L183" s="302">
        <v>0.24025814924384406</v>
      </c>
      <c r="M183" s="302">
        <v>6.4353177365804273E-2</v>
      </c>
      <c r="N183" s="302">
        <v>0.12051376122598936</v>
      </c>
      <c r="O183" s="302">
        <f t="shared" si="93"/>
        <v>0.42512508783563774</v>
      </c>
    </row>
    <row r="184" spans="1:15" s="236" customFormat="1" x14ac:dyDescent="0.3">
      <c r="A184" s="237" t="str">
        <f>name!E$9</f>
        <v>Caring, leisure and other service occupations</v>
      </c>
      <c r="B184" s="302">
        <v>9.3351184221049779E-2</v>
      </c>
      <c r="C184" s="302">
        <v>1.5104409583503542E-2</v>
      </c>
      <c r="D184" s="302">
        <v>2.1229611503183327E-2</v>
      </c>
      <c r="E184" s="302">
        <f t="shared" si="91"/>
        <v>0.12968520530773664</v>
      </c>
      <c r="F184" s="303"/>
      <c r="G184" s="302">
        <v>9.0918173842563857E-2</v>
      </c>
      <c r="H184" s="302">
        <v>1.578990575634457E-2</v>
      </c>
      <c r="I184" s="302">
        <v>2.6749252528316891E-2</v>
      </c>
      <c r="J184" s="302">
        <f t="shared" ref="J184:J187" si="94">SUM(G184:I184)</f>
        <v>0.13345733212722533</v>
      </c>
      <c r="K184" s="303"/>
      <c r="L184" s="302">
        <v>8.4336140283758951E-2</v>
      </c>
      <c r="M184" s="302">
        <v>1.4905193269324338E-2</v>
      </c>
      <c r="N184" s="302">
        <v>1.9065111318085585E-2</v>
      </c>
      <c r="O184" s="302">
        <f t="shared" si="93"/>
        <v>0.11830644487116887</v>
      </c>
    </row>
    <row r="185" spans="1:15" s="236" customFormat="1" x14ac:dyDescent="0.3">
      <c r="A185" s="237" t="str">
        <f>name!E$10</f>
        <v>Sales and customer service occupations</v>
      </c>
      <c r="B185" s="302">
        <v>0.25915179257991711</v>
      </c>
      <c r="C185" s="302">
        <v>4.0032599295032882E-2</v>
      </c>
      <c r="D185" s="302">
        <v>1.7158401753030759E-2</v>
      </c>
      <c r="E185" s="302">
        <f t="shared" si="91"/>
        <v>0.31634279362798073</v>
      </c>
      <c r="F185" s="303"/>
      <c r="G185" s="302">
        <v>0.2474370414437696</v>
      </c>
      <c r="H185" s="302">
        <v>3.6154581500364595E-2</v>
      </c>
      <c r="I185" s="302">
        <v>1.5922342819465619E-2</v>
      </c>
      <c r="J185" s="302">
        <f t="shared" si="94"/>
        <v>0.29951396576359984</v>
      </c>
      <c r="K185" s="303"/>
      <c r="L185" s="302">
        <v>0.23129450708011814</v>
      </c>
      <c r="M185" s="302">
        <v>2.0882678141368998E-2</v>
      </c>
      <c r="N185" s="302">
        <v>1.7594461431711565E-2</v>
      </c>
      <c r="O185" s="302">
        <f t="shared" si="93"/>
        <v>0.26977164665319869</v>
      </c>
    </row>
    <row r="186" spans="1:15" s="236" customFormat="1" x14ac:dyDescent="0.3">
      <c r="A186" s="237" t="str">
        <f>name!E$11</f>
        <v>Process, plant and machine operatives</v>
      </c>
      <c r="B186" s="302">
        <v>1.0592791664718713</v>
      </c>
      <c r="C186" s="302">
        <v>4.7575882237245487E-2</v>
      </c>
      <c r="D186" s="302">
        <v>1.9246313632533436E-2</v>
      </c>
      <c r="E186" s="302">
        <f t="shared" si="91"/>
        <v>1.12610136234165</v>
      </c>
      <c r="F186" s="303"/>
      <c r="G186" s="302">
        <v>0.83478416280391088</v>
      </c>
      <c r="H186" s="302">
        <v>5.0222741799612322E-2</v>
      </c>
      <c r="I186" s="302">
        <v>2.7689511123105685E-2</v>
      </c>
      <c r="J186" s="302">
        <f t="shared" si="94"/>
        <v>0.91269641572662885</v>
      </c>
      <c r="K186" s="303"/>
      <c r="L186" s="302">
        <v>0.62141957367352518</v>
      </c>
      <c r="M186" s="302">
        <v>5.9801540157517159E-2</v>
      </c>
      <c r="N186" s="302">
        <v>2.973857785247196E-2</v>
      </c>
      <c r="O186" s="302">
        <f t="shared" si="93"/>
        <v>0.71095969168351425</v>
      </c>
    </row>
    <row r="187" spans="1:15" s="236" customFormat="1" x14ac:dyDescent="0.3">
      <c r="A187" s="237" t="str">
        <f>name!E$12</f>
        <v>Elementary occupations</v>
      </c>
      <c r="B187" s="302">
        <v>0.60917789670444888</v>
      </c>
      <c r="C187" s="302">
        <v>0.2109869389826847</v>
      </c>
      <c r="D187" s="302">
        <v>3.7973283717178889E-2</v>
      </c>
      <c r="E187" s="302">
        <f t="shared" si="91"/>
        <v>0.8581381194043125</v>
      </c>
      <c r="F187" s="303"/>
      <c r="G187" s="302">
        <v>0.46596443701995177</v>
      </c>
      <c r="H187" s="302">
        <v>0.13864994853109902</v>
      </c>
      <c r="I187" s="302">
        <v>3.5666310468128674E-2</v>
      </c>
      <c r="J187" s="302">
        <f t="shared" si="94"/>
        <v>0.64028069601917947</v>
      </c>
      <c r="K187" s="303"/>
      <c r="L187" s="302">
        <v>0.32510856868448723</v>
      </c>
      <c r="M187" s="302">
        <v>0.10004103391967223</v>
      </c>
      <c r="N187" s="302">
        <v>4.0856059880425323E-2</v>
      </c>
      <c r="O187" s="302">
        <f t="shared" si="93"/>
        <v>0.4660056624845848</v>
      </c>
    </row>
    <row r="188" spans="1:15" s="236" customFormat="1" x14ac:dyDescent="0.3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3">
      <c r="A189" s="244" t="s">
        <v>32</v>
      </c>
      <c r="B189" s="311">
        <f>SUM(B179:B187)</f>
        <v>7.6049999999610707</v>
      </c>
      <c r="C189" s="311">
        <f t="shared" ref="C189:E189" si="95">SUM(C179:C187)</f>
        <v>0.56900000001417095</v>
      </c>
      <c r="D189" s="311">
        <f t="shared" si="95"/>
        <v>0.53800000000254711</v>
      </c>
      <c r="E189" s="311">
        <f t="shared" si="95"/>
        <v>8.7119999999777864</v>
      </c>
      <c r="F189" s="311"/>
      <c r="G189" s="311">
        <f t="shared" ref="G189:J189" si="96">SUM(G179:G187)</f>
        <v>8.1619999999565227</v>
      </c>
      <c r="H189" s="311">
        <f t="shared" si="96"/>
        <v>0.49099999999965988</v>
      </c>
      <c r="I189" s="311">
        <f t="shared" si="96"/>
        <v>0.74700000000149003</v>
      </c>
      <c r="J189" s="311">
        <f t="shared" si="96"/>
        <v>9.3999999999576733</v>
      </c>
      <c r="K189" s="311"/>
      <c r="L189" s="311">
        <f t="shared" ref="L189:O189" si="97">SUM(L179:L187)</f>
        <v>6.7529999999798207</v>
      </c>
      <c r="M189" s="311">
        <f t="shared" si="97"/>
        <v>0.43699999999965095</v>
      </c>
      <c r="N189" s="311">
        <f t="shared" si="97"/>
        <v>0.6210000000006336</v>
      </c>
      <c r="O189" s="311">
        <f t="shared" si="97"/>
        <v>7.8109999999801056</v>
      </c>
    </row>
    <row r="190" spans="1:15" s="236" customFormat="1" x14ac:dyDescent="0.3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3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35</v>
      </c>
    </row>
    <row r="192" spans="1:15" s="236" customFormat="1" x14ac:dyDescent="0.3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3">
      <c r="A193" s="241" t="str">
        <f>name!A14</f>
        <v>Pharmaceuticals</v>
      </c>
      <c r="B193" s="375">
        <f>$B$6</f>
        <v>2015</v>
      </c>
      <c r="C193" s="375"/>
      <c r="D193" s="375"/>
      <c r="E193" s="375"/>
      <c r="F193" s="263"/>
      <c r="G193" s="375">
        <f>$G$6</f>
        <v>2020</v>
      </c>
      <c r="H193" s="375"/>
      <c r="I193" s="375"/>
      <c r="J193" s="375"/>
      <c r="K193" s="263"/>
      <c r="L193" s="375">
        <f>$L$6</f>
        <v>2035</v>
      </c>
      <c r="M193" s="375"/>
      <c r="N193" s="375"/>
      <c r="O193" s="375"/>
    </row>
    <row r="194" spans="1:15" s="236" customFormat="1" x14ac:dyDescent="0.3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3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3">
      <c r="A196" s="237" t="str">
        <f>name!E$4</f>
        <v>Managers, directors and senior officials</v>
      </c>
      <c r="B196" s="302">
        <v>0.65148366012494596</v>
      </c>
      <c r="C196" s="302">
        <v>2.9613658924265134E-2</v>
      </c>
      <c r="D196" s="302">
        <v>2.180929627595686E-2</v>
      </c>
      <c r="E196" s="302">
        <f>SUM(B196:D196)</f>
        <v>0.70290661532516796</v>
      </c>
      <c r="F196" s="303"/>
      <c r="G196" s="302">
        <v>0.641876295648525</v>
      </c>
      <c r="H196" s="302">
        <v>1.6786805869372416E-2</v>
      </c>
      <c r="I196" s="302">
        <v>7.862105077299078E-2</v>
      </c>
      <c r="J196" s="302">
        <f>SUM(G196:I196)</f>
        <v>0.73728415229088817</v>
      </c>
      <c r="K196" s="303"/>
      <c r="L196" s="302">
        <v>0.71985968514055565</v>
      </c>
      <c r="M196" s="302">
        <v>2.5962832378138487E-2</v>
      </c>
      <c r="N196" s="302">
        <v>9.7530950195511154E-2</v>
      </c>
      <c r="O196" s="302">
        <f>SUM(L196:N196)</f>
        <v>0.84335346771420527</v>
      </c>
    </row>
    <row r="197" spans="1:15" s="236" customFormat="1" x14ac:dyDescent="0.3">
      <c r="A197" s="237" t="str">
        <f>name!E$5</f>
        <v>Professional occupations</v>
      </c>
      <c r="B197" s="302">
        <v>1.8790420506301728</v>
      </c>
      <c r="C197" s="302">
        <v>7.6006181075887816E-2</v>
      </c>
      <c r="D197" s="302">
        <v>0.23447282632672173</v>
      </c>
      <c r="E197" s="302">
        <f t="shared" ref="E197:E204" si="98">SUM(B197:D197)</f>
        <v>2.1895210580327822</v>
      </c>
      <c r="F197" s="303"/>
      <c r="G197" s="302">
        <v>2.1060105423412137</v>
      </c>
      <c r="H197" s="302">
        <v>3.8252236318475095E-2</v>
      </c>
      <c r="I197" s="302">
        <v>8.0569187576576301E-2</v>
      </c>
      <c r="J197" s="302">
        <f t="shared" ref="J197:J199" si="99">SUM(G197:I197)</f>
        <v>2.2248319662362648</v>
      </c>
      <c r="K197" s="303"/>
      <c r="L197" s="302">
        <v>2.6451490755402776</v>
      </c>
      <c r="M197" s="302">
        <v>5.4911613450854095E-2</v>
      </c>
      <c r="N197" s="302">
        <v>4.6412487236065461E-2</v>
      </c>
      <c r="O197" s="302">
        <f t="shared" ref="O197:O204" si="100">SUM(L197:N197)</f>
        <v>2.7464731762271972</v>
      </c>
    </row>
    <row r="198" spans="1:15" s="236" customFormat="1" x14ac:dyDescent="0.3">
      <c r="A198" s="237" t="str">
        <f>name!E$6</f>
        <v>Associate professional occupations</v>
      </c>
      <c r="B198" s="302">
        <v>0.80112135242112159</v>
      </c>
      <c r="C198" s="302">
        <v>6.9573947406294606E-2</v>
      </c>
      <c r="D198" s="302">
        <v>5.9554401570443498E-2</v>
      </c>
      <c r="E198" s="302">
        <f t="shared" si="98"/>
        <v>0.93024970139785967</v>
      </c>
      <c r="F198" s="303"/>
      <c r="G198" s="302">
        <v>0.8349019741704915</v>
      </c>
      <c r="H198" s="302">
        <v>3.1473503075918959E-2</v>
      </c>
      <c r="I198" s="302">
        <v>4.9552435927213243E-2</v>
      </c>
      <c r="J198" s="302">
        <f t="shared" si="99"/>
        <v>0.91592791317362376</v>
      </c>
      <c r="K198" s="303"/>
      <c r="L198" s="302">
        <v>0.90078394122932803</v>
      </c>
      <c r="M198" s="302">
        <v>4.0553849496423724E-2</v>
      </c>
      <c r="N198" s="302">
        <v>2.9252645349572424E-2</v>
      </c>
      <c r="O198" s="302">
        <f t="shared" si="100"/>
        <v>0.97059043607532414</v>
      </c>
    </row>
    <row r="199" spans="1:15" s="236" customFormat="1" x14ac:dyDescent="0.3">
      <c r="A199" s="237" t="str">
        <f>name!E$7</f>
        <v>Administrative and secretarial occupations</v>
      </c>
      <c r="B199" s="302">
        <v>0.30804415758326353</v>
      </c>
      <c r="C199" s="302">
        <v>4.0490732313418147E-2</v>
      </c>
      <c r="D199" s="302">
        <v>7.0500072500547821E-3</v>
      </c>
      <c r="E199" s="302">
        <f t="shared" si="98"/>
        <v>0.35558489714673647</v>
      </c>
      <c r="F199" s="303"/>
      <c r="G199" s="302">
        <v>0.25942915426336566</v>
      </c>
      <c r="H199" s="302">
        <v>1.5421522151380011E-2</v>
      </c>
      <c r="I199" s="302">
        <v>6.5719673744716158E-3</v>
      </c>
      <c r="J199" s="302">
        <f t="shared" si="99"/>
        <v>0.28142264378921727</v>
      </c>
      <c r="K199" s="303"/>
      <c r="L199" s="302">
        <v>0.21979747376610509</v>
      </c>
      <c r="M199" s="302">
        <v>1.2335036896643935E-2</v>
      </c>
      <c r="N199" s="302">
        <v>5.0186983522659163E-3</v>
      </c>
      <c r="O199" s="302">
        <f t="shared" si="100"/>
        <v>0.23715120901501496</v>
      </c>
    </row>
    <row r="200" spans="1:15" s="236" customFormat="1" x14ac:dyDescent="0.3">
      <c r="A200" s="237" t="str">
        <f>name!E$8</f>
        <v>Skilled trades occupations</v>
      </c>
      <c r="B200" s="302">
        <v>0.27500573888467705</v>
      </c>
      <c r="C200" s="302">
        <v>2.7989963842715876E-2</v>
      </c>
      <c r="D200" s="302">
        <v>1.0072679650666046E-2</v>
      </c>
      <c r="E200" s="302">
        <f t="shared" si="98"/>
        <v>0.31306838237805901</v>
      </c>
      <c r="F200" s="303"/>
      <c r="G200" s="302">
        <v>0.19715586369098115</v>
      </c>
      <c r="H200" s="302">
        <v>6.692965141267878E-3</v>
      </c>
      <c r="I200" s="302">
        <v>0.19870456148578478</v>
      </c>
      <c r="J200" s="302">
        <f>SUM(G200:I200)</f>
        <v>0.40255339031803383</v>
      </c>
      <c r="K200" s="303"/>
      <c r="L200" s="302">
        <v>0.18809928107801688</v>
      </c>
      <c r="M200" s="302">
        <v>1.5971564499249403E-2</v>
      </c>
      <c r="N200" s="302">
        <v>0.36300953346938603</v>
      </c>
      <c r="O200" s="302">
        <f t="shared" si="100"/>
        <v>0.56708037904665232</v>
      </c>
    </row>
    <row r="201" spans="1:15" s="236" customFormat="1" x14ac:dyDescent="0.3">
      <c r="A201" s="237" t="str">
        <f>name!E$9</f>
        <v>Caring, leisure and other service occupations</v>
      </c>
      <c r="B201" s="302">
        <v>7.9147315665148529E-2</v>
      </c>
      <c r="C201" s="302">
        <v>1.4088278200401148E-2</v>
      </c>
      <c r="D201" s="302">
        <v>5.6719272588179048E-2</v>
      </c>
      <c r="E201" s="302">
        <f t="shared" si="98"/>
        <v>0.14995486645372874</v>
      </c>
      <c r="F201" s="303"/>
      <c r="G201" s="302">
        <v>6.7017782639163276E-2</v>
      </c>
      <c r="H201" s="302">
        <v>4.9355009201551194E-3</v>
      </c>
      <c r="I201" s="302">
        <v>1.6839469092307234E-2</v>
      </c>
      <c r="J201" s="302">
        <f t="shared" ref="J201:J204" si="101">SUM(G201:I201)</f>
        <v>8.8792752651625617E-2</v>
      </c>
      <c r="K201" s="303"/>
      <c r="L201" s="302">
        <v>7.3945904505679755E-2</v>
      </c>
      <c r="M201" s="302">
        <v>6.2905380283520386E-3</v>
      </c>
      <c r="N201" s="302">
        <v>2.7201824637316185E-2</v>
      </c>
      <c r="O201" s="302">
        <f t="shared" si="100"/>
        <v>0.10743826717134798</v>
      </c>
    </row>
    <row r="202" spans="1:15" s="236" customFormat="1" x14ac:dyDescent="0.3">
      <c r="A202" s="237" t="str">
        <f>name!E$10</f>
        <v>Sales and customer service occupations</v>
      </c>
      <c r="B202" s="302">
        <v>9.6101357263690124E-2</v>
      </c>
      <c r="C202" s="302">
        <v>1.6799578249717763E-2</v>
      </c>
      <c r="D202" s="302">
        <v>1.2575036598559117E-2</v>
      </c>
      <c r="E202" s="302">
        <f t="shared" si="98"/>
        <v>0.12547597211196698</v>
      </c>
      <c r="F202" s="303"/>
      <c r="G202" s="302">
        <v>8.20035966743696E-2</v>
      </c>
      <c r="H202" s="302">
        <v>6.2075753478314788E-3</v>
      </c>
      <c r="I202" s="302">
        <v>1.8023505442257049E-2</v>
      </c>
      <c r="J202" s="302">
        <f t="shared" si="101"/>
        <v>0.10623467746445812</v>
      </c>
      <c r="K202" s="303"/>
      <c r="L202" s="302">
        <v>9.939986156734687E-2</v>
      </c>
      <c r="M202" s="302">
        <v>9.3208992860250497E-3</v>
      </c>
      <c r="N202" s="302">
        <v>1.5234141168845899E-2</v>
      </c>
      <c r="O202" s="302">
        <f t="shared" si="100"/>
        <v>0.12395490202221782</v>
      </c>
    </row>
    <row r="203" spans="1:15" s="236" customFormat="1" x14ac:dyDescent="0.3">
      <c r="A203" s="237" t="str">
        <f>name!E$11</f>
        <v>Process, plant and machine operatives</v>
      </c>
      <c r="B203" s="302">
        <v>0.44711563670429705</v>
      </c>
      <c r="C203" s="302">
        <v>3.3507063089605042E-2</v>
      </c>
      <c r="D203" s="302">
        <v>2.7552229505159856E-2</v>
      </c>
      <c r="E203" s="302">
        <f t="shared" si="98"/>
        <v>0.50817492929906194</v>
      </c>
      <c r="F203" s="303"/>
      <c r="G203" s="302">
        <v>0.29618086593498127</v>
      </c>
      <c r="H203" s="302">
        <v>1.1785401677119348E-2</v>
      </c>
      <c r="I203" s="302">
        <v>6.1935169543457194E-2</v>
      </c>
      <c r="J203" s="302">
        <f t="shared" si="101"/>
        <v>0.36990143715555779</v>
      </c>
      <c r="K203" s="303"/>
      <c r="L203" s="302">
        <v>0.3249993830813192</v>
      </c>
      <c r="M203" s="302">
        <v>2.9637093060651074E-2</v>
      </c>
      <c r="N203" s="302">
        <v>8.6494702212010596E-2</v>
      </c>
      <c r="O203" s="302">
        <f t="shared" si="100"/>
        <v>0.44113117835398091</v>
      </c>
    </row>
    <row r="204" spans="1:15" s="236" customFormat="1" x14ac:dyDescent="0.3">
      <c r="A204" s="237" t="str">
        <f>name!E$12</f>
        <v>Elementary occupations</v>
      </c>
      <c r="B204" s="302">
        <v>0.1669387306873289</v>
      </c>
      <c r="C204" s="302">
        <v>0.1019305969013525</v>
      </c>
      <c r="D204" s="302">
        <v>0.21519425025923428</v>
      </c>
      <c r="E204" s="302">
        <f t="shared" si="98"/>
        <v>0.4840635778479157</v>
      </c>
      <c r="F204" s="303"/>
      <c r="G204" s="302">
        <v>0.11042392463483859</v>
      </c>
      <c r="H204" s="302">
        <v>3.5444489498028767E-2</v>
      </c>
      <c r="I204" s="302">
        <v>4.5182652783347682E-2</v>
      </c>
      <c r="J204" s="302">
        <f t="shared" si="101"/>
        <v>0.19105106691621504</v>
      </c>
      <c r="K204" s="303"/>
      <c r="L204" s="302">
        <v>8.9965394090835621E-2</v>
      </c>
      <c r="M204" s="302">
        <v>4.6016572903177067E-2</v>
      </c>
      <c r="N204" s="302">
        <v>7.3845017370740285E-2</v>
      </c>
      <c r="O204" s="302">
        <f t="shared" si="100"/>
        <v>0.20982698436475297</v>
      </c>
    </row>
    <row r="205" spans="1:15" s="236" customFormat="1" x14ac:dyDescent="0.3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3">
      <c r="A206" s="244" t="s">
        <v>32</v>
      </c>
      <c r="B206" s="311">
        <f>SUM(B196:B204)</f>
        <v>4.7039999999646458</v>
      </c>
      <c r="C206" s="311">
        <f t="shared" ref="C206:E206" si="102">SUM(C196:C204)</f>
        <v>0.4100000000036581</v>
      </c>
      <c r="D206" s="311">
        <f t="shared" si="102"/>
        <v>0.64500000002497515</v>
      </c>
      <c r="E206" s="311">
        <f t="shared" si="102"/>
        <v>5.7589999999932795</v>
      </c>
      <c r="F206" s="311"/>
      <c r="G206" s="311">
        <f t="shared" ref="G206:J206" si="103">SUM(G196:G204)</f>
        <v>4.5949999999979303</v>
      </c>
      <c r="H206" s="311">
        <f t="shared" si="103"/>
        <v>0.16699999999954906</v>
      </c>
      <c r="I206" s="311">
        <f t="shared" si="103"/>
        <v>0.55599999999840588</v>
      </c>
      <c r="J206" s="311">
        <f t="shared" si="103"/>
        <v>5.3179999999958838</v>
      </c>
      <c r="K206" s="311"/>
      <c r="L206" s="311">
        <f t="shared" ref="L206:O206" si="104">SUM(L196:L204)</f>
        <v>5.2619999999994658</v>
      </c>
      <c r="M206" s="311">
        <f t="shared" si="104"/>
        <v>0.24099999999951488</v>
      </c>
      <c r="N206" s="311">
        <f t="shared" si="104"/>
        <v>0.74399999999171396</v>
      </c>
      <c r="O206" s="311">
        <f t="shared" si="104"/>
        <v>6.2469999999906944</v>
      </c>
    </row>
    <row r="207" spans="1:15" s="236" customFormat="1" x14ac:dyDescent="0.3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3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35</v>
      </c>
    </row>
    <row r="209" spans="1:15" s="236" customFormat="1" x14ac:dyDescent="0.3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3">
      <c r="A210" s="241" t="str">
        <f>name!A15</f>
        <v>Rubber and plastic</v>
      </c>
      <c r="B210" s="375">
        <f>$B$6</f>
        <v>2015</v>
      </c>
      <c r="C210" s="375"/>
      <c r="D210" s="375"/>
      <c r="E210" s="375"/>
      <c r="F210" s="263"/>
      <c r="G210" s="375">
        <f>$G$6</f>
        <v>2020</v>
      </c>
      <c r="H210" s="375"/>
      <c r="I210" s="375"/>
      <c r="J210" s="375"/>
      <c r="K210" s="263"/>
      <c r="L210" s="375">
        <f>$L$6</f>
        <v>2035</v>
      </c>
      <c r="M210" s="375"/>
      <c r="N210" s="375"/>
      <c r="O210" s="375"/>
    </row>
    <row r="211" spans="1:15" s="236" customFormat="1" x14ac:dyDescent="0.3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3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3">
      <c r="A213" s="237" t="str">
        <f>name!E$4</f>
        <v>Managers, directors and senior officials</v>
      </c>
      <c r="B213" s="302">
        <v>2.0826561224377356</v>
      </c>
      <c r="C213" s="302">
        <v>0.11031893664603155</v>
      </c>
      <c r="D213" s="302">
        <v>0.31704449452955025</v>
      </c>
      <c r="E213" s="302">
        <f>SUM(B213:D213)</f>
        <v>2.5100195536133176</v>
      </c>
      <c r="F213" s="303"/>
      <c r="G213" s="302">
        <v>2.1276426050571873</v>
      </c>
      <c r="H213" s="302">
        <v>0.26551442030943195</v>
      </c>
      <c r="I213" s="302">
        <v>0.19371832268603675</v>
      </c>
      <c r="J213" s="302">
        <f>SUM(G213:I213)</f>
        <v>2.5868753480526561</v>
      </c>
      <c r="K213" s="303"/>
      <c r="L213" s="302">
        <v>2.013309246699948</v>
      </c>
      <c r="M213" s="302">
        <v>0.30108495019711723</v>
      </c>
      <c r="N213" s="302">
        <v>0.16590244513142208</v>
      </c>
      <c r="O213" s="302">
        <f>SUM(L213:N213)</f>
        <v>2.4802966420284873</v>
      </c>
    </row>
    <row r="214" spans="1:15" s="236" customFormat="1" x14ac:dyDescent="0.3">
      <c r="A214" s="237" t="str">
        <f>name!E$5</f>
        <v>Professional occupations</v>
      </c>
      <c r="B214" s="302">
        <v>1.8697597308576417</v>
      </c>
      <c r="C214" s="302">
        <v>6.332616038286408E-2</v>
      </c>
      <c r="D214" s="302">
        <v>9.9915259220762193E-2</v>
      </c>
      <c r="E214" s="302">
        <f t="shared" ref="E214:E221" si="105">SUM(B214:D214)</f>
        <v>2.0330011504612679</v>
      </c>
      <c r="F214" s="303"/>
      <c r="G214" s="302">
        <v>2.1575112538344934</v>
      </c>
      <c r="H214" s="302">
        <v>0.15329299234225094</v>
      </c>
      <c r="I214" s="302">
        <v>5.1322633167655257E-2</v>
      </c>
      <c r="J214" s="302">
        <f t="shared" ref="J214:J216" si="106">SUM(G214:I214)</f>
        <v>2.3621268793443995</v>
      </c>
      <c r="K214" s="303"/>
      <c r="L214" s="302">
        <v>2.4095100153754503</v>
      </c>
      <c r="M214" s="302">
        <v>0.15691001154222062</v>
      </c>
      <c r="N214" s="302">
        <v>4.5931354482635411E-2</v>
      </c>
      <c r="O214" s="302">
        <f t="shared" ref="O214:O221" si="107">SUM(L214:N214)</f>
        <v>2.6123513814003063</v>
      </c>
    </row>
    <row r="215" spans="1:15" s="236" customFormat="1" x14ac:dyDescent="0.3">
      <c r="A215" s="237" t="str">
        <f>name!E$6</f>
        <v>Associate professional occupations</v>
      </c>
      <c r="B215" s="302">
        <v>1.7613022824968914</v>
      </c>
      <c r="C215" s="302">
        <v>0.10787810223568921</v>
      </c>
      <c r="D215" s="302">
        <v>0.11265113907821282</v>
      </c>
      <c r="E215" s="302">
        <f t="shared" si="105"/>
        <v>1.9818315238107933</v>
      </c>
      <c r="F215" s="303"/>
      <c r="G215" s="302">
        <v>1.8968256358039652</v>
      </c>
      <c r="H215" s="302">
        <v>0.18996896541020863</v>
      </c>
      <c r="I215" s="302">
        <v>4.6133852179953791E-2</v>
      </c>
      <c r="J215" s="302">
        <f t="shared" si="106"/>
        <v>2.1329284533941277</v>
      </c>
      <c r="K215" s="303"/>
      <c r="L215" s="302">
        <v>1.6690018789258085</v>
      </c>
      <c r="M215" s="302">
        <v>0.17061464529196718</v>
      </c>
      <c r="N215" s="302">
        <v>4.5043861987746202E-2</v>
      </c>
      <c r="O215" s="302">
        <f t="shared" si="107"/>
        <v>1.884660386205522</v>
      </c>
    </row>
    <row r="216" spans="1:15" s="236" customFormat="1" x14ac:dyDescent="0.3">
      <c r="A216" s="237" t="str">
        <f>name!E$7</f>
        <v>Administrative and secretarial occupations</v>
      </c>
      <c r="B216" s="302">
        <v>1.3602612377451797</v>
      </c>
      <c r="C216" s="302">
        <v>0.43726029093299529</v>
      </c>
      <c r="D216" s="302">
        <v>0.21634106222523747</v>
      </c>
      <c r="E216" s="302">
        <f t="shared" si="105"/>
        <v>2.0138625909034125</v>
      </c>
      <c r="F216" s="303"/>
      <c r="G216" s="302">
        <v>1.213363070303545</v>
      </c>
      <c r="H216" s="302">
        <v>0.48287344379824276</v>
      </c>
      <c r="I216" s="302">
        <v>3.9782731206142015E-2</v>
      </c>
      <c r="J216" s="302">
        <f t="shared" si="106"/>
        <v>1.7360192453079297</v>
      </c>
      <c r="K216" s="303"/>
      <c r="L216" s="302">
        <v>0.96901700126985635</v>
      </c>
      <c r="M216" s="302">
        <v>0.3152961373156824</v>
      </c>
      <c r="N216" s="302">
        <v>3.7479663442849226E-2</v>
      </c>
      <c r="O216" s="302">
        <f t="shared" si="107"/>
        <v>1.3217928020283878</v>
      </c>
    </row>
    <row r="217" spans="1:15" s="236" customFormat="1" x14ac:dyDescent="0.3">
      <c r="A217" s="237" t="str">
        <f>name!E$8</f>
        <v>Skilled trades occupations</v>
      </c>
      <c r="B217" s="302">
        <v>2.5221152425384239</v>
      </c>
      <c r="C217" s="302">
        <v>0.1209474718744499</v>
      </c>
      <c r="D217" s="302">
        <v>0.77207395907916598</v>
      </c>
      <c r="E217" s="302">
        <f t="shared" si="105"/>
        <v>3.4151366734920399</v>
      </c>
      <c r="F217" s="303"/>
      <c r="G217" s="302">
        <v>1.8550327791853485</v>
      </c>
      <c r="H217" s="302">
        <v>0.21579611898193299</v>
      </c>
      <c r="I217" s="302">
        <v>0.33313893845796227</v>
      </c>
      <c r="J217" s="302">
        <f>SUM(G217:I217)</f>
        <v>2.4039678366252439</v>
      </c>
      <c r="K217" s="303"/>
      <c r="L217" s="302">
        <v>1.5607877634514742</v>
      </c>
      <c r="M217" s="302">
        <v>0.29681565211640759</v>
      </c>
      <c r="N217" s="302">
        <v>0.36125219133427355</v>
      </c>
      <c r="O217" s="302">
        <f t="shared" si="107"/>
        <v>2.2188556069021552</v>
      </c>
    </row>
    <row r="218" spans="1:15" s="236" customFormat="1" x14ac:dyDescent="0.3">
      <c r="A218" s="237" t="str">
        <f>name!E$9</f>
        <v>Caring, leisure and other service occupations</v>
      </c>
      <c r="B218" s="302">
        <v>0.30160293842395225</v>
      </c>
      <c r="C218" s="302">
        <v>9.2820787445771366E-2</v>
      </c>
      <c r="D218" s="302">
        <v>1.5813864325049429E-2</v>
      </c>
      <c r="E218" s="302">
        <f t="shared" si="105"/>
        <v>0.41023759019477307</v>
      </c>
      <c r="F218" s="303"/>
      <c r="G218" s="302">
        <v>0.3013234976497115</v>
      </c>
      <c r="H218" s="302">
        <v>0.13342176811780876</v>
      </c>
      <c r="I218" s="302">
        <v>5.5518032493282526E-3</v>
      </c>
      <c r="J218" s="302">
        <f t="shared" ref="J218:J221" si="108">SUM(G218:I218)</f>
        <v>0.44029706901684851</v>
      </c>
      <c r="K218" s="303"/>
      <c r="L218" s="302">
        <v>0.42736907876488522</v>
      </c>
      <c r="M218" s="302">
        <v>0.13003017005177059</v>
      </c>
      <c r="N218" s="302">
        <v>7.0128414604944938E-3</v>
      </c>
      <c r="O218" s="302">
        <f t="shared" si="107"/>
        <v>0.56441209027715034</v>
      </c>
    </row>
    <row r="219" spans="1:15" s="236" customFormat="1" x14ac:dyDescent="0.3">
      <c r="A219" s="237" t="str">
        <f>name!E$10</f>
        <v>Sales and customer service occupations</v>
      </c>
      <c r="B219" s="302">
        <v>0.52947134775818328</v>
      </c>
      <c r="C219" s="302">
        <v>0.11220640167247811</v>
      </c>
      <c r="D219" s="302">
        <v>5.2768116391573076E-2</v>
      </c>
      <c r="E219" s="302">
        <f t="shared" si="105"/>
        <v>0.69444586582223444</v>
      </c>
      <c r="F219" s="303"/>
      <c r="G219" s="302">
        <v>0.45363357520796616</v>
      </c>
      <c r="H219" s="302">
        <v>0.13811331588780604</v>
      </c>
      <c r="I219" s="302">
        <v>1.1682922701048766E-2</v>
      </c>
      <c r="J219" s="302">
        <f t="shared" si="108"/>
        <v>0.60342981379682092</v>
      </c>
      <c r="K219" s="303"/>
      <c r="L219" s="302">
        <v>0.4584941449904113</v>
      </c>
      <c r="M219" s="302">
        <v>0.11749054516389912</v>
      </c>
      <c r="N219" s="302">
        <v>6.5445301479725602E-3</v>
      </c>
      <c r="O219" s="302">
        <f t="shared" si="107"/>
        <v>0.58252922030228294</v>
      </c>
    </row>
    <row r="220" spans="1:15" s="236" customFormat="1" x14ac:dyDescent="0.3">
      <c r="A220" s="237" t="str">
        <f>name!E$11</f>
        <v>Process, plant and machine operatives</v>
      </c>
      <c r="B220" s="302">
        <v>3.7016604965048576</v>
      </c>
      <c r="C220" s="302">
        <v>0.28117461410419442</v>
      </c>
      <c r="D220" s="302">
        <v>0.157792780694643</v>
      </c>
      <c r="E220" s="302">
        <f t="shared" si="105"/>
        <v>4.1406278913036951</v>
      </c>
      <c r="F220" s="303"/>
      <c r="G220" s="302">
        <v>2.6584298019939019</v>
      </c>
      <c r="H220" s="302">
        <v>0.46565496534265666</v>
      </c>
      <c r="I220" s="302">
        <v>8.1549293902044989E-2</v>
      </c>
      <c r="J220" s="302">
        <f t="shared" si="108"/>
        <v>3.2056340612386034</v>
      </c>
      <c r="K220" s="303"/>
      <c r="L220" s="302">
        <v>2.4771694090747451</v>
      </c>
      <c r="M220" s="302">
        <v>0.65934141582318306</v>
      </c>
      <c r="N220" s="302">
        <v>8.1746837789395579E-2</v>
      </c>
      <c r="O220" s="302">
        <f t="shared" si="107"/>
        <v>3.2182576626873236</v>
      </c>
    </row>
    <row r="221" spans="1:15" s="236" customFormat="1" x14ac:dyDescent="0.3">
      <c r="A221" s="237" t="str">
        <f>name!E$12</f>
        <v>Elementary occupations</v>
      </c>
      <c r="B221" s="302">
        <v>1.3261706011985377</v>
      </c>
      <c r="C221" s="302">
        <v>0.2770672347371847</v>
      </c>
      <c r="D221" s="302">
        <v>0.10959932444097606</v>
      </c>
      <c r="E221" s="302">
        <f t="shared" si="105"/>
        <v>1.7128371603766985</v>
      </c>
      <c r="F221" s="303"/>
      <c r="G221" s="302">
        <v>0.95123778095901845</v>
      </c>
      <c r="H221" s="302">
        <v>0.31436400980254425</v>
      </c>
      <c r="I221" s="302">
        <v>1.5119502442147556E-2</v>
      </c>
      <c r="J221" s="302">
        <f t="shared" si="108"/>
        <v>1.2807212932037102</v>
      </c>
      <c r="K221" s="303"/>
      <c r="L221" s="302">
        <v>0.63934146152523208</v>
      </c>
      <c r="M221" s="302">
        <v>0.20841647249370984</v>
      </c>
      <c r="N221" s="302">
        <v>5.086274212081565E-3</v>
      </c>
      <c r="O221" s="302">
        <f t="shared" si="107"/>
        <v>0.85284420823102347</v>
      </c>
    </row>
    <row r="222" spans="1:15" s="236" customFormat="1" x14ac:dyDescent="0.3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3">
      <c r="A223" s="244" t="s">
        <v>32</v>
      </c>
      <c r="B223" s="311">
        <f>SUM(B213:B221)</f>
        <v>15.454999999961403</v>
      </c>
      <c r="C223" s="311">
        <f t="shared" ref="C223:E223" si="109">SUM(C213:C221)</f>
        <v>1.6030000000316587</v>
      </c>
      <c r="D223" s="311">
        <f t="shared" si="109"/>
        <v>1.8539999999851702</v>
      </c>
      <c r="E223" s="311">
        <f t="shared" si="109"/>
        <v>18.911999999978232</v>
      </c>
      <c r="F223" s="311"/>
      <c r="G223" s="311">
        <f t="shared" ref="G223:J223" si="110">SUM(G213:G221)</f>
        <v>13.61499999999514</v>
      </c>
      <c r="H223" s="311">
        <f t="shared" si="110"/>
        <v>2.358999999992883</v>
      </c>
      <c r="I223" s="311">
        <f t="shared" si="110"/>
        <v>0.77799999999231961</v>
      </c>
      <c r="J223" s="311">
        <f t="shared" si="110"/>
        <v>16.751999999980338</v>
      </c>
      <c r="K223" s="311"/>
      <c r="L223" s="311">
        <f t="shared" ref="L223:O223" si="111">SUM(L213:L221)</f>
        <v>12.62400000007781</v>
      </c>
      <c r="M223" s="311">
        <f t="shared" si="111"/>
        <v>2.3559999999959573</v>
      </c>
      <c r="N223" s="311">
        <f t="shared" si="111"/>
        <v>0.75599999998887069</v>
      </c>
      <c r="O223" s="311">
        <f t="shared" si="111"/>
        <v>15.736000000062637</v>
      </c>
    </row>
    <row r="224" spans="1:15" s="236" customFormat="1" x14ac:dyDescent="0.3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3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35</v>
      </c>
    </row>
    <row r="226" spans="1:15" s="236" customFormat="1" x14ac:dyDescent="0.3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3">
      <c r="A227" s="241" t="str">
        <f>name!A16</f>
        <v>Other non-metallic</v>
      </c>
      <c r="B227" s="375">
        <f>$B$6</f>
        <v>2015</v>
      </c>
      <c r="C227" s="375"/>
      <c r="D227" s="375"/>
      <c r="E227" s="375"/>
      <c r="F227" s="263"/>
      <c r="G227" s="375">
        <f>$G$6</f>
        <v>2020</v>
      </c>
      <c r="H227" s="375"/>
      <c r="I227" s="375"/>
      <c r="J227" s="375"/>
      <c r="K227" s="263"/>
      <c r="L227" s="375">
        <f>$L$6</f>
        <v>2035</v>
      </c>
      <c r="M227" s="375"/>
      <c r="N227" s="375"/>
      <c r="O227" s="375"/>
    </row>
    <row r="228" spans="1:15" s="236" customFormat="1" x14ac:dyDescent="0.3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3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3">
      <c r="A230" s="237" t="str">
        <f>name!E$4</f>
        <v>Managers, directors and senior officials</v>
      </c>
      <c r="B230" s="302">
        <v>0.64538973930703714</v>
      </c>
      <c r="C230" s="302">
        <v>4.3975426776841964E-2</v>
      </c>
      <c r="D230" s="302">
        <v>7.2764744536050641E-2</v>
      </c>
      <c r="E230" s="302">
        <f>SUM(B230:D230)</f>
        <v>0.76212991061992974</v>
      </c>
      <c r="F230" s="303"/>
      <c r="G230" s="302">
        <v>0.89137889840464579</v>
      </c>
      <c r="H230" s="302">
        <v>3.6856028685225355E-2</v>
      </c>
      <c r="I230" s="302">
        <v>3.2750767612604953E-2</v>
      </c>
      <c r="J230" s="302">
        <f>SUM(G230:I230)</f>
        <v>0.96098569470247608</v>
      </c>
      <c r="K230" s="303"/>
      <c r="L230" s="302">
        <v>0.82831535694130953</v>
      </c>
      <c r="M230" s="302">
        <v>4.153200663223857E-2</v>
      </c>
      <c r="N230" s="302">
        <v>3.276356899067219E-2</v>
      </c>
      <c r="O230" s="302">
        <f>SUM(L230:N230)</f>
        <v>0.90261093256422031</v>
      </c>
    </row>
    <row r="231" spans="1:15" s="236" customFormat="1" x14ac:dyDescent="0.3">
      <c r="A231" s="237" t="str">
        <f>name!E$5</f>
        <v>Professional occupations</v>
      </c>
      <c r="B231" s="302">
        <v>0.47205510446228899</v>
      </c>
      <c r="C231" s="302">
        <v>8.6720320380796342E-2</v>
      </c>
      <c r="D231" s="302">
        <v>1.7696458368378722E-2</v>
      </c>
      <c r="E231" s="302">
        <f t="shared" ref="E231:E238" si="112">SUM(B231:D231)</f>
        <v>0.57647188321146403</v>
      </c>
      <c r="F231" s="303"/>
      <c r="G231" s="302">
        <v>0.73739131337824027</v>
      </c>
      <c r="H231" s="302">
        <v>8.5403501956648087E-2</v>
      </c>
      <c r="I231" s="302">
        <v>6.4714779772030752E-3</v>
      </c>
      <c r="J231" s="302">
        <f t="shared" ref="J231:J233" si="113">SUM(G231:I231)</f>
        <v>0.82926629331209134</v>
      </c>
      <c r="K231" s="303"/>
      <c r="L231" s="302">
        <v>0.81838836799035242</v>
      </c>
      <c r="M231" s="302">
        <v>0.10498302639816642</v>
      </c>
      <c r="N231" s="302">
        <v>4.8602474635536996E-3</v>
      </c>
      <c r="O231" s="302">
        <f t="shared" ref="O231:O238" si="114">SUM(L231:N231)</f>
        <v>0.92823164185207263</v>
      </c>
    </row>
    <row r="232" spans="1:15" s="236" customFormat="1" x14ac:dyDescent="0.3">
      <c r="A232" s="237" t="str">
        <f>name!E$6</f>
        <v>Associate professional occupations</v>
      </c>
      <c r="B232" s="302">
        <v>0.47683684986598085</v>
      </c>
      <c r="C232" s="302">
        <v>8.2635818229408936E-2</v>
      </c>
      <c r="D232" s="302">
        <v>1.8297326773086854E-2</v>
      </c>
      <c r="E232" s="302">
        <f t="shared" si="112"/>
        <v>0.57776999486847658</v>
      </c>
      <c r="F232" s="303"/>
      <c r="G232" s="302">
        <v>0.65886229713584976</v>
      </c>
      <c r="H232" s="302">
        <v>5.4209970946330864E-2</v>
      </c>
      <c r="I232" s="302">
        <v>6.0062478324182144E-3</v>
      </c>
      <c r="J232" s="302">
        <f t="shared" si="113"/>
        <v>0.71907851591459881</v>
      </c>
      <c r="K232" s="303"/>
      <c r="L232" s="302">
        <v>0.62331173112412608</v>
      </c>
      <c r="M232" s="302">
        <v>4.3909318123365994E-2</v>
      </c>
      <c r="N232" s="302">
        <v>5.186615604800781E-3</v>
      </c>
      <c r="O232" s="302">
        <f t="shared" si="114"/>
        <v>0.67240766485229286</v>
      </c>
    </row>
    <row r="233" spans="1:15" s="236" customFormat="1" x14ac:dyDescent="0.3">
      <c r="A233" s="237" t="str">
        <f>name!E$7</f>
        <v>Administrative and secretarial occupations</v>
      </c>
      <c r="B233" s="302">
        <v>0.16684415626823862</v>
      </c>
      <c r="C233" s="302">
        <v>0.26350819590545382</v>
      </c>
      <c r="D233" s="302">
        <v>2.0270356036459086E-2</v>
      </c>
      <c r="E233" s="302">
        <f t="shared" si="112"/>
        <v>0.45062270821015155</v>
      </c>
      <c r="F233" s="303"/>
      <c r="G233" s="302">
        <v>0.20796950864635294</v>
      </c>
      <c r="H233" s="302">
        <v>0.10435335301784723</v>
      </c>
      <c r="I233" s="302">
        <v>4.8739493440365586E-3</v>
      </c>
      <c r="J233" s="302">
        <f t="shared" si="113"/>
        <v>0.31719681100823677</v>
      </c>
      <c r="K233" s="303"/>
      <c r="L233" s="302">
        <v>0.14628329922895636</v>
      </c>
      <c r="M233" s="302">
        <v>6.7675057498432681E-2</v>
      </c>
      <c r="N233" s="302">
        <v>3.2457472429959703E-3</v>
      </c>
      <c r="O233" s="302">
        <f t="shared" si="114"/>
        <v>0.21720410397038503</v>
      </c>
    </row>
    <row r="234" spans="1:15" s="236" customFormat="1" x14ac:dyDescent="0.3">
      <c r="A234" s="237" t="str">
        <f>name!E$8</f>
        <v>Skilled trades occupations</v>
      </c>
      <c r="B234" s="302">
        <v>0.70935236350292807</v>
      </c>
      <c r="C234" s="302">
        <v>5.2130597867246012E-2</v>
      </c>
      <c r="D234" s="302">
        <v>0.29307301211524289</v>
      </c>
      <c r="E234" s="302">
        <f t="shared" si="112"/>
        <v>1.0545559734854171</v>
      </c>
      <c r="F234" s="303"/>
      <c r="G234" s="302">
        <v>0.72855307538250991</v>
      </c>
      <c r="H234" s="302">
        <v>2.7008052083807368E-2</v>
      </c>
      <c r="I234" s="302">
        <v>8.998052304744307E-2</v>
      </c>
      <c r="J234" s="302">
        <f>SUM(G234:I234)</f>
        <v>0.8455416505137604</v>
      </c>
      <c r="K234" s="303"/>
      <c r="L234" s="302">
        <v>0.56002269621163658</v>
      </c>
      <c r="M234" s="302">
        <v>4.2487675426861098E-2</v>
      </c>
      <c r="N234" s="302">
        <v>0.12870837708914756</v>
      </c>
      <c r="O234" s="302">
        <f t="shared" si="114"/>
        <v>0.73121874872764514</v>
      </c>
    </row>
    <row r="235" spans="1:15" s="236" customFormat="1" x14ac:dyDescent="0.3">
      <c r="A235" s="237" t="str">
        <f>name!E$9</f>
        <v>Caring, leisure and other service occupations</v>
      </c>
      <c r="B235" s="302">
        <v>7.1166687922670988E-2</v>
      </c>
      <c r="C235" s="302">
        <v>3.4730587621505715E-2</v>
      </c>
      <c r="D235" s="302">
        <v>8.1532003546160164E-3</v>
      </c>
      <c r="E235" s="302">
        <f t="shared" si="112"/>
        <v>0.11405047589879272</v>
      </c>
      <c r="F235" s="303"/>
      <c r="G235" s="302">
        <v>8.782513885644129E-2</v>
      </c>
      <c r="H235" s="302">
        <v>1.1489812313193978E-2</v>
      </c>
      <c r="I235" s="302">
        <v>2.6688235833470923E-3</v>
      </c>
      <c r="J235" s="302">
        <f t="shared" ref="J235:J238" si="115">SUM(G235:I235)</f>
        <v>0.10198377475298236</v>
      </c>
      <c r="K235" s="303"/>
      <c r="L235" s="302">
        <v>0.11033526511810528</v>
      </c>
      <c r="M235" s="302">
        <v>7.1497049579726793E-3</v>
      </c>
      <c r="N235" s="302">
        <v>3.6736269938915356E-3</v>
      </c>
      <c r="O235" s="302">
        <f t="shared" si="114"/>
        <v>0.1211585970699695</v>
      </c>
    </row>
    <row r="236" spans="1:15" s="236" customFormat="1" x14ac:dyDescent="0.3">
      <c r="A236" s="237" t="str">
        <f>name!E$10</f>
        <v>Sales and customer service occupations</v>
      </c>
      <c r="B236" s="302">
        <v>0.13937604310217905</v>
      </c>
      <c r="C236" s="302">
        <v>0.17590121749876567</v>
      </c>
      <c r="D236" s="302">
        <v>2.8526642173140052E-2</v>
      </c>
      <c r="E236" s="302">
        <f t="shared" si="112"/>
        <v>0.34380390277408479</v>
      </c>
      <c r="F236" s="303"/>
      <c r="G236" s="302">
        <v>0.15882252140290223</v>
      </c>
      <c r="H236" s="302">
        <v>6.3019149023024079E-2</v>
      </c>
      <c r="I236" s="302">
        <v>6.5941040657233147E-3</v>
      </c>
      <c r="J236" s="302">
        <f t="shared" si="115"/>
        <v>0.22843577449164962</v>
      </c>
      <c r="K236" s="303"/>
      <c r="L236" s="302">
        <v>0.15401953046170275</v>
      </c>
      <c r="M236" s="302">
        <v>6.945029132266102E-2</v>
      </c>
      <c r="N236" s="302">
        <v>5.7209444754229609E-3</v>
      </c>
      <c r="O236" s="302">
        <f t="shared" si="114"/>
        <v>0.22919076625978671</v>
      </c>
    </row>
    <row r="237" spans="1:15" s="236" customFormat="1" x14ac:dyDescent="0.3">
      <c r="A237" s="237" t="str">
        <f>name!E$11</f>
        <v>Process, plant and machine operatives</v>
      </c>
      <c r="B237" s="302">
        <v>1.1847697330736606</v>
      </c>
      <c r="C237" s="302">
        <v>5.8778232712508996E-2</v>
      </c>
      <c r="D237" s="302">
        <v>4.6519058984053042E-2</v>
      </c>
      <c r="E237" s="302">
        <f t="shared" si="112"/>
        <v>1.2900670247702226</v>
      </c>
      <c r="F237" s="303"/>
      <c r="G237" s="302">
        <v>1.181991624267732</v>
      </c>
      <c r="H237" s="302">
        <v>2.333084852218504E-2</v>
      </c>
      <c r="I237" s="302">
        <v>1.8444987936407791E-2</v>
      </c>
      <c r="J237" s="302">
        <f t="shared" si="115"/>
        <v>1.2237674607263247</v>
      </c>
      <c r="K237" s="303"/>
      <c r="L237" s="302">
        <v>1.1547163013061619</v>
      </c>
      <c r="M237" s="302">
        <v>4.7485332988463268E-2</v>
      </c>
      <c r="N237" s="302">
        <v>1.9004996838195756E-2</v>
      </c>
      <c r="O237" s="302">
        <f t="shared" si="114"/>
        <v>1.2212066311328209</v>
      </c>
    </row>
    <row r="238" spans="1:15" s="236" customFormat="1" x14ac:dyDescent="0.3">
      <c r="A238" s="237" t="str">
        <f>name!E$12</f>
        <v>Elementary occupations</v>
      </c>
      <c r="B238" s="302">
        <v>0.21220932248379648</v>
      </c>
      <c r="C238" s="302">
        <v>0.37661960304191083</v>
      </c>
      <c r="D238" s="302">
        <v>4.2699200657770033E-2</v>
      </c>
      <c r="E238" s="302">
        <f t="shared" si="112"/>
        <v>0.63152812618347731</v>
      </c>
      <c r="F238" s="303"/>
      <c r="G238" s="302">
        <v>0.20620562253459315</v>
      </c>
      <c r="H238" s="302">
        <v>0.11632928344921398</v>
      </c>
      <c r="I238" s="302">
        <v>9.2091185990504105E-3</v>
      </c>
      <c r="J238" s="302">
        <f t="shared" si="115"/>
        <v>0.33174402458285757</v>
      </c>
      <c r="K238" s="303"/>
      <c r="L238" s="302">
        <v>0.12860745165160842</v>
      </c>
      <c r="M238" s="302">
        <v>9.7327586646229536E-2</v>
      </c>
      <c r="N238" s="302">
        <v>9.8358752983609115E-3</v>
      </c>
      <c r="O238" s="302">
        <f t="shared" si="114"/>
        <v>0.23577091359619887</v>
      </c>
    </row>
    <row r="239" spans="1:15" s="236" customFormat="1" x14ac:dyDescent="0.3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3">
      <c r="A240" s="244" t="s">
        <v>32</v>
      </c>
      <c r="B240" s="311">
        <f>SUM(B230:B238)</f>
        <v>4.0779999999887808</v>
      </c>
      <c r="C240" s="311">
        <f t="shared" ref="C240:E240" si="116">SUM(C230:C238)</f>
        <v>1.1750000000344383</v>
      </c>
      <c r="D240" s="311">
        <f t="shared" si="116"/>
        <v>0.54799999999879723</v>
      </c>
      <c r="E240" s="311">
        <f t="shared" si="116"/>
        <v>5.8010000000220163</v>
      </c>
      <c r="F240" s="311"/>
      <c r="G240" s="311">
        <f t="shared" ref="G240:J240" si="117">SUM(G230:G238)</f>
        <v>4.8590000000092681</v>
      </c>
      <c r="H240" s="311">
        <f t="shared" si="117"/>
        <v>0.52199999999747593</v>
      </c>
      <c r="I240" s="311">
        <f t="shared" si="117"/>
        <v>0.17699999999823446</v>
      </c>
      <c r="J240" s="311">
        <f t="shared" si="117"/>
        <v>5.5580000000049772</v>
      </c>
      <c r="K240" s="311"/>
      <c r="L240" s="311">
        <f t="shared" ref="L240:O240" si="118">SUM(L230:L238)</f>
        <v>4.5240000000339586</v>
      </c>
      <c r="M240" s="311">
        <f t="shared" si="118"/>
        <v>0.52199999999439117</v>
      </c>
      <c r="N240" s="311">
        <f t="shared" si="118"/>
        <v>0.21299999999704136</v>
      </c>
      <c r="O240" s="311">
        <f t="shared" si="118"/>
        <v>5.2590000000253925</v>
      </c>
    </row>
    <row r="241" spans="1:15" s="236" customFormat="1" x14ac:dyDescent="0.3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3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35</v>
      </c>
    </row>
    <row r="243" spans="1:15" s="236" customFormat="1" x14ac:dyDescent="0.3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3">
      <c r="A244" s="241" t="str">
        <f>name!A17</f>
        <v>Basic metals</v>
      </c>
      <c r="B244" s="375">
        <f>$B$6</f>
        <v>2015</v>
      </c>
      <c r="C244" s="375"/>
      <c r="D244" s="375"/>
      <c r="E244" s="375"/>
      <c r="F244" s="263"/>
      <c r="G244" s="375">
        <f>$G$6</f>
        <v>2020</v>
      </c>
      <c r="H244" s="375"/>
      <c r="I244" s="375"/>
      <c r="J244" s="375"/>
      <c r="K244" s="263"/>
      <c r="L244" s="375">
        <f>$L$6</f>
        <v>2035</v>
      </c>
      <c r="M244" s="375"/>
      <c r="N244" s="375"/>
      <c r="O244" s="375"/>
    </row>
    <row r="245" spans="1:15" s="236" customFormat="1" x14ac:dyDescent="0.3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3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3">
      <c r="A247" s="237" t="str">
        <f>name!E$4</f>
        <v>Managers, directors and senior officials</v>
      </c>
      <c r="B247" s="302">
        <v>0.20604278196872991</v>
      </c>
      <c r="C247" s="302">
        <v>5.9640575129724952E-3</v>
      </c>
      <c r="D247" s="302">
        <v>2.5912404821711223E-2</v>
      </c>
      <c r="E247" s="302">
        <f>SUM(B247:D247)</f>
        <v>0.23791924430341363</v>
      </c>
      <c r="F247" s="303"/>
      <c r="G247" s="302">
        <v>0.20972454995399858</v>
      </c>
      <c r="H247" s="302">
        <v>6.9710768653706692E-2</v>
      </c>
      <c r="I247" s="302">
        <v>1.5293891718041708E-2</v>
      </c>
      <c r="J247" s="302">
        <f>SUM(G247:I247)</f>
        <v>0.29472921032574695</v>
      </c>
      <c r="K247" s="303"/>
      <c r="L247" s="302">
        <v>0.17842964309882023</v>
      </c>
      <c r="M247" s="302">
        <v>5.8389281341370482E-2</v>
      </c>
      <c r="N247" s="302">
        <v>1.5121877242291705E-2</v>
      </c>
      <c r="O247" s="302">
        <f>SUM(L247:N247)</f>
        <v>0.2519408016824824</v>
      </c>
    </row>
    <row r="248" spans="1:15" s="236" customFormat="1" x14ac:dyDescent="0.3">
      <c r="A248" s="237" t="str">
        <f>name!E$5</f>
        <v>Professional occupations</v>
      </c>
      <c r="B248" s="302">
        <v>0.21333372987299076</v>
      </c>
      <c r="C248" s="302">
        <v>4.1005867162889264E-3</v>
      </c>
      <c r="D248" s="302">
        <v>1.1250748780319331E-2</v>
      </c>
      <c r="E248" s="302">
        <f t="shared" ref="E248:E255" si="119">SUM(B248:D248)</f>
        <v>0.22868506536959904</v>
      </c>
      <c r="F248" s="303"/>
      <c r="G248" s="302">
        <v>0.24189949664719246</v>
      </c>
      <c r="H248" s="302">
        <v>5.4227153507613722E-2</v>
      </c>
      <c r="I248" s="302">
        <v>5.2095856545136742E-3</v>
      </c>
      <c r="J248" s="302">
        <f t="shared" ref="J248:J250" si="120">SUM(G248:I248)</f>
        <v>0.30133623580931984</v>
      </c>
      <c r="K248" s="303"/>
      <c r="L248" s="302">
        <v>0.23473673174349879</v>
      </c>
      <c r="M248" s="302">
        <v>4.2032403400773001E-2</v>
      </c>
      <c r="N248" s="302">
        <v>4.1106656827624112E-3</v>
      </c>
      <c r="O248" s="302">
        <f t="shared" ref="O248:O255" si="121">SUM(L248:N248)</f>
        <v>0.28087980082703423</v>
      </c>
    </row>
    <row r="249" spans="1:15" s="236" customFormat="1" x14ac:dyDescent="0.3">
      <c r="A249" s="237" t="str">
        <f>name!E$6</f>
        <v>Associate professional occupations</v>
      </c>
      <c r="B249" s="302">
        <v>0.19293242404533742</v>
      </c>
      <c r="C249" s="302">
        <v>4.4122709581812056E-3</v>
      </c>
      <c r="D249" s="302">
        <v>7.9112054433316502E-3</v>
      </c>
      <c r="E249" s="302">
        <f t="shared" si="119"/>
        <v>0.20525590044685027</v>
      </c>
      <c r="F249" s="303"/>
      <c r="G249" s="302">
        <v>0.202572084487985</v>
      </c>
      <c r="H249" s="302">
        <v>4.0186757040285924E-2</v>
      </c>
      <c r="I249" s="302">
        <v>3.7270419544700199E-3</v>
      </c>
      <c r="J249" s="302">
        <f t="shared" si="120"/>
        <v>0.24648588348274095</v>
      </c>
      <c r="K249" s="303"/>
      <c r="L249" s="302">
        <v>0.16742300617765488</v>
      </c>
      <c r="M249" s="302">
        <v>2.6246535247119625E-2</v>
      </c>
      <c r="N249" s="302">
        <v>3.6461482029013109E-3</v>
      </c>
      <c r="O249" s="302">
        <f t="shared" si="121"/>
        <v>0.19731568962767582</v>
      </c>
    </row>
    <row r="250" spans="1:15" s="236" customFormat="1" x14ac:dyDescent="0.3">
      <c r="A250" s="237" t="str">
        <f>name!E$7</f>
        <v>Administrative and secretarial occupations</v>
      </c>
      <c r="B250" s="302">
        <v>0.14100428864339115</v>
      </c>
      <c r="C250" s="302">
        <v>2.0558894208068768E-2</v>
      </c>
      <c r="D250" s="302">
        <v>4.0529207068410213E-3</v>
      </c>
      <c r="E250" s="302">
        <f t="shared" si="119"/>
        <v>0.16561610355830095</v>
      </c>
      <c r="F250" s="303"/>
      <c r="G250" s="302">
        <v>0.11941752353724996</v>
      </c>
      <c r="H250" s="302">
        <v>0.11027803542937466</v>
      </c>
      <c r="I250" s="302">
        <v>2.3001191381182614E-3</v>
      </c>
      <c r="J250" s="302">
        <f t="shared" si="120"/>
        <v>0.23199567810474289</v>
      </c>
      <c r="K250" s="303"/>
      <c r="L250" s="302">
        <v>0.1039761870696418</v>
      </c>
      <c r="M250" s="302">
        <v>8.0058329991206517E-2</v>
      </c>
      <c r="N250" s="302">
        <v>2.0273937070353458E-3</v>
      </c>
      <c r="O250" s="302">
        <f t="shared" si="121"/>
        <v>0.18606191076788367</v>
      </c>
    </row>
    <row r="251" spans="1:15" s="236" customFormat="1" x14ac:dyDescent="0.3">
      <c r="A251" s="237" t="str">
        <f>name!E$8</f>
        <v>Skilled trades occupations</v>
      </c>
      <c r="B251" s="302">
        <v>0.79469100594614794</v>
      </c>
      <c r="C251" s="302">
        <v>1.0224311891211705E-2</v>
      </c>
      <c r="D251" s="302">
        <v>2.7577899117882033E-2</v>
      </c>
      <c r="E251" s="302">
        <f t="shared" si="119"/>
        <v>0.8324932169552417</v>
      </c>
      <c r="F251" s="303"/>
      <c r="G251" s="302">
        <v>0.60155093683595362</v>
      </c>
      <c r="H251" s="302">
        <v>6.4682415494784609E-2</v>
      </c>
      <c r="I251" s="302">
        <v>1.0212146829152962E-2</v>
      </c>
      <c r="J251" s="302">
        <f>SUM(G251:I251)</f>
        <v>0.67644549915989116</v>
      </c>
      <c r="K251" s="303"/>
      <c r="L251" s="302">
        <v>0.44157313272245552</v>
      </c>
      <c r="M251" s="302">
        <v>7.8376051825521681E-2</v>
      </c>
      <c r="N251" s="302">
        <v>1.0954786944006754E-2</v>
      </c>
      <c r="O251" s="302">
        <f t="shared" si="121"/>
        <v>0.53090397149198398</v>
      </c>
    </row>
    <row r="252" spans="1:15" s="236" customFormat="1" x14ac:dyDescent="0.3">
      <c r="A252" s="237" t="str">
        <f>name!E$9</f>
        <v>Caring, leisure and other service occupations</v>
      </c>
      <c r="B252" s="302">
        <v>2.8645531268228341E-2</v>
      </c>
      <c r="C252" s="302">
        <v>1.0163418265886992E-3</v>
      </c>
      <c r="D252" s="302">
        <v>6.625290601779668E-4</v>
      </c>
      <c r="E252" s="302">
        <f t="shared" si="119"/>
        <v>3.0324402154995007E-2</v>
      </c>
      <c r="F252" s="303"/>
      <c r="G252" s="302">
        <v>2.7870093529941187E-2</v>
      </c>
      <c r="H252" s="302">
        <v>8.7524162008723472E-3</v>
      </c>
      <c r="I252" s="302">
        <v>3.4384914395156727E-4</v>
      </c>
      <c r="J252" s="302">
        <f t="shared" ref="J252:J255" si="122">SUM(G252:I252)</f>
        <v>3.6966358874765098E-2</v>
      </c>
      <c r="K252" s="303"/>
      <c r="L252" s="302">
        <v>3.1057124682043389E-2</v>
      </c>
      <c r="M252" s="302">
        <v>6.3444010974782116E-3</v>
      </c>
      <c r="N252" s="302">
        <v>5.1492594728204432E-4</v>
      </c>
      <c r="O252" s="302">
        <f t="shared" si="121"/>
        <v>3.7916451726803642E-2</v>
      </c>
    </row>
    <row r="253" spans="1:15" s="236" customFormat="1" x14ac:dyDescent="0.3">
      <c r="A253" s="237" t="str">
        <f>name!E$10</f>
        <v>Sales and customer service occupations</v>
      </c>
      <c r="B253" s="302">
        <v>3.2705352428994694E-2</v>
      </c>
      <c r="C253" s="302">
        <v>2.4788936638948868E-3</v>
      </c>
      <c r="D253" s="302">
        <v>2.8633038390715004E-3</v>
      </c>
      <c r="E253" s="302">
        <f t="shared" si="119"/>
        <v>3.8047549931961078E-2</v>
      </c>
      <c r="F253" s="303"/>
      <c r="G253" s="302">
        <v>2.8464024725499613E-2</v>
      </c>
      <c r="H253" s="302">
        <v>1.704254812838215E-2</v>
      </c>
      <c r="I253" s="302">
        <v>1.1070460609718135E-3</v>
      </c>
      <c r="J253" s="302">
        <f t="shared" si="122"/>
        <v>4.6613618914853577E-2</v>
      </c>
      <c r="K253" s="303"/>
      <c r="L253" s="302">
        <v>3.0367599250896576E-2</v>
      </c>
      <c r="M253" s="302">
        <v>1.5025920439987434E-2</v>
      </c>
      <c r="N253" s="302">
        <v>1.0709394479928875E-3</v>
      </c>
      <c r="O253" s="302">
        <f t="shared" si="121"/>
        <v>4.6464459138876896E-2</v>
      </c>
    </row>
    <row r="254" spans="1:15" s="236" customFormat="1" x14ac:dyDescent="0.3">
      <c r="A254" s="237" t="str">
        <f>name!E$11</f>
        <v>Process, plant and machine operatives</v>
      </c>
      <c r="B254" s="302">
        <v>0.36820128710514177</v>
      </c>
      <c r="C254" s="302">
        <v>6.9906434932457025E-3</v>
      </c>
      <c r="D254" s="302">
        <v>1.2416123306012298E-2</v>
      </c>
      <c r="E254" s="302">
        <f t="shared" si="119"/>
        <v>0.38760805390439973</v>
      </c>
      <c r="F254" s="303"/>
      <c r="G254" s="302">
        <v>0.26369079042097077</v>
      </c>
      <c r="H254" s="302">
        <v>4.5022492221622488E-2</v>
      </c>
      <c r="I254" s="302">
        <v>6.2263333063513971E-3</v>
      </c>
      <c r="J254" s="302">
        <f t="shared" si="122"/>
        <v>0.31493961594894465</v>
      </c>
      <c r="K254" s="303"/>
      <c r="L254" s="302">
        <v>0.25854210625503909</v>
      </c>
      <c r="M254" s="302">
        <v>5.1724624884620145E-2</v>
      </c>
      <c r="N254" s="302">
        <v>6.5382893651706265E-3</v>
      </c>
      <c r="O254" s="302">
        <f t="shared" si="121"/>
        <v>0.31680502050482989</v>
      </c>
    </row>
    <row r="255" spans="1:15" s="236" customFormat="1" x14ac:dyDescent="0.3">
      <c r="A255" s="237" t="str">
        <f>name!E$12</f>
        <v>Elementary occupations</v>
      </c>
      <c r="B255" s="302">
        <v>6.5443598717285806E-2</v>
      </c>
      <c r="C255" s="302">
        <v>5.2539997302094637E-3</v>
      </c>
      <c r="D255" s="302">
        <v>1.0352864924663949E-2</v>
      </c>
      <c r="E255" s="302">
        <f t="shared" si="119"/>
        <v>8.1050463372159209E-2</v>
      </c>
      <c r="F255" s="303"/>
      <c r="G255" s="302">
        <v>4.6810499863459171E-2</v>
      </c>
      <c r="H255" s="302">
        <v>3.309741332124768E-2</v>
      </c>
      <c r="I255" s="302">
        <v>3.5799861944194678E-3</v>
      </c>
      <c r="J255" s="302">
        <f t="shared" si="122"/>
        <v>8.3487899379126332E-2</v>
      </c>
      <c r="K255" s="303"/>
      <c r="L255" s="302">
        <v>2.9894469011777367E-2</v>
      </c>
      <c r="M255" s="302">
        <v>1.6802451770436082E-2</v>
      </c>
      <c r="N255" s="302">
        <v>4.0149734605496781E-3</v>
      </c>
      <c r="O255" s="302">
        <f t="shared" si="121"/>
        <v>5.0711894242763129E-2</v>
      </c>
    </row>
    <row r="256" spans="1:15" s="236" customFormat="1" x14ac:dyDescent="0.3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3">
      <c r="A257" s="244" t="s">
        <v>32</v>
      </c>
      <c r="B257" s="311">
        <f>SUM(B247:B255)</f>
        <v>2.0429999999962476</v>
      </c>
      <c r="C257" s="311">
        <f t="shared" ref="C257:E257" si="123">SUM(C247:C255)</f>
        <v>6.1000000000661851E-2</v>
      </c>
      <c r="D257" s="311">
        <f t="shared" si="123"/>
        <v>0.10300000000001099</v>
      </c>
      <c r="E257" s="311">
        <f t="shared" si="123"/>
        <v>2.2069999999969205</v>
      </c>
      <c r="F257" s="311"/>
      <c r="G257" s="311">
        <f t="shared" ref="G257:J257" si="124">SUM(G247:G255)</f>
        <v>1.7420000000022504</v>
      </c>
      <c r="H257" s="311">
        <f t="shared" si="124"/>
        <v>0.44299999999789019</v>
      </c>
      <c r="I257" s="311">
        <f t="shared" si="124"/>
        <v>4.7999999999990862E-2</v>
      </c>
      <c r="J257" s="311">
        <f t="shared" si="124"/>
        <v>2.2330000000001311</v>
      </c>
      <c r="K257" s="311"/>
      <c r="L257" s="311">
        <f t="shared" ref="L257:O257" si="125">SUM(L247:L255)</f>
        <v>1.4760000000118274</v>
      </c>
      <c r="M257" s="311">
        <f t="shared" si="125"/>
        <v>0.37499999999851324</v>
      </c>
      <c r="N257" s="311">
        <f t="shared" si="125"/>
        <v>4.7999999999992764E-2</v>
      </c>
      <c r="O257" s="311">
        <f t="shared" si="125"/>
        <v>1.8990000000103335</v>
      </c>
    </row>
    <row r="258" spans="1:15" s="236" customFormat="1" x14ac:dyDescent="0.3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3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35</v>
      </c>
    </row>
    <row r="260" spans="1:15" s="236" customFormat="1" x14ac:dyDescent="0.3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3">
      <c r="A261" s="241" t="str">
        <f>name!A18</f>
        <v>Metal products</v>
      </c>
      <c r="B261" s="375">
        <f>$B$6</f>
        <v>2015</v>
      </c>
      <c r="C261" s="375"/>
      <c r="D261" s="375"/>
      <c r="E261" s="375"/>
      <c r="F261" s="263"/>
      <c r="G261" s="375">
        <f>$G$6</f>
        <v>2020</v>
      </c>
      <c r="H261" s="375"/>
      <c r="I261" s="375"/>
      <c r="J261" s="375"/>
      <c r="K261" s="263"/>
      <c r="L261" s="375">
        <f>$L$6</f>
        <v>2035</v>
      </c>
      <c r="M261" s="375"/>
      <c r="N261" s="375"/>
      <c r="O261" s="375"/>
    </row>
    <row r="262" spans="1:15" s="236" customFormat="1" x14ac:dyDescent="0.3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3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3">
      <c r="A264" s="237" t="str">
        <f>name!E$4</f>
        <v>Managers, directors and senior officials</v>
      </c>
      <c r="B264" s="302">
        <v>2.6222397064370684</v>
      </c>
      <c r="C264" s="302">
        <v>0.34106550031216765</v>
      </c>
      <c r="D264" s="302">
        <v>0.30000557182399534</v>
      </c>
      <c r="E264" s="302">
        <f>SUM(B264:D264)</f>
        <v>3.2633107785732314</v>
      </c>
      <c r="F264" s="303"/>
      <c r="G264" s="302">
        <v>2.5183080311399637</v>
      </c>
      <c r="H264" s="302">
        <v>0.2935738350049758</v>
      </c>
      <c r="I264" s="302">
        <v>0.28027833026845622</v>
      </c>
      <c r="J264" s="302">
        <f>SUM(G264:I264)</f>
        <v>3.0921601964133956</v>
      </c>
      <c r="K264" s="303"/>
      <c r="L264" s="302">
        <v>2.2155607084865281</v>
      </c>
      <c r="M264" s="302">
        <v>0.30367092613975732</v>
      </c>
      <c r="N264" s="302">
        <v>0.21987539614014373</v>
      </c>
      <c r="O264" s="302">
        <f>SUM(L264:N264)</f>
        <v>2.7391070307664291</v>
      </c>
    </row>
    <row r="265" spans="1:15" s="236" customFormat="1" x14ac:dyDescent="0.3">
      <c r="A265" s="237" t="str">
        <f>name!E$5</f>
        <v>Professional occupations</v>
      </c>
      <c r="B265" s="302">
        <v>3.027597487730215</v>
      </c>
      <c r="C265" s="302">
        <v>0.2232055609815658</v>
      </c>
      <c r="D265" s="302">
        <v>0.16082546098930178</v>
      </c>
      <c r="E265" s="302">
        <f t="shared" ref="E265:E272" si="126">SUM(B265:D265)</f>
        <v>3.4116285097010826</v>
      </c>
      <c r="F265" s="303"/>
      <c r="G265" s="302">
        <v>3.2456798997929881</v>
      </c>
      <c r="H265" s="302">
        <v>0.19793631133323308</v>
      </c>
      <c r="I265" s="302">
        <v>0.12664073708717616</v>
      </c>
      <c r="J265" s="302">
        <f t="shared" ref="J265:J267" si="127">SUM(G265:I265)</f>
        <v>3.5702569482133972</v>
      </c>
      <c r="K265" s="303"/>
      <c r="L265" s="302">
        <v>3.3303357900374841</v>
      </c>
      <c r="M265" s="302">
        <v>0.18718567464379143</v>
      </c>
      <c r="N265" s="302">
        <v>7.1589010805128861E-2</v>
      </c>
      <c r="O265" s="302">
        <f t="shared" ref="O265:O272" si="128">SUM(L265:N265)</f>
        <v>3.5891104754864043</v>
      </c>
    </row>
    <row r="266" spans="1:15" s="236" customFormat="1" x14ac:dyDescent="0.3">
      <c r="A266" s="237" t="str">
        <f>name!E$6</f>
        <v>Associate professional occupations</v>
      </c>
      <c r="B266" s="302">
        <v>2.8535707888466746</v>
      </c>
      <c r="C266" s="302">
        <v>0.24991643111034348</v>
      </c>
      <c r="D266" s="302">
        <v>6.79552190235026E-2</v>
      </c>
      <c r="E266" s="302">
        <f t="shared" si="126"/>
        <v>3.1714424389805207</v>
      </c>
      <c r="F266" s="303"/>
      <c r="G266" s="302">
        <v>2.8548844465927652</v>
      </c>
      <c r="H266" s="302">
        <v>0.20118503363377174</v>
      </c>
      <c r="I266" s="302">
        <v>4.9712135560936885E-2</v>
      </c>
      <c r="J266" s="302">
        <f t="shared" si="127"/>
        <v>3.1057816157874738</v>
      </c>
      <c r="K266" s="303"/>
      <c r="L266" s="302">
        <v>2.3642934979219055</v>
      </c>
      <c r="M266" s="302">
        <v>0.1524564405827567</v>
      </c>
      <c r="N266" s="302">
        <v>3.7778833890006816E-2</v>
      </c>
      <c r="O266" s="302">
        <f t="shared" si="128"/>
        <v>2.554528772394669</v>
      </c>
    </row>
    <row r="267" spans="1:15" s="236" customFormat="1" x14ac:dyDescent="0.3">
      <c r="A267" s="237" t="str">
        <f>name!E$7</f>
        <v>Administrative and secretarial occupations</v>
      </c>
      <c r="B267" s="302">
        <v>1.1096182256284817</v>
      </c>
      <c r="C267" s="302">
        <v>1.1312507293348253</v>
      </c>
      <c r="D267" s="302">
        <v>6.5259122733174205E-2</v>
      </c>
      <c r="E267" s="302">
        <f t="shared" si="126"/>
        <v>2.306128077696481</v>
      </c>
      <c r="F267" s="303"/>
      <c r="G267" s="302">
        <v>0.9102526690803675</v>
      </c>
      <c r="H267" s="302">
        <v>0.52384048824434881</v>
      </c>
      <c r="I267" s="302">
        <v>3.9744814871184163E-2</v>
      </c>
      <c r="J267" s="302">
        <f t="shared" si="127"/>
        <v>1.4738379721959003</v>
      </c>
      <c r="K267" s="303"/>
      <c r="L267" s="302">
        <v>0.60883200920139113</v>
      </c>
      <c r="M267" s="302">
        <v>0.36227055190873975</v>
      </c>
      <c r="N267" s="302">
        <v>2.8927098713088916E-2</v>
      </c>
      <c r="O267" s="302">
        <f t="shared" si="128"/>
        <v>1.0000296598232199</v>
      </c>
    </row>
    <row r="268" spans="1:15" s="236" customFormat="1" x14ac:dyDescent="0.3">
      <c r="A268" s="237" t="str">
        <f>name!E$8</f>
        <v>Skilled trades occupations</v>
      </c>
      <c r="B268" s="302">
        <v>9.2369479433603559</v>
      </c>
      <c r="C268" s="302">
        <v>0.45776918270016187</v>
      </c>
      <c r="D268" s="302">
        <v>0.52344022869044049</v>
      </c>
      <c r="E268" s="302">
        <f t="shared" si="126"/>
        <v>10.218157354750957</v>
      </c>
      <c r="F268" s="303"/>
      <c r="G268" s="302">
        <v>6.6096586697132533</v>
      </c>
      <c r="H268" s="302">
        <v>0.30835244402991108</v>
      </c>
      <c r="I268" s="302">
        <v>0.33502581815506283</v>
      </c>
      <c r="J268" s="302">
        <f>SUM(G268:I268)</f>
        <v>7.2530369318982268</v>
      </c>
      <c r="K268" s="303"/>
      <c r="L268" s="302">
        <v>5.0131979785269118</v>
      </c>
      <c r="M268" s="302">
        <v>0.29714149577224103</v>
      </c>
      <c r="N268" s="302">
        <v>0.26195280266310844</v>
      </c>
      <c r="O268" s="302">
        <f t="shared" si="128"/>
        <v>5.5722922769622611</v>
      </c>
    </row>
    <row r="269" spans="1:15" s="236" customFormat="1" x14ac:dyDescent="0.3">
      <c r="A269" s="237" t="str">
        <f>name!E$9</f>
        <v>Caring, leisure and other service occupations</v>
      </c>
      <c r="B269" s="302">
        <v>0.20189580881166752</v>
      </c>
      <c r="C269" s="302">
        <v>4.5255390984530436E-2</v>
      </c>
      <c r="D269" s="302">
        <v>9.0444880139907858E-3</v>
      </c>
      <c r="E269" s="302">
        <f t="shared" si="126"/>
        <v>0.25619568781018875</v>
      </c>
      <c r="F269" s="303"/>
      <c r="G269" s="302">
        <v>0.17517427482629719</v>
      </c>
      <c r="H269" s="302">
        <v>3.0922046493552156E-2</v>
      </c>
      <c r="I269" s="302">
        <v>6.7595338058014662E-3</v>
      </c>
      <c r="J269" s="302">
        <f t="shared" ref="J269:J272" si="129">SUM(G269:I269)</f>
        <v>0.21285585512565081</v>
      </c>
      <c r="K269" s="303"/>
      <c r="L269" s="302">
        <v>0.21221373497071558</v>
      </c>
      <c r="M269" s="302">
        <v>2.1913799329440063E-2</v>
      </c>
      <c r="N269" s="302">
        <v>8.6068594475664732E-3</v>
      </c>
      <c r="O269" s="302">
        <f t="shared" si="128"/>
        <v>0.24273439374772213</v>
      </c>
    </row>
    <row r="270" spans="1:15" s="236" customFormat="1" x14ac:dyDescent="0.3">
      <c r="A270" s="237" t="str">
        <f>name!E$10</f>
        <v>Sales and customer service occupations</v>
      </c>
      <c r="B270" s="302">
        <v>0.28394580038628575</v>
      </c>
      <c r="C270" s="302">
        <v>0.11578358628200559</v>
      </c>
      <c r="D270" s="302">
        <v>2.790260991778213E-2</v>
      </c>
      <c r="E270" s="302">
        <f t="shared" si="126"/>
        <v>0.42763199658607348</v>
      </c>
      <c r="F270" s="303"/>
      <c r="G270" s="302">
        <v>0.22533212765093741</v>
      </c>
      <c r="H270" s="302">
        <v>6.768338712780593E-2</v>
      </c>
      <c r="I270" s="302">
        <v>1.7003167618770725E-2</v>
      </c>
      <c r="J270" s="302">
        <f t="shared" si="129"/>
        <v>0.31001868239751407</v>
      </c>
      <c r="K270" s="303"/>
      <c r="L270" s="302">
        <v>0.22421864354633117</v>
      </c>
      <c r="M270" s="302">
        <v>7.4425129138956006E-2</v>
      </c>
      <c r="N270" s="302">
        <v>1.2601763270999669E-2</v>
      </c>
      <c r="O270" s="302">
        <f t="shared" si="128"/>
        <v>0.31124553595628685</v>
      </c>
    </row>
    <row r="271" spans="1:15" s="236" customFormat="1" x14ac:dyDescent="0.3">
      <c r="A271" s="237" t="str">
        <f>name!E$11</f>
        <v>Process, plant and machine operatives</v>
      </c>
      <c r="B271" s="302">
        <v>2.7056234444072986</v>
      </c>
      <c r="C271" s="302">
        <v>0.24590446748472208</v>
      </c>
      <c r="D271" s="302">
        <v>5.730763270007682E-2</v>
      </c>
      <c r="E271" s="302">
        <f t="shared" si="126"/>
        <v>3.0088355445920976</v>
      </c>
      <c r="F271" s="303"/>
      <c r="G271" s="302">
        <v>1.7912060205715936</v>
      </c>
      <c r="H271" s="302">
        <v>0.18037619475625344</v>
      </c>
      <c r="I271" s="302">
        <v>3.7791967655229089E-2</v>
      </c>
      <c r="J271" s="302">
        <f t="shared" si="129"/>
        <v>2.009374182983076</v>
      </c>
      <c r="K271" s="303"/>
      <c r="L271" s="302">
        <v>1.7492613124366374</v>
      </c>
      <c r="M271" s="302">
        <v>0.17835717047365643</v>
      </c>
      <c r="N271" s="302">
        <v>3.7199128164268305E-2</v>
      </c>
      <c r="O271" s="302">
        <f t="shared" si="128"/>
        <v>1.9648176110745621</v>
      </c>
    </row>
    <row r="272" spans="1:15" s="236" customFormat="1" x14ac:dyDescent="0.3">
      <c r="A272" s="237" t="str">
        <f>name!E$12</f>
        <v>Elementary occupations</v>
      </c>
      <c r="B272" s="302">
        <v>0.66356079432118542</v>
      </c>
      <c r="C272" s="302">
        <v>0.35984915084872471</v>
      </c>
      <c r="D272" s="302">
        <v>2.8259666105888682E-2</v>
      </c>
      <c r="E272" s="302">
        <f t="shared" si="126"/>
        <v>1.0516696112757988</v>
      </c>
      <c r="F272" s="303"/>
      <c r="G272" s="302">
        <v>0.4315038606236441</v>
      </c>
      <c r="H272" s="302">
        <v>0.14913025936864421</v>
      </c>
      <c r="I272" s="302">
        <v>1.4043494974642627E-2</v>
      </c>
      <c r="J272" s="302">
        <f t="shared" si="129"/>
        <v>0.59467761496693095</v>
      </c>
      <c r="K272" s="303"/>
      <c r="L272" s="302">
        <v>0.23608632495865969</v>
      </c>
      <c r="M272" s="302">
        <v>9.0578812006385567E-2</v>
      </c>
      <c r="N272" s="302">
        <v>1.2469106898096933E-2</v>
      </c>
      <c r="O272" s="302">
        <f t="shared" si="128"/>
        <v>0.33913424386314223</v>
      </c>
    </row>
    <row r="273" spans="1:15" s="236" customFormat="1" x14ac:dyDescent="0.3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3">
      <c r="A274" s="244" t="s">
        <v>32</v>
      </c>
      <c r="B274" s="311">
        <f>SUM(B264:B272)</f>
        <v>22.704999999929228</v>
      </c>
      <c r="C274" s="311">
        <f t="shared" ref="C274:E274" si="130">SUM(C264:C272)</f>
        <v>3.1700000000390469</v>
      </c>
      <c r="D274" s="311">
        <f t="shared" si="130"/>
        <v>1.2399999999981528</v>
      </c>
      <c r="E274" s="311">
        <f t="shared" si="130"/>
        <v>27.114999999966429</v>
      </c>
      <c r="F274" s="311"/>
      <c r="G274" s="311">
        <f t="shared" ref="G274:J274" si="131">SUM(G264:G272)</f>
        <v>18.761999999991808</v>
      </c>
      <c r="H274" s="311">
        <f t="shared" si="131"/>
        <v>1.9529999999924961</v>
      </c>
      <c r="I274" s="311">
        <f t="shared" si="131"/>
        <v>0.90699999999726022</v>
      </c>
      <c r="J274" s="311">
        <f t="shared" si="131"/>
        <v>21.621999999981565</v>
      </c>
      <c r="K274" s="311"/>
      <c r="L274" s="311">
        <f t="shared" ref="L274:O274" si="132">SUM(L264:L272)</f>
        <v>15.954000000086562</v>
      </c>
      <c r="M274" s="311">
        <f t="shared" si="132"/>
        <v>1.667999999995724</v>
      </c>
      <c r="N274" s="311">
        <f t="shared" si="132"/>
        <v>0.69099999999240813</v>
      </c>
      <c r="O274" s="311">
        <f t="shared" si="132"/>
        <v>18.313000000074698</v>
      </c>
    </row>
    <row r="275" spans="1:15" s="236" customFormat="1" x14ac:dyDescent="0.3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3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35</v>
      </c>
    </row>
    <row r="277" spans="1:15" s="236" customFormat="1" x14ac:dyDescent="0.3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3">
      <c r="A278" s="241" t="str">
        <f>name!A19</f>
        <v>Computer, etc</v>
      </c>
      <c r="B278" s="375">
        <f>$B$6</f>
        <v>2015</v>
      </c>
      <c r="C278" s="375"/>
      <c r="D278" s="375"/>
      <c r="E278" s="375"/>
      <c r="F278" s="263"/>
      <c r="G278" s="375">
        <f>$G$6</f>
        <v>2020</v>
      </c>
      <c r="H278" s="375"/>
      <c r="I278" s="375"/>
      <c r="J278" s="375"/>
      <c r="K278" s="263"/>
      <c r="L278" s="375">
        <f>$L$6</f>
        <v>2035</v>
      </c>
      <c r="M278" s="375"/>
      <c r="N278" s="375"/>
      <c r="O278" s="375"/>
    </row>
    <row r="279" spans="1:15" s="236" customFormat="1" x14ac:dyDescent="0.3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3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3">
      <c r="A281" s="237" t="str">
        <f>name!E$4</f>
        <v>Managers, directors and senior officials</v>
      </c>
      <c r="B281" s="302">
        <v>2.3675292630273481</v>
      </c>
      <c r="C281" s="302">
        <v>0.23087429901122875</v>
      </c>
      <c r="D281" s="302">
        <v>0.14920424939551791</v>
      </c>
      <c r="E281" s="302">
        <f>SUM(B281:D281)</f>
        <v>2.7476078114340945</v>
      </c>
      <c r="F281" s="303"/>
      <c r="G281" s="302">
        <v>2.230006640982408</v>
      </c>
      <c r="H281" s="302">
        <v>0.26718222786247281</v>
      </c>
      <c r="I281" s="302">
        <v>0.10404007685836052</v>
      </c>
      <c r="J281" s="302">
        <f>SUM(G281:I281)</f>
        <v>2.6012289457032414</v>
      </c>
      <c r="K281" s="303"/>
      <c r="L281" s="302">
        <v>1.782334529328242</v>
      </c>
      <c r="M281" s="302">
        <v>0.21685052975814051</v>
      </c>
      <c r="N281" s="302">
        <v>8.6335984243587988E-2</v>
      </c>
      <c r="O281" s="302">
        <f>SUM(L281:N281)</f>
        <v>2.0855210433299702</v>
      </c>
    </row>
    <row r="282" spans="1:15" s="236" customFormat="1" x14ac:dyDescent="0.3">
      <c r="A282" s="237" t="str">
        <f>name!E$5</f>
        <v>Professional occupations</v>
      </c>
      <c r="B282" s="302">
        <v>4.4765239856972139</v>
      </c>
      <c r="C282" s="302">
        <v>0.20472017966569911</v>
      </c>
      <c r="D282" s="302">
        <v>0.17967081809839494</v>
      </c>
      <c r="E282" s="302">
        <f t="shared" ref="E282:E289" si="133">SUM(B282:D282)</f>
        <v>4.8609149834613081</v>
      </c>
      <c r="F282" s="303"/>
      <c r="G282" s="302">
        <v>4.7058879898849542</v>
      </c>
      <c r="H282" s="302">
        <v>0.22158025393110872</v>
      </c>
      <c r="I282" s="302">
        <v>0.10774286388459918</v>
      </c>
      <c r="J282" s="302">
        <f t="shared" ref="J282:J284" si="134">SUM(G282:I282)</f>
        <v>5.035211107700662</v>
      </c>
      <c r="K282" s="303"/>
      <c r="L282" s="302">
        <v>4.2047594459451583</v>
      </c>
      <c r="M282" s="302">
        <v>0.13402621783356819</v>
      </c>
      <c r="N282" s="302">
        <v>7.3448564374302541E-2</v>
      </c>
      <c r="O282" s="302">
        <f t="shared" ref="O282:O289" si="135">SUM(L282:N282)</f>
        <v>4.4122342281530296</v>
      </c>
    </row>
    <row r="283" spans="1:15" s="236" customFormat="1" x14ac:dyDescent="0.3">
      <c r="A283" s="237" t="str">
        <f>name!E$6</f>
        <v>Associate professional occupations</v>
      </c>
      <c r="B283" s="302">
        <v>2.4318168311708948</v>
      </c>
      <c r="C283" s="302">
        <v>0.23195654263984367</v>
      </c>
      <c r="D283" s="302">
        <v>0.14917850127501181</v>
      </c>
      <c r="E283" s="302">
        <f t="shared" si="133"/>
        <v>2.8129518750857501</v>
      </c>
      <c r="F283" s="303"/>
      <c r="G283" s="302">
        <v>2.4063085563447841</v>
      </c>
      <c r="H283" s="302">
        <v>0.21845450826991544</v>
      </c>
      <c r="I283" s="302">
        <v>7.7794304008670434E-2</v>
      </c>
      <c r="J283" s="302">
        <f t="shared" si="134"/>
        <v>2.7025573686233701</v>
      </c>
      <c r="K283" s="303"/>
      <c r="L283" s="302">
        <v>1.768078709324971</v>
      </c>
      <c r="M283" s="302">
        <v>0.13367654742028889</v>
      </c>
      <c r="N283" s="302">
        <v>6.1231740149671851E-2</v>
      </c>
      <c r="O283" s="302">
        <f t="shared" si="135"/>
        <v>1.9629869968949316</v>
      </c>
    </row>
    <row r="284" spans="1:15" s="236" customFormat="1" x14ac:dyDescent="0.3">
      <c r="A284" s="237" t="str">
        <f>name!E$7</f>
        <v>Administrative and secretarial occupations</v>
      </c>
      <c r="B284" s="302">
        <v>0.93647606875169709</v>
      </c>
      <c r="C284" s="302">
        <v>0.41737464134332275</v>
      </c>
      <c r="D284" s="302">
        <v>2.504579744137889E-2</v>
      </c>
      <c r="E284" s="302">
        <f t="shared" si="133"/>
        <v>1.3788965075363988</v>
      </c>
      <c r="F284" s="303"/>
      <c r="G284" s="302">
        <v>0.77502095121945291</v>
      </c>
      <c r="H284" s="302">
        <v>0.25055359596959498</v>
      </c>
      <c r="I284" s="302">
        <v>1.1266653494840418E-2</v>
      </c>
      <c r="J284" s="302">
        <f t="shared" si="134"/>
        <v>1.0368412006838883</v>
      </c>
      <c r="K284" s="303"/>
      <c r="L284" s="302">
        <v>0.43822143750113379</v>
      </c>
      <c r="M284" s="302">
        <v>0.12135375393060494</v>
      </c>
      <c r="N284" s="302">
        <v>1.0084674138329464E-2</v>
      </c>
      <c r="O284" s="302">
        <f t="shared" si="135"/>
        <v>0.5696598655700682</v>
      </c>
    </row>
    <row r="285" spans="1:15" s="236" customFormat="1" x14ac:dyDescent="0.3">
      <c r="A285" s="237" t="str">
        <f>name!E$8</f>
        <v>Skilled trades occupations</v>
      </c>
      <c r="B285" s="302">
        <v>2.6181605174777363</v>
      </c>
      <c r="C285" s="302">
        <v>0.2250346136306047</v>
      </c>
      <c r="D285" s="302">
        <v>0.21803818178443271</v>
      </c>
      <c r="E285" s="302">
        <f t="shared" si="133"/>
        <v>3.0612333128927736</v>
      </c>
      <c r="F285" s="303"/>
      <c r="G285" s="302">
        <v>1.8319152832051064</v>
      </c>
      <c r="H285" s="302">
        <v>0.17355314241128961</v>
      </c>
      <c r="I285" s="302">
        <v>0.12105318363788106</v>
      </c>
      <c r="J285" s="302">
        <f>SUM(G285:I285)</f>
        <v>2.1265216092542771</v>
      </c>
      <c r="K285" s="303"/>
      <c r="L285" s="302">
        <v>1.2518928833114062</v>
      </c>
      <c r="M285" s="302">
        <v>0.16670514382759943</v>
      </c>
      <c r="N285" s="302">
        <v>0.12300147070141322</v>
      </c>
      <c r="O285" s="302">
        <f t="shared" si="135"/>
        <v>1.5415994978404191</v>
      </c>
    </row>
    <row r="286" spans="1:15" s="236" customFormat="1" x14ac:dyDescent="0.3">
      <c r="A286" s="237" t="str">
        <f>name!E$9</f>
        <v>Caring, leisure and other service occupations</v>
      </c>
      <c r="B286" s="302">
        <v>8.9201893582172759E-2</v>
      </c>
      <c r="C286" s="302">
        <v>5.2777395358039839E-2</v>
      </c>
      <c r="D286" s="302">
        <v>8.6462724002096467E-3</v>
      </c>
      <c r="E286" s="302">
        <f t="shared" si="133"/>
        <v>0.15062556134042226</v>
      </c>
      <c r="F286" s="303"/>
      <c r="G286" s="302">
        <v>6.956973211811826E-2</v>
      </c>
      <c r="H286" s="302">
        <v>2.4520802418351202E-2</v>
      </c>
      <c r="I286" s="302">
        <v>4.687543791384371E-3</v>
      </c>
      <c r="J286" s="302">
        <f t="shared" ref="J286:J289" si="136">SUM(G286:I286)</f>
        <v>9.8778078327853833E-2</v>
      </c>
      <c r="K286" s="303"/>
      <c r="L286" s="302">
        <v>5.5139357678500436E-2</v>
      </c>
      <c r="M286" s="302">
        <v>7.5847449318586649E-3</v>
      </c>
      <c r="N286" s="302">
        <v>6.2361878523071275E-3</v>
      </c>
      <c r="O286" s="302">
        <f t="shared" si="135"/>
        <v>6.8960290462666232E-2</v>
      </c>
    </row>
    <row r="287" spans="1:15" s="236" customFormat="1" x14ac:dyDescent="0.3">
      <c r="A287" s="237" t="str">
        <f>name!E$10</f>
        <v>Sales and customer service occupations</v>
      </c>
      <c r="B287" s="302">
        <v>0.3304824751890944</v>
      </c>
      <c r="C287" s="302">
        <v>0.21255173815394476</v>
      </c>
      <c r="D287" s="302">
        <v>3.1893437739543694E-2</v>
      </c>
      <c r="E287" s="302">
        <f t="shared" si="133"/>
        <v>0.57492765108258281</v>
      </c>
      <c r="F287" s="303"/>
      <c r="G287" s="302">
        <v>0.26669825610558212</v>
      </c>
      <c r="H287" s="302">
        <v>0.27425276328853249</v>
      </c>
      <c r="I287" s="302">
        <v>1.4897560993709482E-2</v>
      </c>
      <c r="J287" s="302">
        <f t="shared" si="136"/>
        <v>0.55584858038782414</v>
      </c>
      <c r="K287" s="303"/>
      <c r="L287" s="302">
        <v>0.20532617483722806</v>
      </c>
      <c r="M287" s="302">
        <v>0.4044205196249096</v>
      </c>
      <c r="N287" s="302">
        <v>1.2618389368643899E-2</v>
      </c>
      <c r="O287" s="302">
        <f t="shared" si="135"/>
        <v>0.6223650838307816</v>
      </c>
    </row>
    <row r="288" spans="1:15" s="236" customFormat="1" x14ac:dyDescent="0.3">
      <c r="A288" s="237" t="str">
        <f>name!E$11</f>
        <v>Process, plant and machine operatives</v>
      </c>
      <c r="B288" s="302">
        <v>1.1247916670566633</v>
      </c>
      <c r="C288" s="302">
        <v>0.39156516784341128</v>
      </c>
      <c r="D288" s="302">
        <v>5.676081833356731E-2</v>
      </c>
      <c r="E288" s="302">
        <f t="shared" si="133"/>
        <v>1.5731176532336419</v>
      </c>
      <c r="F288" s="303"/>
      <c r="G288" s="302">
        <v>0.70166907846551729</v>
      </c>
      <c r="H288" s="302">
        <v>0.28116042246286943</v>
      </c>
      <c r="I288" s="302">
        <v>3.881683903739467E-2</v>
      </c>
      <c r="J288" s="302">
        <f t="shared" si="136"/>
        <v>1.0216463399657814</v>
      </c>
      <c r="K288" s="303"/>
      <c r="L288" s="302">
        <v>0.57143207937082452</v>
      </c>
      <c r="M288" s="302">
        <v>0.25770025871089092</v>
      </c>
      <c r="N288" s="302">
        <v>3.2987467322659718E-2</v>
      </c>
      <c r="O288" s="302">
        <f t="shared" si="135"/>
        <v>0.86211980540437516</v>
      </c>
    </row>
    <row r="289" spans="1:15" s="236" customFormat="1" x14ac:dyDescent="0.3">
      <c r="A289" s="237" t="str">
        <f>name!E$12</f>
        <v>Elementary occupations</v>
      </c>
      <c r="B289" s="302">
        <v>0.3540172979684314</v>
      </c>
      <c r="C289" s="302">
        <v>0.14814542236961137</v>
      </c>
      <c r="D289" s="302">
        <v>3.3561923538469735E-2</v>
      </c>
      <c r="E289" s="302">
        <f t="shared" si="133"/>
        <v>0.53572464387651253</v>
      </c>
      <c r="F289" s="303"/>
      <c r="G289" s="302">
        <v>0.21892351163013854</v>
      </c>
      <c r="H289" s="302">
        <v>7.2742283371972666E-2</v>
      </c>
      <c r="I289" s="302">
        <v>1.5700974297804666E-2</v>
      </c>
      <c r="J289" s="302">
        <f t="shared" si="136"/>
        <v>0.30736676929991585</v>
      </c>
      <c r="K289" s="303"/>
      <c r="L289" s="302">
        <v>0.11881538272251915</v>
      </c>
      <c r="M289" s="302">
        <v>2.5682283946864629E-2</v>
      </c>
      <c r="N289" s="302">
        <v>1.4055521854057935E-2</v>
      </c>
      <c r="O289" s="302">
        <f t="shared" si="135"/>
        <v>0.15855318852344172</v>
      </c>
    </row>
    <row r="290" spans="1:15" s="236" customFormat="1" x14ac:dyDescent="0.3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3">
      <c r="A291" s="244" t="s">
        <v>32</v>
      </c>
      <c r="B291" s="311">
        <f>SUM(B281:B289)</f>
        <v>14.728999999921252</v>
      </c>
      <c r="C291" s="311">
        <f t="shared" ref="C291:E291" si="137">SUM(C281:C289)</f>
        <v>2.1150000000157063</v>
      </c>
      <c r="D291" s="311">
        <f t="shared" si="137"/>
        <v>0.85200000000652654</v>
      </c>
      <c r="E291" s="311">
        <f t="shared" si="137"/>
        <v>17.695999999943485</v>
      </c>
      <c r="F291" s="311"/>
      <c r="G291" s="311">
        <f t="shared" ref="G291:J291" si="138">SUM(G281:G289)</f>
        <v>13.205999999956063</v>
      </c>
      <c r="H291" s="311">
        <f t="shared" si="138"/>
        <v>1.7839999999861071</v>
      </c>
      <c r="I291" s="311">
        <f t="shared" si="138"/>
        <v>0.49600000000464478</v>
      </c>
      <c r="J291" s="311">
        <f t="shared" si="138"/>
        <v>15.485999999946815</v>
      </c>
      <c r="K291" s="311"/>
      <c r="L291" s="311">
        <f t="shared" ref="L291:O291" si="139">SUM(L281:L289)</f>
        <v>10.396000000019985</v>
      </c>
      <c r="M291" s="311">
        <f t="shared" si="139"/>
        <v>1.467999999984726</v>
      </c>
      <c r="N291" s="311">
        <f t="shared" si="139"/>
        <v>0.42000000000497378</v>
      </c>
      <c r="O291" s="311">
        <f t="shared" si="139"/>
        <v>12.284000000009684</v>
      </c>
    </row>
    <row r="292" spans="1:15" s="236" customFormat="1" x14ac:dyDescent="0.3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3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35</v>
      </c>
    </row>
    <row r="294" spans="1:15" s="236" customFormat="1" x14ac:dyDescent="0.3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3">
      <c r="A295" s="241" t="str">
        <f>name!A20</f>
        <v>Electrical equipment</v>
      </c>
      <c r="B295" s="375">
        <f>$B$6</f>
        <v>2015</v>
      </c>
      <c r="C295" s="375"/>
      <c r="D295" s="375"/>
      <c r="E295" s="375"/>
      <c r="F295" s="263"/>
      <c r="G295" s="375">
        <f>$G$6</f>
        <v>2020</v>
      </c>
      <c r="H295" s="375"/>
      <c r="I295" s="375"/>
      <c r="J295" s="375"/>
      <c r="K295" s="263"/>
      <c r="L295" s="375">
        <f>$L$6</f>
        <v>2035</v>
      </c>
      <c r="M295" s="375"/>
      <c r="N295" s="375"/>
      <c r="O295" s="375"/>
    </row>
    <row r="296" spans="1:15" s="236" customFormat="1" x14ac:dyDescent="0.3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3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3">
      <c r="A298" s="237" t="str">
        <f>name!E$4</f>
        <v>Managers, directors and senior officials</v>
      </c>
      <c r="B298" s="302">
        <v>0.83941657646425427</v>
      </c>
      <c r="C298" s="302">
        <v>4.1906065735896232E-2</v>
      </c>
      <c r="D298" s="302">
        <v>6.491020497668655E-2</v>
      </c>
      <c r="E298" s="302">
        <f>SUM(B298:D298)</f>
        <v>0.94623284717683709</v>
      </c>
      <c r="F298" s="303"/>
      <c r="G298" s="302">
        <v>0.69058104559537414</v>
      </c>
      <c r="H298" s="302">
        <v>0.19981998087955749</v>
      </c>
      <c r="I298" s="302">
        <v>5.0594572780269499E-2</v>
      </c>
      <c r="J298" s="302">
        <f>SUM(G298:I298)</f>
        <v>0.94099559925520104</v>
      </c>
      <c r="K298" s="303"/>
      <c r="L298" s="302">
        <v>0.60745621931249161</v>
      </c>
      <c r="M298" s="302">
        <v>0.24388007715267523</v>
      </c>
      <c r="N298" s="302">
        <v>6.3159031444877167E-2</v>
      </c>
      <c r="O298" s="302">
        <f>SUM(L298:N298)</f>
        <v>0.91449532791004406</v>
      </c>
    </row>
    <row r="299" spans="1:15" s="236" customFormat="1" x14ac:dyDescent="0.3">
      <c r="A299" s="237" t="str">
        <f>name!E$5</f>
        <v>Professional occupations</v>
      </c>
      <c r="B299" s="302">
        <v>0.98736358593336682</v>
      </c>
      <c r="C299" s="302">
        <v>4.348650115679456E-2</v>
      </c>
      <c r="D299" s="302">
        <v>3.295852259297178E-2</v>
      </c>
      <c r="E299" s="302">
        <f t="shared" ref="E299:E306" si="140">SUM(B299:D299)</f>
        <v>1.0638086096831332</v>
      </c>
      <c r="F299" s="303"/>
      <c r="G299" s="302">
        <v>0.90896104418822277</v>
      </c>
      <c r="H299" s="302">
        <v>0.22287745035999151</v>
      </c>
      <c r="I299" s="302">
        <v>2.3629015968868745E-2</v>
      </c>
      <c r="J299" s="302">
        <f t="shared" ref="J299:J301" si="141">SUM(G299:I299)</f>
        <v>1.1554675105170831</v>
      </c>
      <c r="K299" s="303"/>
      <c r="L299" s="302">
        <v>0.89472382157146091</v>
      </c>
      <c r="M299" s="302">
        <v>0.2756884160372301</v>
      </c>
      <c r="N299" s="302">
        <v>2.3078359503371247E-2</v>
      </c>
      <c r="O299" s="302">
        <f t="shared" ref="O299:O306" si="142">SUM(L299:N299)</f>
        <v>1.1934905971120622</v>
      </c>
    </row>
    <row r="300" spans="1:15" s="236" customFormat="1" x14ac:dyDescent="0.3">
      <c r="A300" s="237" t="str">
        <f>name!E$6</f>
        <v>Associate professional occupations</v>
      </c>
      <c r="B300" s="302">
        <v>0.76062179754760351</v>
      </c>
      <c r="C300" s="302">
        <v>4.6116855382962896E-2</v>
      </c>
      <c r="D300" s="302">
        <v>2.4168575381563761E-2</v>
      </c>
      <c r="E300" s="302">
        <f t="shared" si="140"/>
        <v>0.83090722831213026</v>
      </c>
      <c r="F300" s="303"/>
      <c r="G300" s="302">
        <v>0.64531658571014516</v>
      </c>
      <c r="H300" s="302">
        <v>0.16974975273532414</v>
      </c>
      <c r="I300" s="302">
        <v>1.5829863339678944E-2</v>
      </c>
      <c r="J300" s="302">
        <f t="shared" si="141"/>
        <v>0.83089620178514823</v>
      </c>
      <c r="K300" s="303"/>
      <c r="L300" s="302">
        <v>0.53261310721392319</v>
      </c>
      <c r="M300" s="302">
        <v>0.17437890550371904</v>
      </c>
      <c r="N300" s="302">
        <v>1.7651015237042544E-2</v>
      </c>
      <c r="O300" s="302">
        <f t="shared" si="142"/>
        <v>0.72464302795468472</v>
      </c>
    </row>
    <row r="301" spans="1:15" s="236" customFormat="1" x14ac:dyDescent="0.3">
      <c r="A301" s="237" t="str">
        <f>name!E$7</f>
        <v>Administrative and secretarial occupations</v>
      </c>
      <c r="B301" s="302">
        <v>0.46190990184159364</v>
      </c>
      <c r="C301" s="302">
        <v>0.11482129852576099</v>
      </c>
      <c r="D301" s="302">
        <v>1.5710753608501455E-2</v>
      </c>
      <c r="E301" s="302">
        <f t="shared" si="140"/>
        <v>0.59244195397585608</v>
      </c>
      <c r="F301" s="303"/>
      <c r="G301" s="302">
        <v>0.31959062905978913</v>
      </c>
      <c r="H301" s="302">
        <v>0.24302226875397173</v>
      </c>
      <c r="I301" s="302">
        <v>1.1699057910088868E-2</v>
      </c>
      <c r="J301" s="302">
        <f t="shared" si="141"/>
        <v>0.57431195572384974</v>
      </c>
      <c r="K301" s="303"/>
      <c r="L301" s="302">
        <v>0.22914615519873707</v>
      </c>
      <c r="M301" s="302">
        <v>0.18847244608898939</v>
      </c>
      <c r="N301" s="302">
        <v>9.6142549118688053E-3</v>
      </c>
      <c r="O301" s="302">
        <f t="shared" si="142"/>
        <v>0.42723285619959522</v>
      </c>
    </row>
    <row r="302" spans="1:15" s="236" customFormat="1" x14ac:dyDescent="0.3">
      <c r="A302" s="237" t="str">
        <f>name!E$8</f>
        <v>Skilled trades occupations</v>
      </c>
      <c r="B302" s="302">
        <v>1.3210012882550999</v>
      </c>
      <c r="C302" s="302">
        <v>2.9712926900580847E-2</v>
      </c>
      <c r="D302" s="302">
        <v>6.118749604746683E-2</v>
      </c>
      <c r="E302" s="302">
        <f t="shared" si="140"/>
        <v>1.4119017112031476</v>
      </c>
      <c r="F302" s="303"/>
      <c r="G302" s="302">
        <v>0.79438286693680837</v>
      </c>
      <c r="H302" s="302">
        <v>8.8056287691815033E-2</v>
      </c>
      <c r="I302" s="302">
        <v>2.3600199735189027E-2</v>
      </c>
      <c r="J302" s="302">
        <f>SUM(G302:I302)</f>
        <v>0.90603935436381244</v>
      </c>
      <c r="K302" s="303"/>
      <c r="L302" s="302">
        <v>0.60429493549672542</v>
      </c>
      <c r="M302" s="302">
        <v>5.5787646783007031E-2</v>
      </c>
      <c r="N302" s="302">
        <v>3.5458879881341492E-2</v>
      </c>
      <c r="O302" s="302">
        <f t="shared" si="142"/>
        <v>0.69554146216107393</v>
      </c>
    </row>
    <row r="303" spans="1:15" s="236" customFormat="1" x14ac:dyDescent="0.3">
      <c r="A303" s="237" t="str">
        <f>name!E$9</f>
        <v>Caring, leisure and other service occupations</v>
      </c>
      <c r="B303" s="302">
        <v>9.9992102754501586E-2</v>
      </c>
      <c r="C303" s="302">
        <v>1.9567185402186948E-2</v>
      </c>
      <c r="D303" s="302">
        <v>6.8503721978731367E-3</v>
      </c>
      <c r="E303" s="302">
        <f t="shared" si="140"/>
        <v>0.12640966035456166</v>
      </c>
      <c r="F303" s="303"/>
      <c r="G303" s="302">
        <v>6.2168204390895258E-2</v>
      </c>
      <c r="H303" s="302">
        <v>3.3929607294839306E-2</v>
      </c>
      <c r="I303" s="302">
        <v>6.6762656583527384E-3</v>
      </c>
      <c r="J303" s="302">
        <f t="shared" ref="J303:J306" si="143">SUM(G303:I303)</f>
        <v>0.10277407734408729</v>
      </c>
      <c r="K303" s="303"/>
      <c r="L303" s="302">
        <v>5.6536060774809452E-2</v>
      </c>
      <c r="M303" s="302">
        <v>2.6883183229113629E-2</v>
      </c>
      <c r="N303" s="302">
        <v>7.340188452276181E-3</v>
      </c>
      <c r="O303" s="302">
        <f t="shared" si="142"/>
        <v>9.0759432456199274E-2</v>
      </c>
    </row>
    <row r="304" spans="1:15" s="236" customFormat="1" x14ac:dyDescent="0.3">
      <c r="A304" s="237" t="str">
        <f>name!E$10</f>
        <v>Sales and customer service occupations</v>
      </c>
      <c r="B304" s="302">
        <v>0.14969637998242991</v>
      </c>
      <c r="C304" s="302">
        <v>3.7864593619778668E-2</v>
      </c>
      <c r="D304" s="302">
        <v>7.0064265846631665E-3</v>
      </c>
      <c r="E304" s="302">
        <f t="shared" si="140"/>
        <v>0.19456740018687174</v>
      </c>
      <c r="F304" s="303"/>
      <c r="G304" s="302">
        <v>0.10516670831806037</v>
      </c>
      <c r="H304" s="302">
        <v>0.1411198634142963</v>
      </c>
      <c r="I304" s="302">
        <v>4.0427260495432592E-3</v>
      </c>
      <c r="J304" s="302">
        <f t="shared" si="143"/>
        <v>0.25032929778189994</v>
      </c>
      <c r="K304" s="303"/>
      <c r="L304" s="302">
        <v>0.10007498499572412</v>
      </c>
      <c r="M304" s="302">
        <v>0.17019274010583424</v>
      </c>
      <c r="N304" s="302">
        <v>4.5727076603487016E-3</v>
      </c>
      <c r="O304" s="302">
        <f t="shared" si="142"/>
        <v>0.27484043276190706</v>
      </c>
    </row>
    <row r="305" spans="1:15" s="236" customFormat="1" x14ac:dyDescent="0.3">
      <c r="A305" s="237" t="str">
        <f>name!E$11</f>
        <v>Process, plant and machine operatives</v>
      </c>
      <c r="B305" s="302">
        <v>0.84915723263032739</v>
      </c>
      <c r="C305" s="302">
        <v>3.2520830727127185E-2</v>
      </c>
      <c r="D305" s="302">
        <v>2.1823851778138309E-2</v>
      </c>
      <c r="E305" s="302">
        <f t="shared" si="140"/>
        <v>0.90350191513559286</v>
      </c>
      <c r="F305" s="303"/>
      <c r="G305" s="302">
        <v>0.45799449143225174</v>
      </c>
      <c r="H305" s="302">
        <v>8.5307207779026881E-2</v>
      </c>
      <c r="I305" s="302">
        <v>1.534271189185505E-2</v>
      </c>
      <c r="J305" s="302">
        <f t="shared" si="143"/>
        <v>0.55864441110313368</v>
      </c>
      <c r="K305" s="303"/>
      <c r="L305" s="302">
        <v>0.43002299837986468</v>
      </c>
      <c r="M305" s="302">
        <v>9.156991409567547E-2</v>
      </c>
      <c r="N305" s="302">
        <v>1.4159010972332978E-2</v>
      </c>
      <c r="O305" s="302">
        <f t="shared" si="142"/>
        <v>0.53575192344787315</v>
      </c>
    </row>
    <row r="306" spans="1:15" s="236" customFormat="1" x14ac:dyDescent="0.3">
      <c r="A306" s="237" t="str">
        <f>name!E$12</f>
        <v>Elementary occupations</v>
      </c>
      <c r="B306" s="302">
        <v>0.27884113456660092</v>
      </c>
      <c r="C306" s="302">
        <v>2.7003742551380425E-2</v>
      </c>
      <c r="D306" s="302">
        <v>8.3837968322115868E-3</v>
      </c>
      <c r="E306" s="302">
        <f t="shared" si="140"/>
        <v>0.31422867395019294</v>
      </c>
      <c r="F306" s="303"/>
      <c r="G306" s="302">
        <v>0.15183842435871722</v>
      </c>
      <c r="H306" s="302">
        <v>6.0117581079285602E-2</v>
      </c>
      <c r="I306" s="302">
        <v>3.5855866656200348E-3</v>
      </c>
      <c r="J306" s="302">
        <f t="shared" si="143"/>
        <v>0.21554159210362286</v>
      </c>
      <c r="K306" s="303"/>
      <c r="L306" s="302">
        <v>9.4131717073775739E-2</v>
      </c>
      <c r="M306" s="302">
        <v>3.9146670987958467E-2</v>
      </c>
      <c r="N306" s="302">
        <v>3.9665519356490561E-3</v>
      </c>
      <c r="O306" s="302">
        <f t="shared" si="142"/>
        <v>0.13724493999738324</v>
      </c>
    </row>
    <row r="307" spans="1:15" s="236" customFormat="1" x14ac:dyDescent="0.3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3">
      <c r="A308" s="244" t="s">
        <v>32</v>
      </c>
      <c r="B308" s="311">
        <f>SUM(B298:B306)</f>
        <v>5.7479999999757778</v>
      </c>
      <c r="C308" s="311">
        <f t="shared" ref="C308:E308" si="144">SUM(C298:C306)</f>
        <v>0.39300000000246876</v>
      </c>
      <c r="D308" s="311">
        <f t="shared" si="144"/>
        <v>0.24300000000007654</v>
      </c>
      <c r="E308" s="311">
        <f t="shared" si="144"/>
        <v>6.3839999999783235</v>
      </c>
      <c r="F308" s="311"/>
      <c r="G308" s="311">
        <f t="shared" ref="G308:J308" si="145">SUM(G298:G306)</f>
        <v>4.1359999999902639</v>
      </c>
      <c r="H308" s="311">
        <f t="shared" si="145"/>
        <v>1.243999999988108</v>
      </c>
      <c r="I308" s="311">
        <f t="shared" si="145"/>
        <v>0.15499999999946615</v>
      </c>
      <c r="J308" s="311">
        <f t="shared" si="145"/>
        <v>5.5349999999778392</v>
      </c>
      <c r="K308" s="311"/>
      <c r="L308" s="311">
        <f t="shared" ref="L308:O308" si="146">SUM(L298:L306)</f>
        <v>3.5490000000175126</v>
      </c>
      <c r="M308" s="311">
        <f t="shared" si="146"/>
        <v>1.2659999999842027</v>
      </c>
      <c r="N308" s="311">
        <f t="shared" si="146"/>
        <v>0.17899999999910815</v>
      </c>
      <c r="O308" s="311">
        <f t="shared" si="146"/>
        <v>4.9940000000008231</v>
      </c>
    </row>
    <row r="309" spans="1:15" s="236" customFormat="1" x14ac:dyDescent="0.3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3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35</v>
      </c>
    </row>
    <row r="311" spans="1:15" s="236" customFormat="1" x14ac:dyDescent="0.3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3">
      <c r="A312" s="241" t="str">
        <f>name!A21</f>
        <v>Machinery n.e.c.</v>
      </c>
      <c r="B312" s="375">
        <f>$B$6</f>
        <v>2015</v>
      </c>
      <c r="C312" s="375"/>
      <c r="D312" s="375"/>
      <c r="E312" s="375"/>
      <c r="F312" s="263"/>
      <c r="G312" s="375">
        <f>$G$6</f>
        <v>2020</v>
      </c>
      <c r="H312" s="375"/>
      <c r="I312" s="375"/>
      <c r="J312" s="375"/>
      <c r="K312" s="263"/>
      <c r="L312" s="375">
        <f>$L$6</f>
        <v>2035</v>
      </c>
      <c r="M312" s="375"/>
      <c r="N312" s="375"/>
      <c r="O312" s="375"/>
    </row>
    <row r="313" spans="1:15" s="236" customFormat="1" x14ac:dyDescent="0.3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3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3">
      <c r="A315" s="237" t="str">
        <f>name!E$4</f>
        <v>Managers, directors and senior officials</v>
      </c>
      <c r="B315" s="302">
        <v>2.7106554271156744</v>
      </c>
      <c r="C315" s="302">
        <v>0.14249674676046956</v>
      </c>
      <c r="D315" s="302">
        <v>0.33606281895389106</v>
      </c>
      <c r="E315" s="302">
        <f>SUM(B315:D315)</f>
        <v>3.1892149928300348</v>
      </c>
      <c r="F315" s="303"/>
      <c r="G315" s="302">
        <v>3.0604773857229124</v>
      </c>
      <c r="H315" s="302">
        <v>0.25790447811125267</v>
      </c>
      <c r="I315" s="302">
        <v>0.30165309571396282</v>
      </c>
      <c r="J315" s="302">
        <f>SUM(G315:I315)</f>
        <v>3.620034959548128</v>
      </c>
      <c r="K315" s="303"/>
      <c r="L315" s="302">
        <v>2.7214743798575656</v>
      </c>
      <c r="M315" s="302">
        <v>0.26624832396037196</v>
      </c>
      <c r="N315" s="302">
        <v>0.28590875701020235</v>
      </c>
      <c r="O315" s="302">
        <f>SUM(L315:N315)</f>
        <v>3.27363146082814</v>
      </c>
    </row>
    <row r="316" spans="1:15" s="236" customFormat="1" x14ac:dyDescent="0.3">
      <c r="A316" s="237" t="str">
        <f>name!E$5</f>
        <v>Professional occupations</v>
      </c>
      <c r="B316" s="302">
        <v>3.6059666045952463</v>
      </c>
      <c r="C316" s="302">
        <v>9.5456737876901288E-2</v>
      </c>
      <c r="D316" s="302">
        <v>0.23265658833934708</v>
      </c>
      <c r="E316" s="302">
        <f t="shared" ref="E316:E323" si="147">SUM(B316:D316)</f>
        <v>3.9340799308114947</v>
      </c>
      <c r="F316" s="303"/>
      <c r="G316" s="302">
        <v>4.5201062801112286</v>
      </c>
      <c r="H316" s="302">
        <v>0.18988504769030048</v>
      </c>
      <c r="I316" s="302">
        <v>0.1892852958873294</v>
      </c>
      <c r="J316" s="302">
        <f t="shared" ref="J316:J318" si="148">SUM(G316:I316)</f>
        <v>4.8992766236888592</v>
      </c>
      <c r="K316" s="303"/>
      <c r="L316" s="302">
        <v>4.4950203057668947</v>
      </c>
      <c r="M316" s="302">
        <v>0.19261991292864622</v>
      </c>
      <c r="N316" s="302">
        <v>0.13267394124529527</v>
      </c>
      <c r="O316" s="302">
        <f t="shared" ref="O316:O323" si="149">SUM(L316:N316)</f>
        <v>4.8203141599408363</v>
      </c>
    </row>
    <row r="317" spans="1:15" s="236" customFormat="1" x14ac:dyDescent="0.3">
      <c r="A317" s="237" t="str">
        <f>name!E$6</f>
        <v>Associate professional occupations</v>
      </c>
      <c r="B317" s="302">
        <v>2.3255870325853802</v>
      </c>
      <c r="C317" s="302">
        <v>8.4593978987317811E-2</v>
      </c>
      <c r="D317" s="302">
        <v>0.11832580740000199</v>
      </c>
      <c r="E317" s="302">
        <f t="shared" si="147"/>
        <v>2.5285068189727</v>
      </c>
      <c r="F317" s="303"/>
      <c r="G317" s="302">
        <v>2.7527007712966491</v>
      </c>
      <c r="H317" s="302">
        <v>0.12506177559827461</v>
      </c>
      <c r="I317" s="302">
        <v>8.0727137284509809E-2</v>
      </c>
      <c r="J317" s="302">
        <f t="shared" si="148"/>
        <v>2.9584896841794337</v>
      </c>
      <c r="K317" s="303"/>
      <c r="L317" s="302">
        <v>2.2131347336027818</v>
      </c>
      <c r="M317" s="302">
        <v>0.10867610382973958</v>
      </c>
      <c r="N317" s="302">
        <v>7.5089503222934117E-2</v>
      </c>
      <c r="O317" s="302">
        <f t="shared" si="149"/>
        <v>2.3969003406554554</v>
      </c>
    </row>
    <row r="318" spans="1:15" s="236" customFormat="1" x14ac:dyDescent="0.3">
      <c r="A318" s="237" t="str">
        <f>name!E$7</f>
        <v>Administrative and secretarial occupations</v>
      </c>
      <c r="B318" s="302">
        <v>1.0119206538472376</v>
      </c>
      <c r="C318" s="302">
        <v>0.34270458090576988</v>
      </c>
      <c r="D318" s="302">
        <v>5.884435757570404E-2</v>
      </c>
      <c r="E318" s="302">
        <f t="shared" si="147"/>
        <v>1.4134695923287115</v>
      </c>
      <c r="F318" s="303"/>
      <c r="G318" s="302">
        <v>1.0568849684228778</v>
      </c>
      <c r="H318" s="302">
        <v>0.33347387444588755</v>
      </c>
      <c r="I318" s="302">
        <v>2.9895882046387569E-2</v>
      </c>
      <c r="J318" s="302">
        <f t="shared" si="148"/>
        <v>1.4202547249151529</v>
      </c>
      <c r="K318" s="303"/>
      <c r="L318" s="302">
        <v>0.73782802149621396</v>
      </c>
      <c r="M318" s="302">
        <v>0.21691328422205047</v>
      </c>
      <c r="N318" s="302">
        <v>2.3006022063415735E-2</v>
      </c>
      <c r="O318" s="302">
        <f t="shared" si="149"/>
        <v>0.97774732778168016</v>
      </c>
    </row>
    <row r="319" spans="1:15" s="236" customFormat="1" x14ac:dyDescent="0.3">
      <c r="A319" s="237" t="str">
        <f>name!E$8</f>
        <v>Skilled trades occupations</v>
      </c>
      <c r="B319" s="302">
        <v>5.3116353897426789</v>
      </c>
      <c r="C319" s="302">
        <v>0.10173759708779558</v>
      </c>
      <c r="D319" s="302">
        <v>0.48107917241159759</v>
      </c>
      <c r="E319" s="302">
        <f t="shared" si="147"/>
        <v>5.8944521592420713</v>
      </c>
      <c r="F319" s="303"/>
      <c r="G319" s="302">
        <v>4.3138530884302062</v>
      </c>
      <c r="H319" s="302">
        <v>0.1127793321191969</v>
      </c>
      <c r="I319" s="302">
        <v>0.33897986851296441</v>
      </c>
      <c r="J319" s="302">
        <f>SUM(G319:I319)</f>
        <v>4.7656122890623678</v>
      </c>
      <c r="K319" s="303"/>
      <c r="L319" s="302">
        <v>3.2618881452459689</v>
      </c>
      <c r="M319" s="302">
        <v>0.1060885305264572</v>
      </c>
      <c r="N319" s="302">
        <v>0.32871562672394944</v>
      </c>
      <c r="O319" s="302">
        <f t="shared" si="149"/>
        <v>3.6966923024963756</v>
      </c>
    </row>
    <row r="320" spans="1:15" s="236" customFormat="1" x14ac:dyDescent="0.3">
      <c r="A320" s="237" t="str">
        <f>name!E$9</f>
        <v>Caring, leisure and other service occupations</v>
      </c>
      <c r="B320" s="302">
        <v>0.15014027446036893</v>
      </c>
      <c r="C320" s="302">
        <v>4.2637784176407234E-2</v>
      </c>
      <c r="D320" s="302">
        <v>1.7811270287343636E-2</v>
      </c>
      <c r="E320" s="302">
        <f t="shared" si="147"/>
        <v>0.2105893289241198</v>
      </c>
      <c r="F320" s="303"/>
      <c r="G320" s="302">
        <v>0.13289595493094949</v>
      </c>
      <c r="H320" s="302">
        <v>3.6950686793070404E-2</v>
      </c>
      <c r="I320" s="302">
        <v>1.000350407335461E-2</v>
      </c>
      <c r="J320" s="302">
        <f t="shared" ref="J320:J323" si="150">SUM(G320:I320)</f>
        <v>0.17985014579737452</v>
      </c>
      <c r="K320" s="303"/>
      <c r="L320" s="302">
        <v>0.10023587490812316</v>
      </c>
      <c r="M320" s="302">
        <v>2.6462782030887054E-2</v>
      </c>
      <c r="N320" s="302">
        <v>7.6127803250220956E-3</v>
      </c>
      <c r="O320" s="302">
        <f t="shared" si="149"/>
        <v>0.13431143726403233</v>
      </c>
    </row>
    <row r="321" spans="1:15" s="236" customFormat="1" x14ac:dyDescent="0.3">
      <c r="A321" s="237" t="str">
        <f>name!E$10</f>
        <v>Sales and customer service occupations</v>
      </c>
      <c r="B321" s="302">
        <v>0.46578536690352751</v>
      </c>
      <c r="C321" s="302">
        <v>7.080202037754868E-2</v>
      </c>
      <c r="D321" s="302">
        <v>3.6303744387618596E-2</v>
      </c>
      <c r="E321" s="302">
        <f t="shared" si="147"/>
        <v>0.57289113166869488</v>
      </c>
      <c r="F321" s="303"/>
      <c r="G321" s="302">
        <v>0.45905091413355681</v>
      </c>
      <c r="H321" s="302">
        <v>9.5237475764304733E-2</v>
      </c>
      <c r="I321" s="302">
        <v>1.9555588573873958E-2</v>
      </c>
      <c r="J321" s="302">
        <f t="shared" si="150"/>
        <v>0.57384397847173552</v>
      </c>
      <c r="K321" s="303"/>
      <c r="L321" s="302">
        <v>0.38849601652823562</v>
      </c>
      <c r="M321" s="302">
        <v>0.12641862140400589</v>
      </c>
      <c r="N321" s="302">
        <v>1.6714494557117474E-2</v>
      </c>
      <c r="O321" s="302">
        <f t="shared" si="149"/>
        <v>0.53162913248935906</v>
      </c>
    </row>
    <row r="322" spans="1:15" s="236" customFormat="1" x14ac:dyDescent="0.3">
      <c r="A322" s="237" t="str">
        <f>name!E$11</f>
        <v>Process, plant and machine operatives</v>
      </c>
      <c r="B322" s="302">
        <v>2.2301416380200272</v>
      </c>
      <c r="C322" s="302">
        <v>7.6994662955964882E-2</v>
      </c>
      <c r="D322" s="302">
        <v>6.223178783133592E-2</v>
      </c>
      <c r="E322" s="302">
        <f t="shared" si="147"/>
        <v>2.3693680888073279</v>
      </c>
      <c r="F322" s="303"/>
      <c r="G322" s="302">
        <v>1.7029669404774124</v>
      </c>
      <c r="H322" s="302">
        <v>0.10510941749975632</v>
      </c>
      <c r="I322" s="302">
        <v>4.8783953426612729E-2</v>
      </c>
      <c r="J322" s="302">
        <f t="shared" si="150"/>
        <v>1.8568603114037814</v>
      </c>
      <c r="K322" s="303"/>
      <c r="L322" s="302">
        <v>1.7068971305048286</v>
      </c>
      <c r="M322" s="302">
        <v>0.11322541973720965</v>
      </c>
      <c r="N322" s="302">
        <v>4.8826805930255027E-2</v>
      </c>
      <c r="O322" s="302">
        <f t="shared" si="149"/>
        <v>1.8689493561722932</v>
      </c>
    </row>
    <row r="323" spans="1:15" s="236" customFormat="1" x14ac:dyDescent="0.3">
      <c r="A323" s="237" t="str">
        <f>name!E$12</f>
        <v>Elementary occupations</v>
      </c>
      <c r="B323" s="302">
        <v>0.6681676126567716</v>
      </c>
      <c r="C323" s="302">
        <v>0.12457589088074837</v>
      </c>
      <c r="D323" s="302">
        <v>5.1684452811975416E-2</v>
      </c>
      <c r="E323" s="302">
        <f t="shared" si="147"/>
        <v>0.84442795634949541</v>
      </c>
      <c r="F323" s="303"/>
      <c r="G323" s="302">
        <v>0.5110636964370433</v>
      </c>
      <c r="H323" s="302">
        <v>0.12359791196905673</v>
      </c>
      <c r="I323" s="302">
        <v>2.7115674481184349E-2</v>
      </c>
      <c r="J323" s="302">
        <f t="shared" si="150"/>
        <v>0.66177728288728443</v>
      </c>
      <c r="K323" s="303"/>
      <c r="L323" s="302">
        <v>0.31202539216782282</v>
      </c>
      <c r="M323" s="302">
        <v>7.8347021350513052E-2</v>
      </c>
      <c r="N323" s="302">
        <v>2.5452068920579017E-2</v>
      </c>
      <c r="O323" s="302">
        <f t="shared" si="149"/>
        <v>0.41582448243891484</v>
      </c>
    </row>
    <row r="324" spans="1:15" s="236" customFormat="1" x14ac:dyDescent="0.3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3">
      <c r="A325" s="244" t="s">
        <v>32</v>
      </c>
      <c r="B325" s="311">
        <f>SUM(B315:B323)</f>
        <v>18.47999999992691</v>
      </c>
      <c r="C325" s="311">
        <f t="shared" ref="C325:E325" si="151">SUM(C315:C323)</f>
        <v>1.0820000000089234</v>
      </c>
      <c r="D325" s="311">
        <f t="shared" si="151"/>
        <v>1.3949999999988152</v>
      </c>
      <c r="E325" s="311">
        <f t="shared" si="151"/>
        <v>20.956999999934649</v>
      </c>
      <c r="F325" s="311"/>
      <c r="G325" s="311">
        <f t="shared" ref="G325:J325" si="152">SUM(G315:G323)</f>
        <v>18.50999999996284</v>
      </c>
      <c r="H325" s="311">
        <f t="shared" si="152"/>
        <v>1.3799999999911003</v>
      </c>
      <c r="I325" s="311">
        <f t="shared" si="152"/>
        <v>1.0460000000001797</v>
      </c>
      <c r="J325" s="311">
        <f t="shared" si="152"/>
        <v>20.93599999995412</v>
      </c>
      <c r="K325" s="311"/>
      <c r="L325" s="311">
        <f t="shared" ref="L325:O325" si="153">SUM(L315:L323)</f>
        <v>15.937000000078431</v>
      </c>
      <c r="M325" s="311">
        <f t="shared" si="153"/>
        <v>1.2349999999898809</v>
      </c>
      <c r="N325" s="311">
        <f t="shared" si="153"/>
        <v>0.9439999999987706</v>
      </c>
      <c r="O325" s="311">
        <f t="shared" si="153"/>
        <v>18.116000000067086</v>
      </c>
    </row>
    <row r="326" spans="1:15" s="236" customFormat="1" x14ac:dyDescent="0.3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3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35</v>
      </c>
    </row>
    <row r="328" spans="1:15" s="236" customFormat="1" x14ac:dyDescent="0.3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3">
      <c r="A329" s="241" t="str">
        <f>name!A22</f>
        <v>Motor vehicles, etc</v>
      </c>
      <c r="B329" s="375">
        <f>$B$6</f>
        <v>2015</v>
      </c>
      <c r="C329" s="375"/>
      <c r="D329" s="375"/>
      <c r="E329" s="375"/>
      <c r="F329" s="263"/>
      <c r="G329" s="375">
        <f>$G$6</f>
        <v>2020</v>
      </c>
      <c r="H329" s="375"/>
      <c r="I329" s="375"/>
      <c r="J329" s="375"/>
      <c r="K329" s="263"/>
      <c r="L329" s="375">
        <f>$L$6</f>
        <v>2035</v>
      </c>
      <c r="M329" s="375"/>
      <c r="N329" s="375"/>
      <c r="O329" s="375"/>
    </row>
    <row r="330" spans="1:15" s="236" customFormat="1" x14ac:dyDescent="0.3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3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3">
      <c r="A332" s="237" t="str">
        <f>name!E$4</f>
        <v>Managers, directors and senior officials</v>
      </c>
      <c r="B332" s="302">
        <v>0.74654771657676922</v>
      </c>
      <c r="C332" s="302">
        <v>3.927003638861689E-2</v>
      </c>
      <c r="D332" s="302">
        <v>9.0013273361686116E-2</v>
      </c>
      <c r="E332" s="302">
        <f>SUM(B332:D332)</f>
        <v>0.87583102632707222</v>
      </c>
      <c r="F332" s="303"/>
      <c r="G332" s="302">
        <v>0.4888862287238368</v>
      </c>
      <c r="H332" s="302">
        <v>1.9332186960802425E-2</v>
      </c>
      <c r="I332" s="302">
        <v>3.3388360870830337E-2</v>
      </c>
      <c r="J332" s="302">
        <f>SUM(G332:I332)</f>
        <v>0.54160677655546952</v>
      </c>
      <c r="K332" s="303"/>
      <c r="L332" s="302">
        <v>0.405586959712739</v>
      </c>
      <c r="M332" s="302">
        <v>2.075598721986666E-2</v>
      </c>
      <c r="N332" s="302">
        <v>2.0192819495153967E-2</v>
      </c>
      <c r="O332" s="302">
        <f>SUM(L332:N332)</f>
        <v>0.44653576642775961</v>
      </c>
    </row>
    <row r="333" spans="1:15" s="236" customFormat="1" x14ac:dyDescent="0.3">
      <c r="A333" s="237" t="str">
        <f>name!E$5</f>
        <v>Professional occupations</v>
      </c>
      <c r="B333" s="302">
        <v>1.600158679390836</v>
      </c>
      <c r="C333" s="302">
        <v>7.6378655574240978E-2</v>
      </c>
      <c r="D333" s="302">
        <v>5.2139081382276048E-2</v>
      </c>
      <c r="E333" s="302">
        <f t="shared" ref="E333:E340" si="154">SUM(B333:D333)</f>
        <v>1.7286764163473529</v>
      </c>
      <c r="F333" s="303"/>
      <c r="G333" s="302">
        <v>1.1671549354372959</v>
      </c>
      <c r="H333" s="302">
        <v>2.5437249561487896E-2</v>
      </c>
      <c r="I333" s="302">
        <v>1.9683026183438011E-2</v>
      </c>
      <c r="J333" s="302">
        <f t="shared" ref="J333:J335" si="155">SUM(G333:I333)</f>
        <v>1.2122752111822217</v>
      </c>
      <c r="K333" s="303"/>
      <c r="L333" s="302">
        <v>1.1361262569186503</v>
      </c>
      <c r="M333" s="302">
        <v>2.2589922962285142E-2</v>
      </c>
      <c r="N333" s="302">
        <v>1.080958374206463E-2</v>
      </c>
      <c r="O333" s="302">
        <f t="shared" ref="O333:O340" si="156">SUM(L333:N333)</f>
        <v>1.1695257636230001</v>
      </c>
    </row>
    <row r="334" spans="1:15" s="236" customFormat="1" x14ac:dyDescent="0.3">
      <c r="A334" s="237" t="str">
        <f>name!E$6</f>
        <v>Associate professional occupations</v>
      </c>
      <c r="B334" s="302">
        <v>0.73054514155193917</v>
      </c>
      <c r="C334" s="302">
        <v>7.5729963248852478E-2</v>
      </c>
      <c r="D334" s="302">
        <v>3.610637109138945E-2</v>
      </c>
      <c r="E334" s="302">
        <f t="shared" si="154"/>
        <v>0.84238147589218115</v>
      </c>
      <c r="F334" s="303"/>
      <c r="G334" s="302">
        <v>0.52002241571393593</v>
      </c>
      <c r="H334" s="302">
        <v>2.1052080247178716E-2</v>
      </c>
      <c r="I334" s="302">
        <v>1.0436897719175478E-2</v>
      </c>
      <c r="J334" s="302">
        <f t="shared" si="155"/>
        <v>0.55151139368029012</v>
      </c>
      <c r="K334" s="303"/>
      <c r="L334" s="302">
        <v>0.41380034234546237</v>
      </c>
      <c r="M334" s="302">
        <v>1.7180597876298713E-2</v>
      </c>
      <c r="N334" s="302">
        <v>4.4153523729061669E-3</v>
      </c>
      <c r="O334" s="302">
        <f t="shared" si="156"/>
        <v>0.43539629259466728</v>
      </c>
    </row>
    <row r="335" spans="1:15" s="236" customFormat="1" x14ac:dyDescent="0.3">
      <c r="A335" s="237" t="str">
        <f>name!E$7</f>
        <v>Administrative and secretarial occupations</v>
      </c>
      <c r="B335" s="302">
        <v>0.66300731729123186</v>
      </c>
      <c r="C335" s="302">
        <v>0.17013931648161038</v>
      </c>
      <c r="D335" s="302">
        <v>9.9575948956411049E-3</v>
      </c>
      <c r="E335" s="302">
        <f t="shared" si="154"/>
        <v>0.84310422866848334</v>
      </c>
      <c r="F335" s="303"/>
      <c r="G335" s="302">
        <v>0.40694606557911484</v>
      </c>
      <c r="H335" s="302">
        <v>3.0471885517380514E-2</v>
      </c>
      <c r="I335" s="302">
        <v>2.4981061333019454E-3</v>
      </c>
      <c r="J335" s="302">
        <f t="shared" si="155"/>
        <v>0.43991605722979726</v>
      </c>
      <c r="K335" s="303"/>
      <c r="L335" s="302">
        <v>0.32692358220494522</v>
      </c>
      <c r="M335" s="302">
        <v>2.1123343014812355E-2</v>
      </c>
      <c r="N335" s="302">
        <v>1.6023376545181197E-3</v>
      </c>
      <c r="O335" s="302">
        <f t="shared" si="156"/>
        <v>0.34964926287427567</v>
      </c>
    </row>
    <row r="336" spans="1:15" s="236" customFormat="1" x14ac:dyDescent="0.3">
      <c r="A336" s="237" t="str">
        <f>name!E$8</f>
        <v>Skilled trades occupations</v>
      </c>
      <c r="B336" s="302">
        <v>1.8373848729247311</v>
      </c>
      <c r="C336" s="302">
        <v>4.901391296103437E-2</v>
      </c>
      <c r="D336" s="302">
        <v>6.4366582734341843E-2</v>
      </c>
      <c r="E336" s="302">
        <f t="shared" si="154"/>
        <v>1.9507653686201072</v>
      </c>
      <c r="F336" s="303"/>
      <c r="G336" s="302">
        <v>0.9061415873807489</v>
      </c>
      <c r="H336" s="302">
        <v>2.5898804883762446E-2</v>
      </c>
      <c r="I336" s="302">
        <v>3.3138538129532893E-2</v>
      </c>
      <c r="J336" s="302">
        <f>SUM(G336:I336)</f>
        <v>0.96517893039404423</v>
      </c>
      <c r="K336" s="303"/>
      <c r="L336" s="302">
        <v>0.66565495380342821</v>
      </c>
      <c r="M336" s="302">
        <v>2.5537300028354887E-2</v>
      </c>
      <c r="N336" s="302">
        <v>4.7767057389477896E-2</v>
      </c>
      <c r="O336" s="302">
        <f t="shared" si="156"/>
        <v>0.73895931122126091</v>
      </c>
    </row>
    <row r="337" spans="1:15" s="236" customFormat="1" x14ac:dyDescent="0.3">
      <c r="A337" s="237" t="str">
        <f>name!E$9</f>
        <v>Caring, leisure and other service occupations</v>
      </c>
      <c r="B337" s="302">
        <v>0.21416883849880999</v>
      </c>
      <c r="C337" s="302">
        <v>7.3759284564376207E-2</v>
      </c>
      <c r="D337" s="302">
        <v>1.0836122269430461E-2</v>
      </c>
      <c r="E337" s="302">
        <f t="shared" si="154"/>
        <v>0.2987642453326167</v>
      </c>
      <c r="F337" s="303"/>
      <c r="G337" s="302">
        <v>0.12746407013274977</v>
      </c>
      <c r="H337" s="302">
        <v>3.3809068125880734E-2</v>
      </c>
      <c r="I337" s="302">
        <v>3.5204368169031571E-3</v>
      </c>
      <c r="J337" s="302">
        <f t="shared" ref="J337:J340" si="157">SUM(G337:I337)</f>
        <v>0.16479357507553363</v>
      </c>
      <c r="K337" s="303"/>
      <c r="L337" s="302">
        <v>0.16226914791664565</v>
      </c>
      <c r="M337" s="302">
        <v>3.6917227967767016E-2</v>
      </c>
      <c r="N337" s="302">
        <v>6.4983020645319979E-3</v>
      </c>
      <c r="O337" s="302">
        <f t="shared" si="156"/>
        <v>0.20568467794894468</v>
      </c>
    </row>
    <row r="338" spans="1:15" s="236" customFormat="1" x14ac:dyDescent="0.3">
      <c r="A338" s="237" t="str">
        <f>name!E$10</f>
        <v>Sales and customer service occupations</v>
      </c>
      <c r="B338" s="302">
        <v>0.17704562082604117</v>
      </c>
      <c r="C338" s="302">
        <v>4.402186041972668E-2</v>
      </c>
      <c r="D338" s="302">
        <v>6.8520524875340157E-3</v>
      </c>
      <c r="E338" s="302">
        <f t="shared" si="154"/>
        <v>0.22791953373330187</v>
      </c>
      <c r="F338" s="303"/>
      <c r="G338" s="302">
        <v>0.10021544166525416</v>
      </c>
      <c r="H338" s="302">
        <v>1.7080734393278896E-2</v>
      </c>
      <c r="I338" s="302">
        <v>1.9671983768445203E-3</v>
      </c>
      <c r="J338" s="302">
        <f t="shared" si="157"/>
        <v>0.11926337443537757</v>
      </c>
      <c r="K338" s="303"/>
      <c r="L338" s="302">
        <v>9.7241212548064573E-2</v>
      </c>
      <c r="M338" s="302">
        <v>1.6226845604395791E-2</v>
      </c>
      <c r="N338" s="302">
        <v>1.3616449490442962E-3</v>
      </c>
      <c r="O338" s="302">
        <f t="shared" si="156"/>
        <v>0.11482970310150466</v>
      </c>
    </row>
    <row r="339" spans="1:15" s="236" customFormat="1" x14ac:dyDescent="0.3">
      <c r="A339" s="237" t="str">
        <f>name!E$11</f>
        <v>Process, plant and machine operatives</v>
      </c>
      <c r="B339" s="302">
        <v>1.3083704116140815</v>
      </c>
      <c r="C339" s="302">
        <v>6.1966359458367919E-2</v>
      </c>
      <c r="D339" s="302">
        <v>9.4512389782059163E-3</v>
      </c>
      <c r="E339" s="302">
        <f t="shared" si="154"/>
        <v>1.3797880100506554</v>
      </c>
      <c r="F339" s="303"/>
      <c r="G339" s="302">
        <v>0.60411657598310631</v>
      </c>
      <c r="H339" s="302">
        <v>4.4191677022622153E-2</v>
      </c>
      <c r="I339" s="302">
        <v>4.9658017430622417E-3</v>
      </c>
      <c r="J339" s="302">
        <f t="shared" si="157"/>
        <v>0.65327405474879074</v>
      </c>
      <c r="K339" s="303"/>
      <c r="L339" s="302">
        <v>0.50398936485269308</v>
      </c>
      <c r="M339" s="302">
        <v>4.130864222076603E-2</v>
      </c>
      <c r="N339" s="302">
        <v>7.992888334711349E-3</v>
      </c>
      <c r="O339" s="302">
        <f t="shared" si="156"/>
        <v>0.55329089540817045</v>
      </c>
    </row>
    <row r="340" spans="1:15" s="236" customFormat="1" x14ac:dyDescent="0.3">
      <c r="A340" s="237" t="str">
        <f>name!E$12</f>
        <v>Elementary occupations</v>
      </c>
      <c r="B340" s="302">
        <v>0.37377140130212011</v>
      </c>
      <c r="C340" s="302">
        <v>9.5720610912559734E-2</v>
      </c>
      <c r="D340" s="302">
        <v>1.127768280294739E-2</v>
      </c>
      <c r="E340" s="302">
        <f t="shared" si="154"/>
        <v>0.48076969501762723</v>
      </c>
      <c r="F340" s="303"/>
      <c r="G340" s="302">
        <v>0.17605267937817098</v>
      </c>
      <c r="H340" s="302">
        <v>1.4726313288196574E-2</v>
      </c>
      <c r="I340" s="302">
        <v>2.4016340270322715E-3</v>
      </c>
      <c r="J340" s="302">
        <f t="shared" si="157"/>
        <v>0.19318062669339983</v>
      </c>
      <c r="K340" s="303"/>
      <c r="L340" s="302">
        <v>0.10340817970832772</v>
      </c>
      <c r="M340" s="302">
        <v>5.3601331070416234E-3</v>
      </c>
      <c r="N340" s="302">
        <v>2.3600139963717518E-3</v>
      </c>
      <c r="O340" s="302">
        <f t="shared" si="156"/>
        <v>0.1111283268117411</v>
      </c>
    </row>
    <row r="341" spans="1:15" s="236" customFormat="1" x14ac:dyDescent="0.3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3">
      <c r="A342" s="244" t="s">
        <v>32</v>
      </c>
      <c r="B342" s="311">
        <f>SUM(B332:B340)</f>
        <v>7.6509999999765599</v>
      </c>
      <c r="C342" s="311">
        <f t="shared" ref="C342:E342" si="158">SUM(C332:C340)</f>
        <v>0.68600000000938555</v>
      </c>
      <c r="D342" s="311">
        <f t="shared" si="158"/>
        <v>0.29100000000345233</v>
      </c>
      <c r="E342" s="311">
        <f t="shared" si="158"/>
        <v>8.6279999999893988</v>
      </c>
      <c r="F342" s="311"/>
      <c r="G342" s="311">
        <f t="shared" ref="G342:J342" si="159">SUM(G332:G340)</f>
        <v>4.4969999999942134</v>
      </c>
      <c r="H342" s="311">
        <f t="shared" si="159"/>
        <v>0.23200000000059035</v>
      </c>
      <c r="I342" s="311">
        <f t="shared" si="159"/>
        <v>0.11200000000012085</v>
      </c>
      <c r="J342" s="311">
        <f t="shared" si="159"/>
        <v>4.8409999999949251</v>
      </c>
      <c r="K342" s="311"/>
      <c r="L342" s="311">
        <f t="shared" ref="L342:O342" si="160">SUM(L332:L340)</f>
        <v>3.8150000000109561</v>
      </c>
      <c r="M342" s="311">
        <f t="shared" si="160"/>
        <v>0.20700000000158822</v>
      </c>
      <c r="N342" s="311">
        <f t="shared" si="160"/>
        <v>0.10299999999878019</v>
      </c>
      <c r="O342" s="311">
        <f t="shared" si="160"/>
        <v>4.1250000000113252</v>
      </c>
    </row>
    <row r="343" spans="1:15" s="236" customFormat="1" x14ac:dyDescent="0.3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3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35</v>
      </c>
    </row>
    <row r="345" spans="1:15" s="236" customFormat="1" x14ac:dyDescent="0.3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3">
      <c r="A346" s="241" t="str">
        <f>name!A23</f>
        <v>Other transport equipment</v>
      </c>
      <c r="B346" s="375">
        <f>$B$6</f>
        <v>2015</v>
      </c>
      <c r="C346" s="375"/>
      <c r="D346" s="375"/>
      <c r="E346" s="375"/>
      <c r="F346" s="263"/>
      <c r="G346" s="375">
        <f>$G$6</f>
        <v>2020</v>
      </c>
      <c r="H346" s="375"/>
      <c r="I346" s="375"/>
      <c r="J346" s="375"/>
      <c r="K346" s="263"/>
      <c r="L346" s="375">
        <f>$L$6</f>
        <v>2035</v>
      </c>
      <c r="M346" s="375"/>
      <c r="N346" s="375"/>
      <c r="O346" s="375"/>
    </row>
    <row r="347" spans="1:15" s="236" customFormat="1" x14ac:dyDescent="0.3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3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3">
      <c r="A349" s="237" t="str">
        <f>name!E$4</f>
        <v>Managers, directors and senior officials</v>
      </c>
      <c r="B349" s="302">
        <v>0.89212782838237581</v>
      </c>
      <c r="C349" s="302">
        <v>1.4568861286760436E-2</v>
      </c>
      <c r="D349" s="302">
        <v>2.3762566604115163E-2</v>
      </c>
      <c r="E349" s="302">
        <f>SUM(B349:D349)</f>
        <v>0.93045925627325132</v>
      </c>
      <c r="F349" s="303"/>
      <c r="G349" s="302">
        <v>0.77852073849304593</v>
      </c>
      <c r="H349" s="302">
        <v>5.2021173919086255E-2</v>
      </c>
      <c r="I349" s="302">
        <v>4.7778963185255791E-2</v>
      </c>
      <c r="J349" s="302">
        <f>SUM(G349:I349)</f>
        <v>0.87832087559738792</v>
      </c>
      <c r="K349" s="303"/>
      <c r="L349" s="302">
        <v>0.60917210467571148</v>
      </c>
      <c r="M349" s="302">
        <v>4.4831374247064765E-2</v>
      </c>
      <c r="N349" s="302">
        <v>3.8028768866028004E-2</v>
      </c>
      <c r="O349" s="302">
        <f>SUM(L349:N349)</f>
        <v>0.69203224778880423</v>
      </c>
    </row>
    <row r="350" spans="1:15" s="236" customFormat="1" x14ac:dyDescent="0.3">
      <c r="A350" s="237" t="str">
        <f>name!E$5</f>
        <v>Professional occupations</v>
      </c>
      <c r="B350" s="302">
        <v>2.8227231289624144</v>
      </c>
      <c r="C350" s="302">
        <v>1.8351579846551808E-2</v>
      </c>
      <c r="D350" s="302">
        <v>3.1209871628262831E-2</v>
      </c>
      <c r="E350" s="302">
        <f t="shared" ref="E350:E357" si="161">SUM(B350:D350)</f>
        <v>2.872284580437229</v>
      </c>
      <c r="F350" s="303"/>
      <c r="G350" s="302">
        <v>2.7598792536434908</v>
      </c>
      <c r="H350" s="302">
        <v>6.0093850427868196E-2</v>
      </c>
      <c r="I350" s="302">
        <v>5.8380425919206086E-2</v>
      </c>
      <c r="J350" s="302">
        <f t="shared" ref="J350:J352" si="162">SUM(G350:I350)</f>
        <v>2.8783535299905654</v>
      </c>
      <c r="K350" s="303"/>
      <c r="L350" s="302">
        <v>2.526100030824201</v>
      </c>
      <c r="M350" s="302">
        <v>5.0063395525343807E-2</v>
      </c>
      <c r="N350" s="302">
        <v>3.0168907858695235E-2</v>
      </c>
      <c r="O350" s="302">
        <f t="shared" ref="O350:O357" si="163">SUM(L350:N350)</f>
        <v>2.6063323342082398</v>
      </c>
    </row>
    <row r="351" spans="1:15" s="236" customFormat="1" x14ac:dyDescent="0.3">
      <c r="A351" s="237" t="str">
        <f>name!E$6</f>
        <v>Associate professional occupations</v>
      </c>
      <c r="B351" s="302">
        <v>1.1797894258911232</v>
      </c>
      <c r="C351" s="302">
        <v>1.423595350847204E-2</v>
      </c>
      <c r="D351" s="302">
        <v>2.0195936711701491E-2</v>
      </c>
      <c r="E351" s="302">
        <f t="shared" si="161"/>
        <v>1.2142213161112967</v>
      </c>
      <c r="F351" s="303"/>
      <c r="G351" s="302">
        <v>1.1232185261112266</v>
      </c>
      <c r="H351" s="302">
        <v>3.4571142098066859E-2</v>
      </c>
      <c r="I351" s="302">
        <v>3.1329079469396511E-2</v>
      </c>
      <c r="J351" s="302">
        <f t="shared" si="162"/>
        <v>1.18911874767869</v>
      </c>
      <c r="K351" s="303"/>
      <c r="L351" s="302">
        <v>0.85806967875606777</v>
      </c>
      <c r="M351" s="302">
        <v>2.4349647485045929E-2</v>
      </c>
      <c r="N351" s="302">
        <v>2.5091609168428095E-2</v>
      </c>
      <c r="O351" s="302">
        <f t="shared" si="163"/>
        <v>0.90751093540954186</v>
      </c>
    </row>
    <row r="352" spans="1:15" s="236" customFormat="1" x14ac:dyDescent="0.3">
      <c r="A352" s="237" t="str">
        <f>name!E$7</f>
        <v>Administrative and secretarial occupations</v>
      </c>
      <c r="B352" s="302">
        <v>0.4854474012757567</v>
      </c>
      <c r="C352" s="302">
        <v>5.7109187454105211E-2</v>
      </c>
      <c r="D352" s="302">
        <v>9.364709553187708E-3</v>
      </c>
      <c r="E352" s="302">
        <f t="shared" si="161"/>
        <v>0.55192129828304959</v>
      </c>
      <c r="F352" s="303"/>
      <c r="G352" s="302">
        <v>0.41045921783409545</v>
      </c>
      <c r="H352" s="302">
        <v>8.24379121472823E-2</v>
      </c>
      <c r="I352" s="302">
        <v>1.3144605580897835E-2</v>
      </c>
      <c r="J352" s="302">
        <f t="shared" si="162"/>
        <v>0.50604173556227561</v>
      </c>
      <c r="K352" s="303"/>
      <c r="L352" s="302">
        <v>0.33511621709376116</v>
      </c>
      <c r="M352" s="302">
        <v>7.2945980515258704E-2</v>
      </c>
      <c r="N352" s="302">
        <v>1.3773047238143937E-2</v>
      </c>
      <c r="O352" s="302">
        <f t="shared" si="163"/>
        <v>0.42183524484716378</v>
      </c>
    </row>
    <row r="353" spans="1:15" s="236" customFormat="1" x14ac:dyDescent="0.3">
      <c r="A353" s="237" t="str">
        <f>name!E$8</f>
        <v>Skilled trades occupations</v>
      </c>
      <c r="B353" s="302">
        <v>2.6235757021934116</v>
      </c>
      <c r="C353" s="302">
        <v>9.2014320119609624E-3</v>
      </c>
      <c r="D353" s="302">
        <v>0.13189524899127994</v>
      </c>
      <c r="E353" s="302">
        <f t="shared" si="161"/>
        <v>2.7646723831966526</v>
      </c>
      <c r="F353" s="303"/>
      <c r="G353" s="302">
        <v>1.6503280341411874</v>
      </c>
      <c r="H353" s="302">
        <v>1.902529265712706E-2</v>
      </c>
      <c r="I353" s="302">
        <v>0.21407951735375838</v>
      </c>
      <c r="J353" s="302">
        <f>SUM(G353:I353)</f>
        <v>1.8834328441520729</v>
      </c>
      <c r="K353" s="303"/>
      <c r="L353" s="302">
        <v>0.99142808941449756</v>
      </c>
      <c r="M353" s="302">
        <v>1.3116521496134487E-2</v>
      </c>
      <c r="N353" s="302">
        <v>0.15714750138107689</v>
      </c>
      <c r="O353" s="302">
        <f t="shared" si="163"/>
        <v>1.1616921122917088</v>
      </c>
    </row>
    <row r="354" spans="1:15" s="236" customFormat="1" x14ac:dyDescent="0.3">
      <c r="A354" s="237" t="str">
        <f>name!E$9</f>
        <v>Caring, leisure and other service occupations</v>
      </c>
      <c r="B354" s="302">
        <v>3.1246409458277901E-2</v>
      </c>
      <c r="C354" s="302">
        <v>4.0825740232345413E-3</v>
      </c>
      <c r="D354" s="302">
        <v>7.2519371067185341E-3</v>
      </c>
      <c r="E354" s="302">
        <f t="shared" si="161"/>
        <v>4.2580920588230979E-2</v>
      </c>
      <c r="F354" s="303"/>
      <c r="G354" s="302">
        <v>2.5782635086543354E-2</v>
      </c>
      <c r="H354" s="302">
        <v>1.720515830272935E-2</v>
      </c>
      <c r="I354" s="302">
        <v>3.7944521218287964E-3</v>
      </c>
      <c r="J354" s="302">
        <f t="shared" ref="J354:J357" si="164">SUM(G354:I354)</f>
        <v>4.6782245511101501E-2</v>
      </c>
      <c r="K354" s="303"/>
      <c r="L354" s="302">
        <v>2.6418330792242782E-2</v>
      </c>
      <c r="M354" s="302">
        <v>1.2701662309530444E-2</v>
      </c>
      <c r="N354" s="302">
        <v>4.5145871208061017E-3</v>
      </c>
      <c r="O354" s="302">
        <f t="shared" si="163"/>
        <v>4.3634580222579329E-2</v>
      </c>
    </row>
    <row r="355" spans="1:15" s="236" customFormat="1" x14ac:dyDescent="0.3">
      <c r="A355" s="237" t="str">
        <f>name!E$10</f>
        <v>Sales and customer service occupations</v>
      </c>
      <c r="B355" s="302">
        <v>9.8840200783670756E-2</v>
      </c>
      <c r="C355" s="302">
        <v>3.2970334055267683E-2</v>
      </c>
      <c r="D355" s="302">
        <v>5.6563105176756102E-3</v>
      </c>
      <c r="E355" s="302">
        <f t="shared" si="161"/>
        <v>0.13746684535661408</v>
      </c>
      <c r="F355" s="303"/>
      <c r="G355" s="302">
        <v>7.7021580436579348E-2</v>
      </c>
      <c r="H355" s="302">
        <v>7.7545933745159307E-2</v>
      </c>
      <c r="I355" s="302">
        <v>5.8420521242523804E-3</v>
      </c>
      <c r="J355" s="302">
        <f t="shared" si="164"/>
        <v>0.16040956630599101</v>
      </c>
      <c r="K355" s="303"/>
      <c r="L355" s="302">
        <v>7.3424965897302907E-2</v>
      </c>
      <c r="M355" s="302">
        <v>7.1943288812464284E-2</v>
      </c>
      <c r="N355" s="302">
        <v>4.3014310646652329E-3</v>
      </c>
      <c r="O355" s="302">
        <f t="shared" si="163"/>
        <v>0.14966968577443243</v>
      </c>
    </row>
    <row r="356" spans="1:15" s="236" customFormat="1" x14ac:dyDescent="0.3">
      <c r="A356" s="237" t="str">
        <f>name!E$11</f>
        <v>Process, plant and machine operatives</v>
      </c>
      <c r="B356" s="302">
        <v>0.69184686229701164</v>
      </c>
      <c r="C356" s="302">
        <v>1.4042497958802037E-2</v>
      </c>
      <c r="D356" s="302">
        <v>2.6405546721883982E-2</v>
      </c>
      <c r="E356" s="302">
        <f t="shared" si="161"/>
        <v>0.73229490697769772</v>
      </c>
      <c r="F356" s="303"/>
      <c r="G356" s="302">
        <v>0.40872409747946015</v>
      </c>
      <c r="H356" s="302">
        <v>3.681111042988313E-2</v>
      </c>
      <c r="I356" s="302">
        <v>5.0595932788539515E-2</v>
      </c>
      <c r="J356" s="302">
        <f t="shared" si="164"/>
        <v>0.49613114069788278</v>
      </c>
      <c r="K356" s="303"/>
      <c r="L356" s="302">
        <v>0.31381082686933426</v>
      </c>
      <c r="M356" s="302">
        <v>3.7958380569662067E-2</v>
      </c>
      <c r="N356" s="302">
        <v>5.0521932929275072E-2</v>
      </c>
      <c r="O356" s="302">
        <f t="shared" si="163"/>
        <v>0.4022911403682714</v>
      </c>
    </row>
    <row r="357" spans="1:15" s="236" customFormat="1" x14ac:dyDescent="0.3">
      <c r="A357" s="237" t="str">
        <f>name!E$12</f>
        <v>Elementary occupations</v>
      </c>
      <c r="B357" s="302">
        <v>0.11540304071176365</v>
      </c>
      <c r="C357" s="302">
        <v>1.3437579856958429E-2</v>
      </c>
      <c r="D357" s="302">
        <v>1.8257872162218976E-2</v>
      </c>
      <c r="E357" s="302">
        <f t="shared" si="161"/>
        <v>0.14709849273094106</v>
      </c>
      <c r="F357" s="303"/>
      <c r="G357" s="302">
        <v>7.2065916745263595E-2</v>
      </c>
      <c r="H357" s="302">
        <v>2.5288426270765704E-2</v>
      </c>
      <c r="I357" s="302">
        <v>2.2054971452874019E-2</v>
      </c>
      <c r="J357" s="302">
        <f t="shared" si="164"/>
        <v>0.11940931446890332</v>
      </c>
      <c r="K357" s="303"/>
      <c r="L357" s="302">
        <v>4.245975565665986E-2</v>
      </c>
      <c r="M357" s="302">
        <v>1.3089749037797253E-2</v>
      </c>
      <c r="N357" s="302">
        <v>2.5452214365690711E-2</v>
      </c>
      <c r="O357" s="302">
        <f t="shared" si="163"/>
        <v>8.1001719060147831E-2</v>
      </c>
    </row>
    <row r="358" spans="1:15" s="236" customFormat="1" x14ac:dyDescent="0.3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3">
      <c r="A359" s="244" t="s">
        <v>32</v>
      </c>
      <c r="B359" s="311">
        <f>SUM(B349:B357)</f>
        <v>8.9409999999558067</v>
      </c>
      <c r="C359" s="311">
        <f t="shared" ref="C359:E359" si="165">SUM(C349:C357)</f>
        <v>0.17800000000211313</v>
      </c>
      <c r="D359" s="311">
        <f t="shared" si="165"/>
        <v>0.27399999999704422</v>
      </c>
      <c r="E359" s="311">
        <f t="shared" si="165"/>
        <v>9.3929999999549629</v>
      </c>
      <c r="F359" s="311"/>
      <c r="G359" s="311">
        <f t="shared" ref="G359:J359" si="166">SUM(G349:G357)</f>
        <v>7.3059999999708936</v>
      </c>
      <c r="H359" s="311">
        <f t="shared" si="166"/>
        <v>0.4049999999979681</v>
      </c>
      <c r="I359" s="311">
        <f t="shared" si="166"/>
        <v>0.44699999999600926</v>
      </c>
      <c r="J359" s="311">
        <f t="shared" si="166"/>
        <v>8.1579999999648702</v>
      </c>
      <c r="K359" s="311"/>
      <c r="L359" s="311">
        <f t="shared" ref="L359:O359" si="167">SUM(L349:L357)</f>
        <v>5.7759999999797778</v>
      </c>
      <c r="M359" s="311">
        <f t="shared" si="167"/>
        <v>0.34099999999830166</v>
      </c>
      <c r="N359" s="311">
        <f t="shared" si="167"/>
        <v>0.34899999999280928</v>
      </c>
      <c r="O359" s="311">
        <f t="shared" si="167"/>
        <v>6.4659999999708893</v>
      </c>
    </row>
    <row r="360" spans="1:15" s="236" customFormat="1" x14ac:dyDescent="0.3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3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35</v>
      </c>
    </row>
    <row r="362" spans="1:15" s="236" customFormat="1" x14ac:dyDescent="0.3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3">
      <c r="A363" s="241" t="str">
        <f>name!A24</f>
        <v>Furniture</v>
      </c>
      <c r="B363" s="375">
        <f>$B$6</f>
        <v>2015</v>
      </c>
      <c r="C363" s="375"/>
      <c r="D363" s="375"/>
      <c r="E363" s="375"/>
      <c r="F363" s="263"/>
      <c r="G363" s="375">
        <f>$G$6</f>
        <v>2020</v>
      </c>
      <c r="H363" s="375"/>
      <c r="I363" s="375"/>
      <c r="J363" s="375"/>
      <c r="K363" s="263"/>
      <c r="L363" s="375">
        <f>$L$6</f>
        <v>2035</v>
      </c>
      <c r="M363" s="375"/>
      <c r="N363" s="375"/>
      <c r="O363" s="375"/>
    </row>
    <row r="364" spans="1:15" s="236" customFormat="1" x14ac:dyDescent="0.3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3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3">
      <c r="A366" s="237" t="str">
        <f>name!E$4</f>
        <v>Managers, directors and senior officials</v>
      </c>
      <c r="B366" s="302">
        <v>0.6705357667336127</v>
      </c>
      <c r="C366" s="302">
        <v>4.7446135562339349E-2</v>
      </c>
      <c r="D366" s="302">
        <v>0.18070952206292462</v>
      </c>
      <c r="E366" s="302">
        <f>SUM(B366:D366)</f>
        <v>0.89869142435887661</v>
      </c>
      <c r="F366" s="303"/>
      <c r="G366" s="302">
        <v>0.84602595870236297</v>
      </c>
      <c r="H366" s="302">
        <v>0.18199391780355792</v>
      </c>
      <c r="I366" s="302">
        <v>9.6485801842197211E-2</v>
      </c>
      <c r="J366" s="302">
        <f>SUM(G366:I366)</f>
        <v>1.1245056783481182</v>
      </c>
      <c r="K366" s="303"/>
      <c r="L366" s="302">
        <v>0.61919613541259466</v>
      </c>
      <c r="M366" s="302">
        <v>9.9139651917405661E-2</v>
      </c>
      <c r="N366" s="302">
        <v>7.3094947182067452E-2</v>
      </c>
      <c r="O366" s="302">
        <f>SUM(L366:N366)</f>
        <v>0.7914307345120678</v>
      </c>
    </row>
    <row r="367" spans="1:15" s="236" customFormat="1" x14ac:dyDescent="0.3">
      <c r="A367" s="237" t="str">
        <f>name!E$5</f>
        <v>Professional occupations</v>
      </c>
      <c r="B367" s="302">
        <v>0.67569651215718052</v>
      </c>
      <c r="C367" s="302">
        <v>3.5259452738124177E-2</v>
      </c>
      <c r="D367" s="302">
        <v>8.1394817520601695E-2</v>
      </c>
      <c r="E367" s="302">
        <f t="shared" ref="E367:E374" si="168">SUM(B367:D367)</f>
        <v>0.7923507824159064</v>
      </c>
      <c r="F367" s="303"/>
      <c r="G367" s="302">
        <v>0.95306165160789458</v>
      </c>
      <c r="H367" s="302">
        <v>0.2479036267963281</v>
      </c>
      <c r="I367" s="302">
        <v>3.5727390347699811E-2</v>
      </c>
      <c r="J367" s="302">
        <f t="shared" ref="J367:J369" si="169">SUM(G367:I367)</f>
        <v>1.2366926687519224</v>
      </c>
      <c r="K367" s="303"/>
      <c r="L367" s="302">
        <v>0.82941473917810049</v>
      </c>
      <c r="M367" s="302">
        <v>0.21435728055512598</v>
      </c>
      <c r="N367" s="302">
        <v>2.1390700774343928E-2</v>
      </c>
      <c r="O367" s="302">
        <f t="shared" ref="O367:O374" si="170">SUM(L367:N367)</f>
        <v>1.0651627205075704</v>
      </c>
    </row>
    <row r="368" spans="1:15" s="236" customFormat="1" x14ac:dyDescent="0.3">
      <c r="A368" s="237" t="str">
        <f>name!E$6</f>
        <v>Associate professional occupations</v>
      </c>
      <c r="B368" s="302">
        <v>0.56018391965089243</v>
      </c>
      <c r="C368" s="302">
        <v>5.8709708586943465E-2</v>
      </c>
      <c r="D368" s="302">
        <v>0.13401294766731045</v>
      </c>
      <c r="E368" s="302">
        <f t="shared" si="168"/>
        <v>0.75290657590514631</v>
      </c>
      <c r="F368" s="303"/>
      <c r="G368" s="302">
        <v>0.74002558524705075</v>
      </c>
      <c r="H368" s="302">
        <v>0.22455595884228255</v>
      </c>
      <c r="I368" s="302">
        <v>5.3068482161095928E-2</v>
      </c>
      <c r="J368" s="302">
        <f t="shared" si="169"/>
        <v>1.0176500262504291</v>
      </c>
      <c r="K368" s="303"/>
      <c r="L368" s="302">
        <v>0.54592454793664835</v>
      </c>
      <c r="M368" s="302">
        <v>0.11446530806428382</v>
      </c>
      <c r="N368" s="302">
        <v>3.6275120278649466E-2</v>
      </c>
      <c r="O368" s="302">
        <f t="shared" si="170"/>
        <v>0.69666497627958157</v>
      </c>
    </row>
    <row r="369" spans="1:15" s="236" customFormat="1" x14ac:dyDescent="0.3">
      <c r="A369" s="237" t="str">
        <f>name!E$7</f>
        <v>Administrative and secretarial occupations</v>
      </c>
      <c r="B369" s="302">
        <v>0.36322026442617444</v>
      </c>
      <c r="C369" s="302">
        <v>0.18563138800847787</v>
      </c>
      <c r="D369" s="302">
        <v>3.7377728235163825E-2</v>
      </c>
      <c r="E369" s="302">
        <f t="shared" si="168"/>
        <v>0.58622938066981611</v>
      </c>
      <c r="F369" s="303"/>
      <c r="G369" s="302">
        <v>0.4537858688445785</v>
      </c>
      <c r="H369" s="302">
        <v>0.45803779309015746</v>
      </c>
      <c r="I369" s="302">
        <v>1.2461390156876487E-2</v>
      </c>
      <c r="J369" s="302">
        <f t="shared" si="169"/>
        <v>0.92428505209161249</v>
      </c>
      <c r="K369" s="303"/>
      <c r="L369" s="302">
        <v>0.30622321954079662</v>
      </c>
      <c r="M369" s="302">
        <v>0.20265501806881275</v>
      </c>
      <c r="N369" s="302">
        <v>7.180610920031659E-3</v>
      </c>
      <c r="O369" s="302">
        <f t="shared" si="170"/>
        <v>0.51605884852964101</v>
      </c>
    </row>
    <row r="370" spans="1:15" s="236" customFormat="1" x14ac:dyDescent="0.3">
      <c r="A370" s="237" t="str">
        <f>name!E$8</f>
        <v>Skilled trades occupations</v>
      </c>
      <c r="B370" s="302">
        <v>1.9352799191128209</v>
      </c>
      <c r="C370" s="302">
        <v>0.10362803825629677</v>
      </c>
      <c r="D370" s="302">
        <v>1.0177914002967756</v>
      </c>
      <c r="E370" s="302">
        <f t="shared" si="168"/>
        <v>3.0566993576658934</v>
      </c>
      <c r="F370" s="303"/>
      <c r="G370" s="302">
        <v>1.7045062341143062</v>
      </c>
      <c r="H370" s="302">
        <v>0.19902564952695806</v>
      </c>
      <c r="I370" s="302">
        <v>0.40906162746957569</v>
      </c>
      <c r="J370" s="302">
        <f>SUM(G370:I370)</f>
        <v>2.31259351111084</v>
      </c>
      <c r="K370" s="303"/>
      <c r="L370" s="302">
        <v>0.99365195956363839</v>
      </c>
      <c r="M370" s="302">
        <v>0.13371400171396036</v>
      </c>
      <c r="N370" s="302">
        <v>0.28072426086410474</v>
      </c>
      <c r="O370" s="302">
        <f t="shared" si="170"/>
        <v>1.4080902221417035</v>
      </c>
    </row>
    <row r="371" spans="1:15" s="236" customFormat="1" x14ac:dyDescent="0.3">
      <c r="A371" s="237" t="str">
        <f>name!E$9</f>
        <v>Caring, leisure and other service occupations</v>
      </c>
      <c r="B371" s="302">
        <v>1.9624584627849443E-2</v>
      </c>
      <c r="C371" s="302">
        <v>1.1798750866644831E-2</v>
      </c>
      <c r="D371" s="302">
        <v>1.0922003731780936E-2</v>
      </c>
      <c r="E371" s="302">
        <f t="shared" si="168"/>
        <v>4.234533922627521E-2</v>
      </c>
      <c r="F371" s="303"/>
      <c r="G371" s="302">
        <v>2.3889284847696562E-2</v>
      </c>
      <c r="H371" s="302">
        <v>0.11122581903075497</v>
      </c>
      <c r="I371" s="302">
        <v>4.7668115578089077E-3</v>
      </c>
      <c r="J371" s="302">
        <f t="shared" ref="J371:J374" si="171">SUM(G371:I371)</f>
        <v>0.13988191543626047</v>
      </c>
      <c r="K371" s="303"/>
      <c r="L371" s="302">
        <v>2.1915428926107303E-2</v>
      </c>
      <c r="M371" s="302">
        <v>9.9180753778251168E-2</v>
      </c>
      <c r="N371" s="302">
        <v>5.1037450607224616E-3</v>
      </c>
      <c r="O371" s="302">
        <f t="shared" si="170"/>
        <v>0.12619992776508093</v>
      </c>
    </row>
    <row r="372" spans="1:15" s="236" customFormat="1" x14ac:dyDescent="0.3">
      <c r="A372" s="237" t="str">
        <f>name!E$10</f>
        <v>Sales and customer service occupations</v>
      </c>
      <c r="B372" s="302">
        <v>0.26352586573778625</v>
      </c>
      <c r="C372" s="302">
        <v>6.2745421730093398E-2</v>
      </c>
      <c r="D372" s="302">
        <v>4.0706256469403228E-2</v>
      </c>
      <c r="E372" s="302">
        <f t="shared" si="168"/>
        <v>0.36697754393728288</v>
      </c>
      <c r="F372" s="303"/>
      <c r="G372" s="302">
        <v>0.27753373281125548</v>
      </c>
      <c r="H372" s="302">
        <v>0.31356290580197138</v>
      </c>
      <c r="I372" s="302">
        <v>1.4059244707190336E-2</v>
      </c>
      <c r="J372" s="302">
        <f t="shared" si="171"/>
        <v>0.60515588332041714</v>
      </c>
      <c r="K372" s="303"/>
      <c r="L372" s="302">
        <v>0.21119764449075548</v>
      </c>
      <c r="M372" s="302">
        <v>0.24799392861833749</v>
      </c>
      <c r="N372" s="302">
        <v>8.8306322938812281E-3</v>
      </c>
      <c r="O372" s="302">
        <f t="shared" si="170"/>
        <v>0.46802220540297418</v>
      </c>
    </row>
    <row r="373" spans="1:15" s="236" customFormat="1" x14ac:dyDescent="0.3">
      <c r="A373" s="237" t="str">
        <f>name!E$11</f>
        <v>Process, plant and machine operatives</v>
      </c>
      <c r="B373" s="302">
        <v>0.85702820198509877</v>
      </c>
      <c r="C373" s="302">
        <v>0.10300524930862894</v>
      </c>
      <c r="D373" s="302">
        <v>0.13242155556627477</v>
      </c>
      <c r="E373" s="302">
        <f t="shared" si="168"/>
        <v>1.0924550068600025</v>
      </c>
      <c r="F373" s="303"/>
      <c r="G373" s="302">
        <v>0.78015600806891405</v>
      </c>
      <c r="H373" s="302">
        <v>0.24097711568703231</v>
      </c>
      <c r="I373" s="302">
        <v>6.6416660380476319E-2</v>
      </c>
      <c r="J373" s="302">
        <f t="shared" si="171"/>
        <v>1.0875497841364228</v>
      </c>
      <c r="K373" s="303"/>
      <c r="L373" s="302">
        <v>0.60949965508310611</v>
      </c>
      <c r="M373" s="302">
        <v>0.26779146766830852</v>
      </c>
      <c r="N373" s="302">
        <v>5.2131599225098142E-2</v>
      </c>
      <c r="O373" s="302">
        <f t="shared" si="170"/>
        <v>0.92942272197651277</v>
      </c>
    </row>
    <row r="374" spans="1:15" s="236" customFormat="1" x14ac:dyDescent="0.3">
      <c r="A374" s="237" t="str">
        <f>name!E$12</f>
        <v>Elementary occupations</v>
      </c>
      <c r="B374" s="302">
        <v>0.48690496555803331</v>
      </c>
      <c r="C374" s="302">
        <v>5.7775854953128793E-2</v>
      </c>
      <c r="D374" s="302">
        <v>3.866376844936821E-2</v>
      </c>
      <c r="E374" s="302">
        <f t="shared" si="168"/>
        <v>0.58334458896053032</v>
      </c>
      <c r="F374" s="303"/>
      <c r="G374" s="302">
        <v>0.43901567576708622</v>
      </c>
      <c r="H374" s="302">
        <v>0.35571721342344192</v>
      </c>
      <c r="I374" s="302">
        <v>8.9525913746106509E-3</v>
      </c>
      <c r="J374" s="302">
        <f t="shared" si="171"/>
        <v>0.80368548056513878</v>
      </c>
      <c r="K374" s="303"/>
      <c r="L374" s="302">
        <v>0.23697666990401822</v>
      </c>
      <c r="M374" s="302">
        <v>0.23670258961982021</v>
      </c>
      <c r="N374" s="302">
        <v>7.2683833999259411E-3</v>
      </c>
      <c r="O374" s="302">
        <f t="shared" si="170"/>
        <v>0.48094764292376435</v>
      </c>
    </row>
    <row r="375" spans="1:15" s="236" customFormat="1" x14ac:dyDescent="0.3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3">
      <c r="A376" s="244" t="s">
        <v>32</v>
      </c>
      <c r="B376" s="311">
        <f>SUM(B366:B374)</f>
        <v>5.8319999999894483</v>
      </c>
      <c r="C376" s="311">
        <f t="shared" ref="C376:E376" si="172">SUM(C366:C374)</f>
        <v>0.66600000001067761</v>
      </c>
      <c r="D376" s="311">
        <f t="shared" si="172"/>
        <v>1.6739999999996034</v>
      </c>
      <c r="E376" s="311">
        <f t="shared" si="172"/>
        <v>8.1719999999997306</v>
      </c>
      <c r="F376" s="311"/>
      <c r="G376" s="311">
        <f t="shared" ref="G376:J376" si="173">SUM(G366:G374)</f>
        <v>6.2180000000111448</v>
      </c>
      <c r="H376" s="311">
        <f t="shared" si="173"/>
        <v>2.3330000000024849</v>
      </c>
      <c r="I376" s="311">
        <f t="shared" si="173"/>
        <v>0.70099999999753138</v>
      </c>
      <c r="J376" s="311">
        <f t="shared" si="173"/>
        <v>9.2520000000111615</v>
      </c>
      <c r="K376" s="311"/>
      <c r="L376" s="311">
        <f t="shared" ref="L376:O376" si="174">SUM(L366:L374)</f>
        <v>4.3740000000357648</v>
      </c>
      <c r="M376" s="311">
        <f t="shared" si="174"/>
        <v>1.616000000004306</v>
      </c>
      <c r="N376" s="311">
        <f t="shared" si="174"/>
        <v>0.49199999999882499</v>
      </c>
      <c r="O376" s="311">
        <f t="shared" si="174"/>
        <v>6.4820000000388962</v>
      </c>
    </row>
    <row r="377" spans="1:15" s="236" customFormat="1" x14ac:dyDescent="0.3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3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35</v>
      </c>
    </row>
    <row r="379" spans="1:15" s="236" customFormat="1" x14ac:dyDescent="0.3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3">
      <c r="A380" s="241" t="str">
        <f>name!A25</f>
        <v>Other manufacturing</v>
      </c>
      <c r="B380" s="375">
        <f>$B$6</f>
        <v>2015</v>
      </c>
      <c r="C380" s="375"/>
      <c r="D380" s="375"/>
      <c r="E380" s="375"/>
      <c r="F380" s="263"/>
      <c r="G380" s="375">
        <f>$G$6</f>
        <v>2020</v>
      </c>
      <c r="H380" s="375"/>
      <c r="I380" s="375"/>
      <c r="J380" s="375"/>
      <c r="K380" s="263"/>
      <c r="L380" s="375">
        <f>$L$6</f>
        <v>2035</v>
      </c>
      <c r="M380" s="375"/>
      <c r="N380" s="375"/>
      <c r="O380" s="375"/>
    </row>
    <row r="381" spans="1:15" s="236" customFormat="1" x14ac:dyDescent="0.3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3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3">
      <c r="A383" s="237" t="str">
        <f>name!E$4</f>
        <v>Managers, directors and senior officials</v>
      </c>
      <c r="B383" s="302">
        <v>1.0869582051632845</v>
      </c>
      <c r="C383" s="302">
        <v>7.908363851207946E-2</v>
      </c>
      <c r="D383" s="302">
        <v>0.20144272107633723</v>
      </c>
      <c r="E383" s="302">
        <f>SUM(B383:D383)</f>
        <v>1.3674845647517011</v>
      </c>
      <c r="F383" s="303"/>
      <c r="G383" s="302">
        <v>0.87565887832007694</v>
      </c>
      <c r="H383" s="302">
        <v>7.116318541762609E-2</v>
      </c>
      <c r="I383" s="302">
        <v>9.6062250898762525E-2</v>
      </c>
      <c r="J383" s="302">
        <f>SUM(G383:I383)</f>
        <v>1.0428843146364657</v>
      </c>
      <c r="K383" s="303"/>
      <c r="L383" s="302">
        <v>0.63921502813322228</v>
      </c>
      <c r="M383" s="302">
        <v>5.382913493182135E-2</v>
      </c>
      <c r="N383" s="302">
        <v>6.1534237595064288E-2</v>
      </c>
      <c r="O383" s="302">
        <f>SUM(L383:N383)</f>
        <v>0.75457840066010795</v>
      </c>
    </row>
    <row r="384" spans="1:15" s="236" customFormat="1" x14ac:dyDescent="0.3">
      <c r="A384" s="237" t="str">
        <f>name!E$5</f>
        <v>Professional occupations</v>
      </c>
      <c r="B384" s="302">
        <v>1.2429755065804795</v>
      </c>
      <c r="C384" s="302">
        <v>6.0332065982425631E-2</v>
      </c>
      <c r="D384" s="302">
        <v>0.12141891135175237</v>
      </c>
      <c r="E384" s="302">
        <f t="shared" ref="E384:E391" si="175">SUM(B384:D384)</f>
        <v>1.4247264839146574</v>
      </c>
      <c r="F384" s="303"/>
      <c r="G384" s="302">
        <v>1.1147165809965569</v>
      </c>
      <c r="H384" s="302">
        <v>5.373632944116398E-2</v>
      </c>
      <c r="I384" s="302">
        <v>4.7338501443551929E-2</v>
      </c>
      <c r="J384" s="302">
        <f t="shared" ref="J384:J386" si="176">SUM(G384:I384)</f>
        <v>1.2157914118812727</v>
      </c>
      <c r="K384" s="303"/>
      <c r="L384" s="302">
        <v>0.92159537426961513</v>
      </c>
      <c r="M384" s="302">
        <v>4.8124271532289604E-2</v>
      </c>
      <c r="N384" s="302">
        <v>2.714050281877782E-2</v>
      </c>
      <c r="O384" s="302">
        <f t="shared" ref="O384:O391" si="177">SUM(L384:N384)</f>
        <v>0.99686014862068251</v>
      </c>
    </row>
    <row r="385" spans="1:15" s="236" customFormat="1" x14ac:dyDescent="0.3">
      <c r="A385" s="237" t="str">
        <f>name!E$6</f>
        <v>Associate professional occupations</v>
      </c>
      <c r="B385" s="302">
        <v>1.0077385438472566</v>
      </c>
      <c r="C385" s="302">
        <v>9.475751633125154E-2</v>
      </c>
      <c r="D385" s="302">
        <v>0.21610201894754913</v>
      </c>
      <c r="E385" s="302">
        <f t="shared" si="175"/>
        <v>1.3185980791260572</v>
      </c>
      <c r="F385" s="303"/>
      <c r="G385" s="302">
        <v>0.84874477076389032</v>
      </c>
      <c r="H385" s="302">
        <v>5.9800150040441293E-2</v>
      </c>
      <c r="I385" s="302">
        <v>5.7978318614074487E-2</v>
      </c>
      <c r="J385" s="302">
        <f t="shared" si="176"/>
        <v>0.96652323941840601</v>
      </c>
      <c r="K385" s="303"/>
      <c r="L385" s="302">
        <v>0.60412350457679531</v>
      </c>
      <c r="M385" s="302">
        <v>3.2796101702683142E-2</v>
      </c>
      <c r="N385" s="302">
        <v>3.8253368594577897E-2</v>
      </c>
      <c r="O385" s="302">
        <f t="shared" si="177"/>
        <v>0.67517297487405625</v>
      </c>
    </row>
    <row r="386" spans="1:15" s="236" customFormat="1" x14ac:dyDescent="0.3">
      <c r="A386" s="237" t="str">
        <f>name!E$7</f>
        <v>Administrative and secretarial occupations</v>
      </c>
      <c r="B386" s="302">
        <v>0.7791712449679391</v>
      </c>
      <c r="C386" s="302">
        <v>0.28928968295185947</v>
      </c>
      <c r="D386" s="302">
        <v>6.3054227149910352E-2</v>
      </c>
      <c r="E386" s="302">
        <f t="shared" si="175"/>
        <v>1.1315151550697089</v>
      </c>
      <c r="F386" s="303"/>
      <c r="G386" s="302">
        <v>0.57753138606223275</v>
      </c>
      <c r="H386" s="302">
        <v>9.6711595862364108E-2</v>
      </c>
      <c r="I386" s="302">
        <v>1.3441641013725492E-2</v>
      </c>
      <c r="J386" s="302">
        <f t="shared" si="176"/>
        <v>0.68768462293832233</v>
      </c>
      <c r="K386" s="303"/>
      <c r="L386" s="302">
        <v>0.33758368959682644</v>
      </c>
      <c r="M386" s="302">
        <v>4.0934063745900647E-2</v>
      </c>
      <c r="N386" s="302">
        <v>6.7974718639033744E-3</v>
      </c>
      <c r="O386" s="302">
        <f t="shared" si="177"/>
        <v>0.38531522520663047</v>
      </c>
    </row>
    <row r="387" spans="1:15" s="236" customFormat="1" x14ac:dyDescent="0.3">
      <c r="A387" s="237" t="str">
        <f>name!E$8</f>
        <v>Skilled trades occupations</v>
      </c>
      <c r="B387" s="302">
        <v>2.3357712632923446</v>
      </c>
      <c r="C387" s="302">
        <v>0.16362759357554107</v>
      </c>
      <c r="D387" s="302">
        <v>1.1121902703295865</v>
      </c>
      <c r="E387" s="302">
        <f t="shared" si="175"/>
        <v>3.6115891271974725</v>
      </c>
      <c r="F387" s="303"/>
      <c r="G387" s="302">
        <v>1.3340920597036547</v>
      </c>
      <c r="H387" s="302">
        <v>7.4582420754080656E-2</v>
      </c>
      <c r="I387" s="302">
        <v>0.38252261252475811</v>
      </c>
      <c r="J387" s="302">
        <f>SUM(G387:I387)</f>
        <v>1.7911970929824934</v>
      </c>
      <c r="K387" s="303"/>
      <c r="L387" s="302">
        <v>0.83802659241877553</v>
      </c>
      <c r="M387" s="302">
        <v>6.2246799827269793E-2</v>
      </c>
      <c r="N387" s="302">
        <v>0.21968143161864903</v>
      </c>
      <c r="O387" s="302">
        <f t="shared" si="177"/>
        <v>1.1199548238646944</v>
      </c>
    </row>
    <row r="388" spans="1:15" s="236" customFormat="1" x14ac:dyDescent="0.3">
      <c r="A388" s="237" t="str">
        <f>name!E$9</f>
        <v>Caring, leisure and other service occupations</v>
      </c>
      <c r="B388" s="302">
        <v>4.3933825025293624E-2</v>
      </c>
      <c r="C388" s="302">
        <v>2.6300265875548075E-2</v>
      </c>
      <c r="D388" s="302">
        <v>1.6088653112591302E-2</v>
      </c>
      <c r="E388" s="302">
        <f t="shared" si="175"/>
        <v>8.6322744013433012E-2</v>
      </c>
      <c r="F388" s="303"/>
      <c r="G388" s="302">
        <v>3.1128959736530386E-2</v>
      </c>
      <c r="H388" s="302">
        <v>9.1802067771951257E-3</v>
      </c>
      <c r="I388" s="302">
        <v>5.2993208225930533E-3</v>
      </c>
      <c r="J388" s="302">
        <f t="shared" ref="J388:J391" si="178">SUM(G388:I388)</f>
        <v>4.5608487336318566E-2</v>
      </c>
      <c r="K388" s="303"/>
      <c r="L388" s="302">
        <v>2.459755379381082E-2</v>
      </c>
      <c r="M388" s="302">
        <v>4.350870276506073E-3</v>
      </c>
      <c r="N388" s="302">
        <v>5.2946652400196886E-3</v>
      </c>
      <c r="O388" s="302">
        <f t="shared" si="177"/>
        <v>3.424308931033658E-2</v>
      </c>
    </row>
    <row r="389" spans="1:15" s="236" customFormat="1" x14ac:dyDescent="0.3">
      <c r="A389" s="237" t="str">
        <f>name!E$10</f>
        <v>Sales and customer service occupations</v>
      </c>
      <c r="B389" s="302">
        <v>0.38698807951168179</v>
      </c>
      <c r="C389" s="302">
        <v>9.4218795663251767E-2</v>
      </c>
      <c r="D389" s="302">
        <v>5.1170889693119795E-2</v>
      </c>
      <c r="E389" s="302">
        <f t="shared" si="175"/>
        <v>0.53237776486805333</v>
      </c>
      <c r="F389" s="303"/>
      <c r="G389" s="302">
        <v>0.26069098832287785</v>
      </c>
      <c r="H389" s="302">
        <v>3.3947889934247057E-2</v>
      </c>
      <c r="I389" s="302">
        <v>1.5380698938878451E-2</v>
      </c>
      <c r="J389" s="302">
        <f t="shared" si="178"/>
        <v>0.31001957719600337</v>
      </c>
      <c r="K389" s="303"/>
      <c r="L389" s="302">
        <v>0.19785279137777559</v>
      </c>
      <c r="M389" s="302">
        <v>1.4905539301721265E-2</v>
      </c>
      <c r="N389" s="302">
        <v>8.8668276472106764E-3</v>
      </c>
      <c r="O389" s="302">
        <f t="shared" si="177"/>
        <v>0.22162515832670751</v>
      </c>
    </row>
    <row r="390" spans="1:15" s="236" customFormat="1" x14ac:dyDescent="0.3">
      <c r="A390" s="237" t="str">
        <f>name!E$11</f>
        <v>Process, plant and machine operatives</v>
      </c>
      <c r="B390" s="302">
        <v>1.2211838724602913</v>
      </c>
      <c r="C390" s="302">
        <v>0.17022486923527794</v>
      </c>
      <c r="D390" s="302">
        <v>0.152805998098789</v>
      </c>
      <c r="E390" s="302">
        <f t="shared" si="175"/>
        <v>1.5442147397943582</v>
      </c>
      <c r="F390" s="303"/>
      <c r="G390" s="302">
        <v>0.68380576989923747</v>
      </c>
      <c r="H390" s="302">
        <v>0.10740712153728453</v>
      </c>
      <c r="I390" s="302">
        <v>6.7340950141191111E-2</v>
      </c>
      <c r="J390" s="302">
        <f t="shared" si="178"/>
        <v>0.85855384157771308</v>
      </c>
      <c r="K390" s="303"/>
      <c r="L390" s="302">
        <v>0.52416389577203382</v>
      </c>
      <c r="M390" s="302">
        <v>0.10520417765965781</v>
      </c>
      <c r="N390" s="302">
        <v>4.7153071905210918E-2</v>
      </c>
      <c r="O390" s="302">
        <f t="shared" si="177"/>
        <v>0.67652114533690255</v>
      </c>
    </row>
    <row r="391" spans="1:15" s="236" customFormat="1" x14ac:dyDescent="0.3">
      <c r="A391" s="237" t="str">
        <f>name!E$12</f>
        <v>Elementary occupations</v>
      </c>
      <c r="B391" s="302">
        <v>0.57427945911964962</v>
      </c>
      <c r="C391" s="302">
        <v>8.7165571888544971E-2</v>
      </c>
      <c r="D391" s="302">
        <v>7.6726310247842405E-2</v>
      </c>
      <c r="E391" s="302">
        <f t="shared" si="175"/>
        <v>0.73817134125603701</v>
      </c>
      <c r="F391" s="303"/>
      <c r="G391" s="302">
        <v>0.31863060618934785</v>
      </c>
      <c r="H391" s="302">
        <v>2.6471100234905065E-2</v>
      </c>
      <c r="I391" s="302">
        <v>1.1635705600539396E-2</v>
      </c>
      <c r="J391" s="302">
        <f t="shared" si="178"/>
        <v>0.35673741202479231</v>
      </c>
      <c r="K391" s="303"/>
      <c r="L391" s="302">
        <v>0.17784157008781881</v>
      </c>
      <c r="M391" s="302">
        <v>6.6090410217438606E-3</v>
      </c>
      <c r="N391" s="302">
        <v>9.2784227165565447E-3</v>
      </c>
      <c r="O391" s="302">
        <f t="shared" si="177"/>
        <v>0.19372903382611922</v>
      </c>
    </row>
    <row r="392" spans="1:15" s="236" customFormat="1" x14ac:dyDescent="0.3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3">
      <c r="A393" s="244" t="s">
        <v>32</v>
      </c>
      <c r="B393" s="311">
        <f>SUM(B383:B391)</f>
        <v>8.6789999999682195</v>
      </c>
      <c r="C393" s="311">
        <f t="shared" ref="C393:E393" si="179">SUM(C383:C391)</f>
        <v>1.0650000000157798</v>
      </c>
      <c r="D393" s="311">
        <f t="shared" si="179"/>
        <v>2.0110000000074781</v>
      </c>
      <c r="E393" s="311">
        <f t="shared" si="179"/>
        <v>11.754999999991478</v>
      </c>
      <c r="F393" s="311"/>
      <c r="G393" s="311">
        <f t="shared" ref="G393:J393" si="180">SUM(G383:G391)</f>
        <v>6.0449999999944053</v>
      </c>
      <c r="H393" s="311">
        <f t="shared" si="180"/>
        <v>0.53299999999930792</v>
      </c>
      <c r="I393" s="311">
        <f t="shared" si="180"/>
        <v>0.6969999999980746</v>
      </c>
      <c r="J393" s="311">
        <f t="shared" si="180"/>
        <v>7.2749999999917874</v>
      </c>
      <c r="K393" s="311"/>
      <c r="L393" s="311">
        <f t="shared" ref="L393:O393" si="181">SUM(L383:L391)</f>
        <v>4.2650000000266735</v>
      </c>
      <c r="M393" s="311">
        <f t="shared" si="181"/>
        <v>0.36899999999959354</v>
      </c>
      <c r="N393" s="311">
        <f t="shared" si="181"/>
        <v>0.42399999999997023</v>
      </c>
      <c r="O393" s="311">
        <f t="shared" si="181"/>
        <v>5.0580000000262375</v>
      </c>
    </row>
    <row r="394" spans="1:15" s="236" customFormat="1" x14ac:dyDescent="0.3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  <row r="395" spans="1:15" s="236" customFormat="1" x14ac:dyDescent="0.3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37"/>
      <c r="M395" s="237"/>
      <c r="N395" s="240"/>
      <c r="O395" s="251" t="s">
        <v>35</v>
      </c>
    </row>
    <row r="396" spans="1:15" s="236" customFormat="1" x14ac:dyDescent="0.3">
      <c r="A396" s="242"/>
      <c r="B396" s="242"/>
      <c r="C396" s="242"/>
      <c r="D396" s="242"/>
      <c r="E396" s="242"/>
      <c r="F396" s="242"/>
      <c r="G396" s="242"/>
      <c r="H396" s="242"/>
      <c r="I396" s="242"/>
      <c r="J396" s="242"/>
      <c r="K396" s="242"/>
      <c r="L396" s="242"/>
      <c r="M396" s="242"/>
      <c r="N396" s="242"/>
      <c r="O396" s="242"/>
    </row>
    <row r="397" spans="1:15" s="236" customFormat="1" x14ac:dyDescent="0.3">
      <c r="A397" s="241" t="str">
        <f>name!A26</f>
        <v>Repair and installation</v>
      </c>
      <c r="B397" s="375">
        <f>$B$6</f>
        <v>2015</v>
      </c>
      <c r="C397" s="375"/>
      <c r="D397" s="375"/>
      <c r="E397" s="375"/>
      <c r="F397" s="263"/>
      <c r="G397" s="375">
        <f>$G$6</f>
        <v>2020</v>
      </c>
      <c r="H397" s="375"/>
      <c r="I397" s="375"/>
      <c r="J397" s="375"/>
      <c r="K397" s="263"/>
      <c r="L397" s="375">
        <f>$L$6</f>
        <v>2035</v>
      </c>
      <c r="M397" s="375"/>
      <c r="N397" s="375"/>
      <c r="O397" s="375"/>
    </row>
    <row r="398" spans="1:15" s="236" customFormat="1" x14ac:dyDescent="0.3">
      <c r="A398" s="254"/>
      <c r="B398" s="268" t="str">
        <f>$B$7</f>
        <v>FT</v>
      </c>
      <c r="C398" s="268" t="str">
        <f>$C$7</f>
        <v>PT</v>
      </c>
      <c r="D398" s="268" t="str">
        <f>$D$7</f>
        <v>SE</v>
      </c>
      <c r="E398" s="268" t="str">
        <f>$E$7</f>
        <v>Total</v>
      </c>
      <c r="F398" s="268"/>
      <c r="G398" s="268" t="str">
        <f>$G$7</f>
        <v>FT</v>
      </c>
      <c r="H398" s="268" t="str">
        <f>$H$7</f>
        <v>PT</v>
      </c>
      <c r="I398" s="268" t="str">
        <f>$I$7</f>
        <v>SE</v>
      </c>
      <c r="J398" s="268" t="str">
        <f>$J$7</f>
        <v>Total</v>
      </c>
      <c r="K398" s="268"/>
      <c r="L398" s="268" t="str">
        <f>$L$7</f>
        <v>FT</v>
      </c>
      <c r="M398" s="268" t="str">
        <f>$M$7</f>
        <v>PT</v>
      </c>
      <c r="N398" s="268" t="str">
        <f>$N$7</f>
        <v>SE</v>
      </c>
      <c r="O398" s="268" t="str">
        <f>$O$7</f>
        <v>Total</v>
      </c>
    </row>
    <row r="399" spans="1:15" s="236" customFormat="1" x14ac:dyDescent="0.3">
      <c r="A399" s="258"/>
      <c r="B399" s="239"/>
      <c r="C399" s="239"/>
      <c r="D399" s="239"/>
      <c r="E399" s="239"/>
      <c r="F399" s="239"/>
      <c r="G399" s="239"/>
      <c r="H399" s="239"/>
      <c r="I399" s="239"/>
      <c r="J399" s="239"/>
      <c r="K399" s="239"/>
      <c r="L399" s="239"/>
      <c r="M399" s="239"/>
      <c r="N399" s="239"/>
      <c r="O399" s="239"/>
    </row>
    <row r="400" spans="1:15" s="236" customFormat="1" x14ac:dyDescent="0.3">
      <c r="A400" s="237" t="str">
        <f>name!E$4</f>
        <v>Managers, directors and senior officials</v>
      </c>
      <c r="B400" s="302">
        <v>1.1007409566774593</v>
      </c>
      <c r="C400" s="302">
        <v>7.5355034677926036E-2</v>
      </c>
      <c r="D400" s="302">
        <v>0.52619059227420284</v>
      </c>
      <c r="E400" s="302">
        <f>SUM(B400:D400)</f>
        <v>1.7022865836295882</v>
      </c>
      <c r="F400" s="303"/>
      <c r="G400" s="302">
        <v>1.9846663058168552</v>
      </c>
      <c r="H400" s="302">
        <v>0.22944619935370775</v>
      </c>
      <c r="I400" s="302">
        <v>0.76832394902565027</v>
      </c>
      <c r="J400" s="302">
        <f>SUM(G400:I400)</f>
        <v>2.9824364541962129</v>
      </c>
      <c r="K400" s="303"/>
      <c r="L400" s="302">
        <v>1.3496576806951397</v>
      </c>
      <c r="M400" s="302">
        <v>0.19458058904739237</v>
      </c>
      <c r="N400" s="302">
        <v>0.52425116841869734</v>
      </c>
      <c r="O400" s="302">
        <f>SUM(L400:N400)</f>
        <v>2.0684894381612295</v>
      </c>
    </row>
    <row r="401" spans="1:15" s="236" customFormat="1" x14ac:dyDescent="0.3">
      <c r="A401" s="237" t="str">
        <f>name!E$5</f>
        <v>Professional occupations</v>
      </c>
      <c r="B401" s="302">
        <v>2.2113549653403539</v>
      </c>
      <c r="C401" s="302">
        <v>8.826998272059651E-2</v>
      </c>
      <c r="D401" s="302">
        <v>0.39447892648243899</v>
      </c>
      <c r="E401" s="302">
        <f t="shared" ref="E401:E408" si="182">SUM(B401:D401)</f>
        <v>2.6941038745433894</v>
      </c>
      <c r="F401" s="303"/>
      <c r="G401" s="302">
        <v>4.4232203769164204</v>
      </c>
      <c r="H401" s="302">
        <v>0.20662543105741882</v>
      </c>
      <c r="I401" s="302">
        <v>0.48793457505512844</v>
      </c>
      <c r="J401" s="302">
        <f t="shared" ref="J401:J403" si="183">SUM(G401:I401)</f>
        <v>5.1177803830289674</v>
      </c>
      <c r="K401" s="303"/>
      <c r="L401" s="302">
        <v>3.4868787655789752</v>
      </c>
      <c r="M401" s="302">
        <v>0.14417646490887301</v>
      </c>
      <c r="N401" s="302">
        <v>0.28601076291375938</v>
      </c>
      <c r="O401" s="302">
        <f t="shared" ref="O401:O408" si="184">SUM(L401:N401)</f>
        <v>3.9170659934016077</v>
      </c>
    </row>
    <row r="402" spans="1:15" s="236" customFormat="1" x14ac:dyDescent="0.3">
      <c r="A402" s="237" t="str">
        <f>name!E$6</f>
        <v>Associate professional occupations</v>
      </c>
      <c r="B402" s="302">
        <v>1.1529748157967667</v>
      </c>
      <c r="C402" s="302">
        <v>8.3229600547356744E-2</v>
      </c>
      <c r="D402" s="302">
        <v>0.23471979258489364</v>
      </c>
      <c r="E402" s="302">
        <f t="shared" si="182"/>
        <v>1.4709242089290171</v>
      </c>
      <c r="F402" s="303"/>
      <c r="G402" s="302">
        <v>2.2227703288416696</v>
      </c>
      <c r="H402" s="302">
        <v>0.1658368090652283</v>
      </c>
      <c r="I402" s="302">
        <v>0.25849921274053411</v>
      </c>
      <c r="J402" s="302">
        <f t="shared" si="183"/>
        <v>2.6471063506474319</v>
      </c>
      <c r="K402" s="303"/>
      <c r="L402" s="302">
        <v>1.4221847425172951</v>
      </c>
      <c r="M402" s="302">
        <v>0.11035362537386638</v>
      </c>
      <c r="N402" s="302">
        <v>0.16594975769294484</v>
      </c>
      <c r="O402" s="302">
        <f t="shared" si="184"/>
        <v>1.6984881255841064</v>
      </c>
    </row>
    <row r="403" spans="1:15" s="236" customFormat="1" x14ac:dyDescent="0.3">
      <c r="A403" s="237" t="str">
        <f>name!E$7</f>
        <v>Administrative and secretarial occupations</v>
      </c>
      <c r="B403" s="302">
        <v>0.59808560483815665</v>
      </c>
      <c r="C403" s="302">
        <v>0.31582852470141909</v>
      </c>
      <c r="D403" s="302">
        <v>9.0398496710276416E-2</v>
      </c>
      <c r="E403" s="302">
        <f t="shared" si="182"/>
        <v>1.0043126262498521</v>
      </c>
      <c r="F403" s="303"/>
      <c r="G403" s="302">
        <v>1.0307061109679974</v>
      </c>
      <c r="H403" s="302">
        <v>0.53354495157256565</v>
      </c>
      <c r="I403" s="302">
        <v>7.084910059692491E-2</v>
      </c>
      <c r="J403" s="302">
        <f t="shared" si="183"/>
        <v>1.635100163137488</v>
      </c>
      <c r="K403" s="303"/>
      <c r="L403" s="302">
        <v>0.65340336060538118</v>
      </c>
      <c r="M403" s="302">
        <v>0.30526455807204561</v>
      </c>
      <c r="N403" s="302">
        <v>5.5674468945525801E-2</v>
      </c>
      <c r="O403" s="302">
        <f t="shared" si="184"/>
        <v>1.0143423876229525</v>
      </c>
    </row>
    <row r="404" spans="1:15" s="236" customFormat="1" x14ac:dyDescent="0.3">
      <c r="A404" s="237" t="str">
        <f>name!E$8</f>
        <v>Skilled trades occupations</v>
      </c>
      <c r="B404" s="302">
        <v>2.2016062169458017</v>
      </c>
      <c r="C404" s="302">
        <v>3.0336147942254022E-2</v>
      </c>
      <c r="D404" s="302">
        <v>0.51635685128772668</v>
      </c>
      <c r="E404" s="302">
        <f t="shared" si="182"/>
        <v>2.7482992161757824</v>
      </c>
      <c r="F404" s="303"/>
      <c r="G404" s="302">
        <v>2.9860430002006408</v>
      </c>
      <c r="H404" s="302">
        <v>6.4678389541446987E-2</v>
      </c>
      <c r="I404" s="302">
        <v>0.76650092236264888</v>
      </c>
      <c r="J404" s="302">
        <f>SUM(G404:I404)</f>
        <v>3.8172223121047368</v>
      </c>
      <c r="K404" s="303"/>
      <c r="L404" s="302">
        <v>1.8308022493475784</v>
      </c>
      <c r="M404" s="302">
        <v>4.7007537533321528E-2</v>
      </c>
      <c r="N404" s="302">
        <v>0.80935346282189546</v>
      </c>
      <c r="O404" s="302">
        <f t="shared" si="184"/>
        <v>2.6871632497027953</v>
      </c>
    </row>
    <row r="405" spans="1:15" s="236" customFormat="1" x14ac:dyDescent="0.3">
      <c r="A405" s="237" t="str">
        <f>name!E$9</f>
        <v>Caring, leisure and other service occupations</v>
      </c>
      <c r="B405" s="302">
        <v>0.11479511829431087</v>
      </c>
      <c r="C405" s="302">
        <v>4.7654658667747131E-2</v>
      </c>
      <c r="D405" s="302">
        <v>9.1475113012484149E-2</v>
      </c>
      <c r="E405" s="302">
        <f t="shared" si="182"/>
        <v>0.25392488997454216</v>
      </c>
      <c r="F405" s="303"/>
      <c r="G405" s="302">
        <v>0.19131673233467686</v>
      </c>
      <c r="H405" s="302">
        <v>7.179609979596048E-2</v>
      </c>
      <c r="I405" s="302">
        <v>4.7185833254383552E-2</v>
      </c>
      <c r="J405" s="302">
        <f t="shared" ref="J405:J408" si="185">SUM(G405:I405)</f>
        <v>0.31029866538502093</v>
      </c>
      <c r="K405" s="303"/>
      <c r="L405" s="302">
        <v>0.19049450479165986</v>
      </c>
      <c r="M405" s="302">
        <v>3.805910564356297E-2</v>
      </c>
      <c r="N405" s="302">
        <v>4.368084818876674E-2</v>
      </c>
      <c r="O405" s="302">
        <f t="shared" si="184"/>
        <v>0.27223445862398954</v>
      </c>
    </row>
    <row r="406" spans="1:15" s="236" customFormat="1" x14ac:dyDescent="0.3">
      <c r="A406" s="237" t="str">
        <f>name!E$10</f>
        <v>Sales and customer service occupations</v>
      </c>
      <c r="B406" s="302">
        <v>0.2008826623383187</v>
      </c>
      <c r="C406" s="302">
        <v>5.7880876854503056E-2</v>
      </c>
      <c r="D406" s="302">
        <v>5.510541113137598E-2</v>
      </c>
      <c r="E406" s="302">
        <f t="shared" si="182"/>
        <v>0.3138689503241977</v>
      </c>
      <c r="F406" s="303"/>
      <c r="G406" s="302">
        <v>0.32734284318621787</v>
      </c>
      <c r="H406" s="302">
        <v>0.12616249655922457</v>
      </c>
      <c r="I406" s="302">
        <v>5.0634594549524833E-2</v>
      </c>
      <c r="J406" s="302">
        <f t="shared" si="185"/>
        <v>0.50413993429496728</v>
      </c>
      <c r="K406" s="303"/>
      <c r="L406" s="302">
        <v>0.26072693306182032</v>
      </c>
      <c r="M406" s="302">
        <v>0.12000749984578792</v>
      </c>
      <c r="N406" s="302">
        <v>3.5665414266877166E-2</v>
      </c>
      <c r="O406" s="302">
        <f t="shared" si="184"/>
        <v>0.41639984717448542</v>
      </c>
    </row>
    <row r="407" spans="1:15" s="236" customFormat="1" x14ac:dyDescent="0.3">
      <c r="A407" s="237" t="str">
        <f>name!E$11</f>
        <v>Process, plant and machine operatives</v>
      </c>
      <c r="B407" s="302">
        <v>1.0506491986728275</v>
      </c>
      <c r="C407" s="302">
        <v>5.2632613457457587E-2</v>
      </c>
      <c r="D407" s="302">
        <v>9.4098729399303666E-2</v>
      </c>
      <c r="E407" s="302">
        <f t="shared" si="182"/>
        <v>1.1973805415295886</v>
      </c>
      <c r="F407" s="303"/>
      <c r="G407" s="302">
        <v>1.3591239500957881</v>
      </c>
      <c r="H407" s="302">
        <v>0.10302734929330898</v>
      </c>
      <c r="I407" s="302">
        <v>0.12488189426983977</v>
      </c>
      <c r="J407" s="302">
        <f t="shared" si="185"/>
        <v>1.5870331936589368</v>
      </c>
      <c r="K407" s="303"/>
      <c r="L407" s="302">
        <v>1.10323170116734</v>
      </c>
      <c r="M407" s="302">
        <v>0.12865611281049114</v>
      </c>
      <c r="N407" s="302">
        <v>0.15546608215976052</v>
      </c>
      <c r="O407" s="302">
        <f t="shared" si="184"/>
        <v>1.3873538961375915</v>
      </c>
    </row>
    <row r="408" spans="1:15" s="236" customFormat="1" x14ac:dyDescent="0.3">
      <c r="A408" s="237" t="str">
        <f>name!E$12</f>
        <v>Elementary occupations</v>
      </c>
      <c r="B408" s="302">
        <v>0.28591046105559986</v>
      </c>
      <c r="C408" s="302">
        <v>9.1812560441508526E-2</v>
      </c>
      <c r="D408" s="302">
        <v>0.11917608712919306</v>
      </c>
      <c r="E408" s="302">
        <f t="shared" si="182"/>
        <v>0.49689910862630149</v>
      </c>
      <c r="F408" s="303"/>
      <c r="G408" s="302">
        <v>0.3758103515955577</v>
      </c>
      <c r="H408" s="302">
        <v>0.13188227374608255</v>
      </c>
      <c r="I408" s="302">
        <v>7.1189918152321646E-2</v>
      </c>
      <c r="J408" s="302">
        <f t="shared" si="185"/>
        <v>0.57888254349396195</v>
      </c>
      <c r="K408" s="303"/>
      <c r="L408" s="302">
        <v>0.20162006224040591</v>
      </c>
      <c r="M408" s="302">
        <v>6.0894506755385797E-2</v>
      </c>
      <c r="N408" s="302">
        <v>7.6948034583144087E-2</v>
      </c>
      <c r="O408" s="302">
        <f t="shared" si="184"/>
        <v>0.33946260357893582</v>
      </c>
    </row>
    <row r="409" spans="1:15" s="236" customFormat="1" x14ac:dyDescent="0.3">
      <c r="A409" s="237"/>
      <c r="B409" s="302"/>
      <c r="C409" s="302"/>
      <c r="D409" s="302"/>
      <c r="E409" s="302"/>
      <c r="F409" s="303"/>
      <c r="G409" s="302"/>
      <c r="H409" s="302"/>
      <c r="I409" s="302"/>
      <c r="J409" s="302"/>
      <c r="K409" s="303"/>
      <c r="L409" s="302"/>
      <c r="M409" s="302"/>
      <c r="N409" s="302"/>
      <c r="O409" s="302"/>
    </row>
    <row r="410" spans="1:15" s="236" customFormat="1" x14ac:dyDescent="0.3">
      <c r="A410" s="244" t="s">
        <v>32</v>
      </c>
      <c r="B410" s="311">
        <f>SUM(B400:B408)</f>
        <v>8.9169999999595966</v>
      </c>
      <c r="C410" s="311">
        <f t="shared" ref="C410:E410" si="186">SUM(C400:C408)</f>
        <v>0.84300000001076869</v>
      </c>
      <c r="D410" s="311">
        <f t="shared" si="186"/>
        <v>2.1220000000118957</v>
      </c>
      <c r="E410" s="311">
        <f t="shared" si="186"/>
        <v>11.881999999982257</v>
      </c>
      <c r="F410" s="311"/>
      <c r="G410" s="311">
        <f t="shared" ref="G410:J410" si="187">SUM(G400:G408)</f>
        <v>14.900999999955822</v>
      </c>
      <c r="H410" s="311">
        <f t="shared" si="187"/>
        <v>1.6329999999849438</v>
      </c>
      <c r="I410" s="311">
        <f t="shared" si="187"/>
        <v>2.6460000000069561</v>
      </c>
      <c r="J410" s="311">
        <f t="shared" si="187"/>
        <v>19.179999999947722</v>
      </c>
      <c r="K410" s="311"/>
      <c r="L410" s="311">
        <f t="shared" ref="L410:O410" si="188">SUM(L400:L408)</f>
        <v>10.499000000005598</v>
      </c>
      <c r="M410" s="311">
        <f t="shared" si="188"/>
        <v>1.1489999999907268</v>
      </c>
      <c r="N410" s="311">
        <f t="shared" si="188"/>
        <v>2.1529999999913714</v>
      </c>
      <c r="O410" s="311">
        <f t="shared" si="188"/>
        <v>13.800999999987694</v>
      </c>
    </row>
    <row r="411" spans="1:15" s="236" customFormat="1" x14ac:dyDescent="0.3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37"/>
      <c r="M411" s="237"/>
      <c r="N411" s="240"/>
    </row>
    <row r="412" spans="1:15" s="236" customFormat="1" x14ac:dyDescent="0.3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37"/>
      <c r="M412" s="237"/>
      <c r="N412" s="240"/>
      <c r="O412" s="251" t="s">
        <v>35</v>
      </c>
    </row>
    <row r="413" spans="1:15" s="236" customFormat="1" x14ac:dyDescent="0.3">
      <c r="A413" s="242"/>
      <c r="B413" s="242"/>
      <c r="C413" s="242"/>
      <c r="D413" s="242"/>
      <c r="E413" s="242"/>
      <c r="F413" s="242"/>
      <c r="G413" s="242"/>
      <c r="H413" s="242"/>
      <c r="I413" s="242"/>
      <c r="J413" s="242"/>
      <c r="K413" s="242"/>
      <c r="L413" s="242"/>
      <c r="M413" s="242"/>
      <c r="N413" s="242"/>
      <c r="O413" s="242"/>
    </row>
    <row r="414" spans="1:15" s="236" customFormat="1" x14ac:dyDescent="0.3">
      <c r="A414" s="241" t="str">
        <f>name!A27</f>
        <v>Electricity, gas, etc</v>
      </c>
      <c r="B414" s="375">
        <f>$B$6</f>
        <v>2015</v>
      </c>
      <c r="C414" s="375"/>
      <c r="D414" s="375"/>
      <c r="E414" s="375"/>
      <c r="F414" s="263"/>
      <c r="G414" s="375">
        <f>$G$6</f>
        <v>2020</v>
      </c>
      <c r="H414" s="375"/>
      <c r="I414" s="375"/>
      <c r="J414" s="375"/>
      <c r="K414" s="263"/>
      <c r="L414" s="375">
        <f>$L$6</f>
        <v>2035</v>
      </c>
      <c r="M414" s="375"/>
      <c r="N414" s="375"/>
      <c r="O414" s="375"/>
    </row>
    <row r="415" spans="1:15" s="236" customFormat="1" x14ac:dyDescent="0.3">
      <c r="A415" s="254"/>
      <c r="B415" s="268" t="str">
        <f>$B$7</f>
        <v>FT</v>
      </c>
      <c r="C415" s="268" t="str">
        <f>$C$7</f>
        <v>PT</v>
      </c>
      <c r="D415" s="268" t="str">
        <f>$D$7</f>
        <v>SE</v>
      </c>
      <c r="E415" s="268" t="str">
        <f>$E$7</f>
        <v>Total</v>
      </c>
      <c r="F415" s="268"/>
      <c r="G415" s="268" t="str">
        <f>$G$7</f>
        <v>FT</v>
      </c>
      <c r="H415" s="268" t="str">
        <f>$H$7</f>
        <v>PT</v>
      </c>
      <c r="I415" s="268" t="str">
        <f>$I$7</f>
        <v>SE</v>
      </c>
      <c r="J415" s="268" t="str">
        <f>$J$7</f>
        <v>Total</v>
      </c>
      <c r="K415" s="268"/>
      <c r="L415" s="268" t="str">
        <f>$L$7</f>
        <v>FT</v>
      </c>
      <c r="M415" s="268" t="str">
        <f>$M$7</f>
        <v>PT</v>
      </c>
      <c r="N415" s="268" t="str">
        <f>$N$7</f>
        <v>SE</v>
      </c>
      <c r="O415" s="268" t="str">
        <f>$O$7</f>
        <v>Total</v>
      </c>
    </row>
    <row r="416" spans="1:15" s="236" customFormat="1" x14ac:dyDescent="0.3">
      <c r="A416" s="258"/>
      <c r="B416" s="239"/>
      <c r="C416" s="239"/>
      <c r="D416" s="239"/>
      <c r="E416" s="239"/>
      <c r="F416" s="239"/>
      <c r="G416" s="239"/>
      <c r="H416" s="239"/>
      <c r="I416" s="239"/>
      <c r="J416" s="239"/>
      <c r="K416" s="239"/>
      <c r="L416" s="239"/>
      <c r="M416" s="239"/>
      <c r="N416" s="239"/>
      <c r="O416" s="239"/>
    </row>
    <row r="417" spans="1:15" s="236" customFormat="1" x14ac:dyDescent="0.3">
      <c r="A417" s="237" t="str">
        <f>name!E$4</f>
        <v>Managers, directors and senior officials</v>
      </c>
      <c r="B417" s="302">
        <v>0.50721146808904771</v>
      </c>
      <c r="C417" s="302">
        <v>1.3344704030406775E-2</v>
      </c>
      <c r="D417" s="302">
        <v>0.19085067207165579</v>
      </c>
      <c r="E417" s="302">
        <f>SUM(B417:D417)</f>
        <v>0.71140684419111033</v>
      </c>
      <c r="F417" s="303"/>
      <c r="G417" s="302">
        <v>0.43241517550696951</v>
      </c>
      <c r="H417" s="302">
        <v>1.5991146795497489E-2</v>
      </c>
      <c r="I417" s="302">
        <v>0.28280649412108666</v>
      </c>
      <c r="J417" s="302">
        <f>SUM(G417:I417)</f>
        <v>0.73121281642355362</v>
      </c>
      <c r="K417" s="303"/>
      <c r="L417" s="302">
        <v>0.41384255119127022</v>
      </c>
      <c r="M417" s="302">
        <v>1.4974332129578161E-2</v>
      </c>
      <c r="N417" s="302">
        <v>0.34091281182907246</v>
      </c>
      <c r="O417" s="302">
        <f>SUM(L417:N417)</f>
        <v>0.76972969514992085</v>
      </c>
    </row>
    <row r="418" spans="1:15" s="236" customFormat="1" x14ac:dyDescent="0.3">
      <c r="A418" s="237" t="str">
        <f>name!E$5</f>
        <v>Professional occupations</v>
      </c>
      <c r="B418" s="302">
        <v>1.1535983642124152</v>
      </c>
      <c r="C418" s="302">
        <v>1.8730994285015675E-2</v>
      </c>
      <c r="D418" s="302">
        <v>0.20068792175795663</v>
      </c>
      <c r="E418" s="302">
        <f t="shared" ref="E418:E425" si="189">SUM(B418:D418)</f>
        <v>1.3730172802553875</v>
      </c>
      <c r="F418" s="303"/>
      <c r="G418" s="302">
        <v>1.1056778082868262</v>
      </c>
      <c r="H418" s="302">
        <v>1.9026371262421932E-2</v>
      </c>
      <c r="I418" s="302">
        <v>0.34159644620624613</v>
      </c>
      <c r="J418" s="302">
        <f t="shared" ref="J418:J420" si="190">SUM(G418:I418)</f>
        <v>1.4663006257554942</v>
      </c>
      <c r="K418" s="303"/>
      <c r="L418" s="302">
        <v>1.125897277469049</v>
      </c>
      <c r="M418" s="302">
        <v>1.8863169794690882E-2</v>
      </c>
      <c r="N418" s="302">
        <v>0.22916494285676356</v>
      </c>
      <c r="O418" s="302">
        <f t="shared" ref="O418:O425" si="191">SUM(L418:N418)</f>
        <v>1.3739253901205033</v>
      </c>
    </row>
    <row r="419" spans="1:15" s="236" customFormat="1" x14ac:dyDescent="0.3">
      <c r="A419" s="237" t="str">
        <f>name!E$6</f>
        <v>Associate professional occupations</v>
      </c>
      <c r="B419" s="302">
        <v>0.81118102116431345</v>
      </c>
      <c r="C419" s="302">
        <v>2.5178047931142814E-2</v>
      </c>
      <c r="D419" s="302">
        <v>0.17536435756769223</v>
      </c>
      <c r="E419" s="302">
        <f t="shared" si="189"/>
        <v>1.0117234266631485</v>
      </c>
      <c r="F419" s="303"/>
      <c r="G419" s="302">
        <v>0.75200369093855146</v>
      </c>
      <c r="H419" s="302">
        <v>2.319673275165289E-2</v>
      </c>
      <c r="I419" s="302">
        <v>0.12767613553183199</v>
      </c>
      <c r="J419" s="302">
        <f t="shared" si="190"/>
        <v>0.90287655922203636</v>
      </c>
      <c r="K419" s="303"/>
      <c r="L419" s="302">
        <v>0.59385178851385012</v>
      </c>
      <c r="M419" s="302">
        <v>2.1778496407826559E-2</v>
      </c>
      <c r="N419" s="302">
        <v>0.11940612626621032</v>
      </c>
      <c r="O419" s="302">
        <f t="shared" si="191"/>
        <v>0.73503641118788698</v>
      </c>
    </row>
    <row r="420" spans="1:15" s="236" customFormat="1" x14ac:dyDescent="0.3">
      <c r="A420" s="237" t="str">
        <f>name!E$7</f>
        <v>Administrative and secretarial occupations</v>
      </c>
      <c r="B420" s="302">
        <v>0.56905941640528013</v>
      </c>
      <c r="C420" s="302">
        <v>7.3115642017307317E-2</v>
      </c>
      <c r="D420" s="302">
        <v>7.4034492022514845E-2</v>
      </c>
      <c r="E420" s="302">
        <f t="shared" si="189"/>
        <v>0.71620955044510237</v>
      </c>
      <c r="F420" s="303"/>
      <c r="G420" s="302">
        <v>0.45441433811731541</v>
      </c>
      <c r="H420" s="302">
        <v>5.84901402963574E-2</v>
      </c>
      <c r="I420" s="302">
        <v>6.8590717911147625E-2</v>
      </c>
      <c r="J420" s="302">
        <f t="shared" si="190"/>
        <v>0.5814951963248205</v>
      </c>
      <c r="K420" s="303"/>
      <c r="L420" s="302">
        <v>0.32142383329745206</v>
      </c>
      <c r="M420" s="302">
        <v>4.0824773802622262E-2</v>
      </c>
      <c r="N420" s="302">
        <v>7.1000939307125699E-2</v>
      </c>
      <c r="O420" s="302">
        <f t="shared" si="191"/>
        <v>0.43324954640720004</v>
      </c>
    </row>
    <row r="421" spans="1:15" s="236" customFormat="1" x14ac:dyDescent="0.3">
      <c r="A421" s="237" t="str">
        <f>name!E$8</f>
        <v>Skilled trades occupations</v>
      </c>
      <c r="B421" s="302">
        <v>1.2463707571087324</v>
      </c>
      <c r="C421" s="302">
        <v>2.0555281601450377E-2</v>
      </c>
      <c r="D421" s="302">
        <v>0.25046470405934163</v>
      </c>
      <c r="E421" s="302">
        <f t="shared" si="189"/>
        <v>1.5173907427695243</v>
      </c>
      <c r="F421" s="303"/>
      <c r="G421" s="302">
        <v>0.75808811804535148</v>
      </c>
      <c r="H421" s="302">
        <v>7.0915817670177319E-3</v>
      </c>
      <c r="I421" s="302">
        <v>0.27090358309355611</v>
      </c>
      <c r="J421" s="302">
        <f>SUM(G421:I421)</f>
        <v>1.0360832829059254</v>
      </c>
      <c r="K421" s="303"/>
      <c r="L421" s="302">
        <v>0.56209172152093034</v>
      </c>
      <c r="M421" s="302">
        <v>5.241743919709608E-3</v>
      </c>
      <c r="N421" s="302">
        <v>0.24027210140288863</v>
      </c>
      <c r="O421" s="302">
        <f t="shared" si="191"/>
        <v>0.80760556684352869</v>
      </c>
    </row>
    <row r="422" spans="1:15" s="236" customFormat="1" x14ac:dyDescent="0.3">
      <c r="A422" s="237" t="str">
        <f>name!E$9</f>
        <v>Caring, leisure and other service occupations</v>
      </c>
      <c r="B422" s="302">
        <v>0.16192191447925855</v>
      </c>
      <c r="C422" s="302">
        <v>1.4516602373886736E-2</v>
      </c>
      <c r="D422" s="302">
        <v>0.13654843914454773</v>
      </c>
      <c r="E422" s="302">
        <f t="shared" si="189"/>
        <v>0.31298695599769299</v>
      </c>
      <c r="F422" s="303"/>
      <c r="G422" s="302">
        <v>0.12219391872534822</v>
      </c>
      <c r="H422" s="302">
        <v>9.1873193677263366E-3</v>
      </c>
      <c r="I422" s="302">
        <v>1.3463147964091515E-2</v>
      </c>
      <c r="J422" s="302">
        <f t="shared" ref="J422:J425" si="192">SUM(G422:I422)</f>
        <v>0.14484438605716607</v>
      </c>
      <c r="K422" s="303"/>
      <c r="L422" s="302">
        <v>0.13026615224538915</v>
      </c>
      <c r="M422" s="302">
        <v>7.010812684325597E-3</v>
      </c>
      <c r="N422" s="302">
        <v>1.9516058544367089E-2</v>
      </c>
      <c r="O422" s="302">
        <f t="shared" si="191"/>
        <v>0.15679302347408183</v>
      </c>
    </row>
    <row r="423" spans="1:15" s="236" customFormat="1" x14ac:dyDescent="0.3">
      <c r="A423" s="237" t="str">
        <f>name!E$10</f>
        <v>Sales and customer service occupations</v>
      </c>
      <c r="B423" s="302">
        <v>0.57989207899430173</v>
      </c>
      <c r="C423" s="302">
        <v>0.12526237323809644</v>
      </c>
      <c r="D423" s="302">
        <v>0.10345368164096827</v>
      </c>
      <c r="E423" s="302">
        <f t="shared" si="189"/>
        <v>0.80860813387336639</v>
      </c>
      <c r="F423" s="303"/>
      <c r="G423" s="302">
        <v>0.43866672408074403</v>
      </c>
      <c r="H423" s="302">
        <v>0.10196303924297095</v>
      </c>
      <c r="I423" s="302">
        <v>0.12277470324438437</v>
      </c>
      <c r="J423" s="302">
        <f t="shared" si="192"/>
        <v>0.66340446656809926</v>
      </c>
      <c r="K423" s="303"/>
      <c r="L423" s="302">
        <v>0.46329976123988809</v>
      </c>
      <c r="M423" s="302">
        <v>0.10570145661265706</v>
      </c>
      <c r="N423" s="302">
        <v>0.11367877616801483</v>
      </c>
      <c r="O423" s="302">
        <f t="shared" si="191"/>
        <v>0.68267999402056001</v>
      </c>
    </row>
    <row r="424" spans="1:15" s="236" customFormat="1" x14ac:dyDescent="0.3">
      <c r="A424" s="237" t="str">
        <f>name!E$11</f>
        <v>Process, plant and machine operatives</v>
      </c>
      <c r="B424" s="302">
        <v>0.15542831775140165</v>
      </c>
      <c r="C424" s="302">
        <v>9.8246487935980363E-3</v>
      </c>
      <c r="D424" s="302">
        <v>6.9179803705431198E-2</v>
      </c>
      <c r="E424" s="302">
        <f t="shared" si="189"/>
        <v>0.23443277025043088</v>
      </c>
      <c r="F424" s="303"/>
      <c r="G424" s="302">
        <v>9.5023008306260093E-2</v>
      </c>
      <c r="H424" s="302">
        <v>5.4808640601619798E-3</v>
      </c>
      <c r="I424" s="302">
        <v>0.16082169190160367</v>
      </c>
      <c r="J424" s="302">
        <f t="shared" si="192"/>
        <v>0.26132556426802572</v>
      </c>
      <c r="K424" s="303"/>
      <c r="L424" s="302">
        <v>9.6001302890698581E-2</v>
      </c>
      <c r="M424" s="302">
        <v>7.6144199511275091E-3</v>
      </c>
      <c r="N424" s="302">
        <v>0.14074915747895977</v>
      </c>
      <c r="O424" s="302">
        <f t="shared" si="191"/>
        <v>0.24436488032078585</v>
      </c>
    </row>
    <row r="425" spans="1:15" s="236" customFormat="1" x14ac:dyDescent="0.3">
      <c r="A425" s="237" t="str">
        <f>name!E$12</f>
        <v>Elementary occupations</v>
      </c>
      <c r="B425" s="302">
        <v>0.12133666176630886</v>
      </c>
      <c r="C425" s="302">
        <v>2.5471705733322778E-2</v>
      </c>
      <c r="D425" s="302">
        <v>0.14441592803432954</v>
      </c>
      <c r="E425" s="302">
        <f t="shared" si="189"/>
        <v>0.29122429553396117</v>
      </c>
      <c r="F425" s="303"/>
      <c r="G425" s="302">
        <v>7.7517217954756537E-2</v>
      </c>
      <c r="H425" s="302">
        <v>1.5572804455789688E-2</v>
      </c>
      <c r="I425" s="302">
        <v>4.9367080012748171E-2</v>
      </c>
      <c r="J425" s="302">
        <f t="shared" si="192"/>
        <v>0.1424571024232944</v>
      </c>
      <c r="K425" s="303"/>
      <c r="L425" s="302">
        <v>4.7325611600354894E-2</v>
      </c>
      <c r="M425" s="302">
        <v>6.9907946950836962E-3</v>
      </c>
      <c r="N425" s="302">
        <v>2.9299086130687664E-2</v>
      </c>
      <c r="O425" s="302">
        <f t="shared" si="191"/>
        <v>8.3615492426126259E-2</v>
      </c>
    </row>
    <row r="426" spans="1:15" s="236" customFormat="1" x14ac:dyDescent="0.3">
      <c r="A426" s="237"/>
      <c r="B426" s="302"/>
      <c r="C426" s="302"/>
      <c r="D426" s="302"/>
      <c r="E426" s="302"/>
      <c r="F426" s="303"/>
      <c r="G426" s="302"/>
      <c r="H426" s="302"/>
      <c r="I426" s="302"/>
      <c r="J426" s="302"/>
      <c r="K426" s="303"/>
      <c r="L426" s="302"/>
      <c r="M426" s="302"/>
      <c r="N426" s="302"/>
      <c r="O426" s="302"/>
    </row>
    <row r="427" spans="1:15" s="236" customFormat="1" x14ac:dyDescent="0.3">
      <c r="A427" s="244" t="s">
        <v>32</v>
      </c>
      <c r="B427" s="311">
        <f>SUM(B417:B425)</f>
        <v>5.3059999999710605</v>
      </c>
      <c r="C427" s="311">
        <f t="shared" ref="C427:E427" si="193">SUM(C417:C425)</f>
        <v>0.32600000000422691</v>
      </c>
      <c r="D427" s="311">
        <f t="shared" si="193"/>
        <v>1.345000000004438</v>
      </c>
      <c r="E427" s="311">
        <f t="shared" si="193"/>
        <v>6.9769999999797241</v>
      </c>
      <c r="F427" s="311"/>
      <c r="G427" s="311">
        <f t="shared" ref="G427:J427" si="194">SUM(G417:G425)</f>
        <v>4.2359999999621225</v>
      </c>
      <c r="H427" s="311">
        <f t="shared" si="194"/>
        <v>0.25599999999959638</v>
      </c>
      <c r="I427" s="311">
        <f t="shared" si="194"/>
        <v>1.4379999999866961</v>
      </c>
      <c r="J427" s="311">
        <f t="shared" si="194"/>
        <v>5.9299999999484152</v>
      </c>
      <c r="K427" s="311"/>
      <c r="L427" s="311">
        <f t="shared" ref="L427:O427" si="195">SUM(L417:L425)</f>
        <v>3.7539999999688827</v>
      </c>
      <c r="M427" s="311">
        <f t="shared" si="195"/>
        <v>0.22899999999762136</v>
      </c>
      <c r="N427" s="311">
        <f t="shared" si="195"/>
        <v>1.3039999999840901</v>
      </c>
      <c r="O427" s="311">
        <f t="shared" si="195"/>
        <v>5.286999999950595</v>
      </c>
    </row>
    <row r="428" spans="1:15" s="236" customFormat="1" x14ac:dyDescent="0.3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37"/>
      <c r="M428" s="237"/>
      <c r="N428" s="240"/>
    </row>
    <row r="429" spans="1:15" s="236" customFormat="1" x14ac:dyDescent="0.3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37"/>
      <c r="M429" s="237"/>
      <c r="N429" s="240"/>
      <c r="O429" s="251" t="s">
        <v>35</v>
      </c>
    </row>
    <row r="430" spans="1:15" s="236" customFormat="1" x14ac:dyDescent="0.3">
      <c r="A430" s="242"/>
      <c r="B430" s="242"/>
      <c r="C430" s="242"/>
      <c r="D430" s="242"/>
      <c r="E430" s="242"/>
      <c r="F430" s="242"/>
      <c r="G430" s="242"/>
      <c r="H430" s="242"/>
      <c r="I430" s="242"/>
      <c r="J430" s="242"/>
      <c r="K430" s="242"/>
      <c r="L430" s="242"/>
      <c r="M430" s="242"/>
      <c r="N430" s="242"/>
      <c r="O430" s="242"/>
    </row>
    <row r="431" spans="1:15" s="236" customFormat="1" x14ac:dyDescent="0.3">
      <c r="A431" s="241" t="str">
        <f>name!A28</f>
        <v>Water</v>
      </c>
      <c r="B431" s="375">
        <f>$B$6</f>
        <v>2015</v>
      </c>
      <c r="C431" s="375"/>
      <c r="D431" s="375"/>
      <c r="E431" s="375"/>
      <c r="F431" s="263"/>
      <c r="G431" s="375">
        <f>$G$6</f>
        <v>2020</v>
      </c>
      <c r="H431" s="375"/>
      <c r="I431" s="375"/>
      <c r="J431" s="375"/>
      <c r="K431" s="263"/>
      <c r="L431" s="375">
        <f>$L$6</f>
        <v>2035</v>
      </c>
      <c r="M431" s="375"/>
      <c r="N431" s="375"/>
      <c r="O431" s="375"/>
    </row>
    <row r="432" spans="1:15" s="236" customFormat="1" x14ac:dyDescent="0.3">
      <c r="A432" s="254"/>
      <c r="B432" s="268" t="str">
        <f>$B$7</f>
        <v>FT</v>
      </c>
      <c r="C432" s="268" t="str">
        <f>$C$7</f>
        <v>PT</v>
      </c>
      <c r="D432" s="268" t="str">
        <f>$D$7</f>
        <v>SE</v>
      </c>
      <c r="E432" s="268" t="str">
        <f>$E$7</f>
        <v>Total</v>
      </c>
      <c r="F432" s="268"/>
      <c r="G432" s="268" t="str">
        <f>$G$7</f>
        <v>FT</v>
      </c>
      <c r="H432" s="268" t="str">
        <f>$H$7</f>
        <v>PT</v>
      </c>
      <c r="I432" s="268" t="str">
        <f>$I$7</f>
        <v>SE</v>
      </c>
      <c r="J432" s="268" t="str">
        <f>$J$7</f>
        <v>Total</v>
      </c>
      <c r="K432" s="268"/>
      <c r="L432" s="268" t="str">
        <f>$L$7</f>
        <v>FT</v>
      </c>
      <c r="M432" s="268" t="str">
        <f>$M$7</f>
        <v>PT</v>
      </c>
      <c r="N432" s="268" t="str">
        <f>$N$7</f>
        <v>SE</v>
      </c>
      <c r="O432" s="268" t="str">
        <f>$O$7</f>
        <v>Total</v>
      </c>
    </row>
    <row r="433" spans="1:15" s="236" customFormat="1" x14ac:dyDescent="0.3">
      <c r="A433" s="258"/>
      <c r="B433" s="239"/>
      <c r="C433" s="239"/>
      <c r="D433" s="239"/>
      <c r="E433" s="239"/>
      <c r="F433" s="239"/>
      <c r="G433" s="239"/>
      <c r="H433" s="239"/>
      <c r="I433" s="239"/>
      <c r="J433" s="239"/>
      <c r="K433" s="239"/>
      <c r="L433" s="239"/>
      <c r="M433" s="239"/>
      <c r="N433" s="239"/>
      <c r="O433" s="239"/>
    </row>
    <row r="434" spans="1:15" s="236" customFormat="1" x14ac:dyDescent="0.3">
      <c r="A434" s="237" t="str">
        <f>name!E$4</f>
        <v>Managers, directors and senior officials</v>
      </c>
      <c r="B434" s="302">
        <v>0.57431641950624757</v>
      </c>
      <c r="C434" s="302">
        <v>2.3632923537428289E-2</v>
      </c>
      <c r="D434" s="302">
        <v>2.813357883515771E-2</v>
      </c>
      <c r="E434" s="302">
        <f>SUM(B434:D434)</f>
        <v>0.62608292187883352</v>
      </c>
      <c r="F434" s="303"/>
      <c r="G434" s="302">
        <v>0.76332945730856316</v>
      </c>
      <c r="H434" s="302">
        <v>4.6597136338594393E-2</v>
      </c>
      <c r="I434" s="302">
        <v>3.7273772543836195E-2</v>
      </c>
      <c r="J434" s="302">
        <f>SUM(G434:I434)</f>
        <v>0.84720036619099381</v>
      </c>
      <c r="K434" s="303"/>
      <c r="L434" s="302">
        <v>0.88768317544694852</v>
      </c>
      <c r="M434" s="302">
        <v>5.906129578647875E-2</v>
      </c>
      <c r="N434" s="302">
        <v>3.9320728884026539E-2</v>
      </c>
      <c r="O434" s="302">
        <f>SUM(L434:N434)</f>
        <v>0.9860652001174538</v>
      </c>
    </row>
    <row r="435" spans="1:15" s="236" customFormat="1" x14ac:dyDescent="0.3">
      <c r="A435" s="237" t="str">
        <f>name!E$5</f>
        <v>Professional occupations</v>
      </c>
      <c r="B435" s="302">
        <v>0.84083579518419038</v>
      </c>
      <c r="C435" s="302">
        <v>3.853782621908728E-2</v>
      </c>
      <c r="D435" s="302">
        <v>2.5601559861478287E-2</v>
      </c>
      <c r="E435" s="302">
        <f t="shared" ref="E435:E442" si="196">SUM(B435:D435)</f>
        <v>0.90497518126475596</v>
      </c>
      <c r="F435" s="303"/>
      <c r="G435" s="302">
        <v>1.214582209153714</v>
      </c>
      <c r="H435" s="302">
        <v>6.9105939360362301E-2</v>
      </c>
      <c r="I435" s="302">
        <v>5.7291306036460321E-2</v>
      </c>
      <c r="J435" s="302">
        <f t="shared" ref="J435:J437" si="197">SUM(G435:I435)</f>
        <v>1.3409794545505367</v>
      </c>
      <c r="K435" s="303"/>
      <c r="L435" s="302">
        <v>1.6877329996519084</v>
      </c>
      <c r="M435" s="302">
        <v>9.3081378263500658E-2</v>
      </c>
      <c r="N435" s="302">
        <v>5.467314020900977E-2</v>
      </c>
      <c r="O435" s="302">
        <f t="shared" ref="O435:O442" si="198">SUM(L435:N435)</f>
        <v>1.8354875181244188</v>
      </c>
    </row>
    <row r="436" spans="1:15" s="236" customFormat="1" x14ac:dyDescent="0.3">
      <c r="A436" s="237" t="str">
        <f>name!E$6</f>
        <v>Associate professional occupations</v>
      </c>
      <c r="B436" s="302">
        <v>0.65572559505515848</v>
      </c>
      <c r="C436" s="302">
        <v>6.1979407937373401E-2</v>
      </c>
      <c r="D436" s="302">
        <v>3.1986925886135435E-2</v>
      </c>
      <c r="E436" s="302">
        <f t="shared" si="196"/>
        <v>0.74969192887866731</v>
      </c>
      <c r="F436" s="303"/>
      <c r="G436" s="302">
        <v>0.87474446965110497</v>
      </c>
      <c r="H436" s="302">
        <v>9.4251864845943376E-2</v>
      </c>
      <c r="I436" s="302">
        <v>2.2502108052861944E-2</v>
      </c>
      <c r="J436" s="302">
        <f t="shared" si="197"/>
        <v>0.99149844254991026</v>
      </c>
      <c r="K436" s="303"/>
      <c r="L436" s="302">
        <v>0.95894601593091355</v>
      </c>
      <c r="M436" s="302">
        <v>0.11125456478487028</v>
      </c>
      <c r="N436" s="302">
        <v>2.6957826876694544E-2</v>
      </c>
      <c r="O436" s="302">
        <f t="shared" si="198"/>
        <v>1.0971584075924783</v>
      </c>
    </row>
    <row r="437" spans="1:15" s="236" customFormat="1" x14ac:dyDescent="0.3">
      <c r="A437" s="237" t="str">
        <f>name!E$7</f>
        <v>Administrative and secretarial occupations</v>
      </c>
      <c r="B437" s="302">
        <v>0.31203751814622738</v>
      </c>
      <c r="C437" s="302">
        <v>9.2693986393347638E-2</v>
      </c>
      <c r="D437" s="302">
        <v>1.31701081828021E-2</v>
      </c>
      <c r="E437" s="302">
        <f t="shared" si="196"/>
        <v>0.41790161272237714</v>
      </c>
      <c r="F437" s="303"/>
      <c r="G437" s="302">
        <v>0.30153352281138029</v>
      </c>
      <c r="H437" s="302">
        <v>0.12031802521458362</v>
      </c>
      <c r="I437" s="302">
        <v>8.2757199627205135E-3</v>
      </c>
      <c r="J437" s="302">
        <f t="shared" si="197"/>
        <v>0.43012726798868445</v>
      </c>
      <c r="K437" s="303"/>
      <c r="L437" s="302">
        <v>0.2883985931850494</v>
      </c>
      <c r="M437" s="302">
        <v>0.11662531129402037</v>
      </c>
      <c r="N437" s="302">
        <v>1.9393250527201825E-2</v>
      </c>
      <c r="O437" s="302">
        <f t="shared" si="198"/>
        <v>0.42441715500627158</v>
      </c>
    </row>
    <row r="438" spans="1:15" s="236" customFormat="1" x14ac:dyDescent="0.3">
      <c r="A438" s="237" t="str">
        <f>name!E$8</f>
        <v>Skilled trades occupations</v>
      </c>
      <c r="B438" s="302">
        <v>0.72426739761311942</v>
      </c>
      <c r="C438" s="302">
        <v>1.4446568650812907E-2</v>
      </c>
      <c r="D438" s="302">
        <v>3.7076059133766777E-2</v>
      </c>
      <c r="E438" s="302">
        <f t="shared" si="196"/>
        <v>0.77579002539769915</v>
      </c>
      <c r="F438" s="303"/>
      <c r="G438" s="302">
        <v>0.72764849670392873</v>
      </c>
      <c r="H438" s="302">
        <v>1.2830493670185504E-2</v>
      </c>
      <c r="I438" s="302">
        <v>5.6076689948133272E-2</v>
      </c>
      <c r="J438" s="302">
        <f>SUM(G438:I438)</f>
        <v>0.79655568032224755</v>
      </c>
      <c r="K438" s="303"/>
      <c r="L438" s="302">
        <v>0.74879975263404841</v>
      </c>
      <c r="M438" s="302">
        <v>1.703590668257288E-2</v>
      </c>
      <c r="N438" s="302">
        <v>5.5562570520943814E-2</v>
      </c>
      <c r="O438" s="302">
        <f t="shared" si="198"/>
        <v>0.82139822983756516</v>
      </c>
    </row>
    <row r="439" spans="1:15" s="236" customFormat="1" x14ac:dyDescent="0.3">
      <c r="A439" s="237" t="str">
        <f>name!E$9</f>
        <v>Caring, leisure and other service occupations</v>
      </c>
      <c r="B439" s="302">
        <v>5.0713935466324758E-2</v>
      </c>
      <c r="C439" s="302">
        <v>1.8498939148622853E-2</v>
      </c>
      <c r="D439" s="302">
        <v>2.9605093696971681E-2</v>
      </c>
      <c r="E439" s="302">
        <f t="shared" si="196"/>
        <v>9.8817968311919302E-2</v>
      </c>
      <c r="F439" s="303"/>
      <c r="G439" s="302">
        <v>4.7834639591850796E-2</v>
      </c>
      <c r="H439" s="302">
        <v>2.1022014260912592E-2</v>
      </c>
      <c r="I439" s="302">
        <v>6.0367449412779359E-3</v>
      </c>
      <c r="J439" s="302">
        <f t="shared" ref="J439:J442" si="199">SUM(G439:I439)</f>
        <v>7.4893398794041333E-2</v>
      </c>
      <c r="K439" s="303"/>
      <c r="L439" s="302">
        <v>6.5332839875068882E-2</v>
      </c>
      <c r="M439" s="302">
        <v>2.3071197811623284E-2</v>
      </c>
      <c r="N439" s="302">
        <v>7.1425624223409399E-3</v>
      </c>
      <c r="O439" s="302">
        <f t="shared" si="198"/>
        <v>9.5546600109033111E-2</v>
      </c>
    </row>
    <row r="440" spans="1:15" s="236" customFormat="1" x14ac:dyDescent="0.3">
      <c r="A440" s="237" t="str">
        <f>name!E$10</f>
        <v>Sales and customer service occupations</v>
      </c>
      <c r="B440" s="302">
        <v>0.17723724513362396</v>
      </c>
      <c r="C440" s="302">
        <v>0.10597158137978274</v>
      </c>
      <c r="D440" s="302">
        <v>1.2521017279662625E-2</v>
      </c>
      <c r="E440" s="302">
        <f t="shared" si="196"/>
        <v>0.29572984379306938</v>
      </c>
      <c r="F440" s="303"/>
      <c r="G440" s="302">
        <v>0.18806201834297517</v>
      </c>
      <c r="H440" s="302">
        <v>0.15029500397402146</v>
      </c>
      <c r="I440" s="302">
        <v>9.2859446312754355E-3</v>
      </c>
      <c r="J440" s="302">
        <f t="shared" si="199"/>
        <v>0.34764296694827201</v>
      </c>
      <c r="K440" s="303"/>
      <c r="L440" s="302">
        <v>0.23306329247346055</v>
      </c>
      <c r="M440" s="302">
        <v>0.19651984374453121</v>
      </c>
      <c r="N440" s="302">
        <v>9.7614185373358156E-3</v>
      </c>
      <c r="O440" s="302">
        <f t="shared" si="198"/>
        <v>0.43934455475532758</v>
      </c>
    </row>
    <row r="441" spans="1:15" s="236" customFormat="1" x14ac:dyDescent="0.3">
      <c r="A441" s="237" t="str">
        <f>name!E$11</f>
        <v>Process, plant and machine operatives</v>
      </c>
      <c r="B441" s="302">
        <v>0.34683025010244811</v>
      </c>
      <c r="C441" s="302">
        <v>2.9991251680347657E-2</v>
      </c>
      <c r="D441" s="302">
        <v>4.7788053747299429E-3</v>
      </c>
      <c r="E441" s="302">
        <f t="shared" si="196"/>
        <v>0.38160030715752574</v>
      </c>
      <c r="F441" s="303"/>
      <c r="G441" s="302">
        <v>0.33583414558448221</v>
      </c>
      <c r="H441" s="302">
        <v>3.549202914905817E-2</v>
      </c>
      <c r="I441" s="302">
        <v>2.9376511919738089E-2</v>
      </c>
      <c r="J441" s="302">
        <f t="shared" si="199"/>
        <v>0.40070268665327852</v>
      </c>
      <c r="K441" s="303"/>
      <c r="L441" s="302">
        <v>0.35067232679070448</v>
      </c>
      <c r="M441" s="302">
        <v>4.6796864062540335E-2</v>
      </c>
      <c r="N441" s="302">
        <v>2.9838103124655881E-2</v>
      </c>
      <c r="O441" s="302">
        <f t="shared" si="198"/>
        <v>0.42730729397790074</v>
      </c>
    </row>
    <row r="442" spans="1:15" s="236" customFormat="1" x14ac:dyDescent="0.3">
      <c r="A442" s="237" t="str">
        <f>name!E$12</f>
        <v>Elementary occupations</v>
      </c>
      <c r="B442" s="302">
        <v>0.12803584376605873</v>
      </c>
      <c r="C442" s="302">
        <v>3.3247515057076453E-2</v>
      </c>
      <c r="D442" s="302">
        <v>2.9126851750148373E-2</v>
      </c>
      <c r="E442" s="302">
        <f t="shared" si="196"/>
        <v>0.19041021057328356</v>
      </c>
      <c r="F442" s="303"/>
      <c r="G442" s="302">
        <v>0.12643104082258028</v>
      </c>
      <c r="H442" s="302">
        <v>3.5087493184351497E-2</v>
      </c>
      <c r="I442" s="302">
        <v>1.9881201963424414E-2</v>
      </c>
      <c r="J442" s="302">
        <f t="shared" si="199"/>
        <v>0.18139973597035619</v>
      </c>
      <c r="K442" s="303"/>
      <c r="L442" s="302">
        <v>9.9371003967432758E-2</v>
      </c>
      <c r="M442" s="302">
        <v>3.0553637566353653E-2</v>
      </c>
      <c r="N442" s="302">
        <v>2.7350398898099419E-2</v>
      </c>
      <c r="O442" s="302">
        <f t="shared" si="198"/>
        <v>0.15727504043188584</v>
      </c>
    </row>
    <row r="443" spans="1:15" s="236" customFormat="1" x14ac:dyDescent="0.3">
      <c r="A443" s="237"/>
      <c r="B443" s="302"/>
      <c r="C443" s="302"/>
      <c r="D443" s="302"/>
      <c r="E443" s="302"/>
      <c r="F443" s="303"/>
      <c r="G443" s="302"/>
      <c r="H443" s="302"/>
      <c r="I443" s="302"/>
      <c r="J443" s="302"/>
      <c r="K443" s="303"/>
      <c r="L443" s="302"/>
      <c r="M443" s="302"/>
      <c r="N443" s="302"/>
      <c r="O443" s="302"/>
    </row>
    <row r="444" spans="1:15" s="236" customFormat="1" x14ac:dyDescent="0.3">
      <c r="A444" s="244" t="s">
        <v>32</v>
      </c>
      <c r="B444" s="311">
        <f>SUM(B434:B442)</f>
        <v>3.8099999999733991</v>
      </c>
      <c r="C444" s="311">
        <f t="shared" ref="C444:E444" si="200">SUM(C434:C442)</f>
        <v>0.41900000000387927</v>
      </c>
      <c r="D444" s="311">
        <f t="shared" si="200"/>
        <v>0.2120000000008529</v>
      </c>
      <c r="E444" s="311">
        <f t="shared" si="200"/>
        <v>4.4409999999781302</v>
      </c>
      <c r="F444" s="311"/>
      <c r="G444" s="311">
        <f t="shared" ref="G444:J444" si="201">SUM(G434:G442)</f>
        <v>4.57999999997058</v>
      </c>
      <c r="H444" s="311">
        <f t="shared" si="201"/>
        <v>0.58499999999801289</v>
      </c>
      <c r="I444" s="311">
        <f t="shared" si="201"/>
        <v>0.2459999999997281</v>
      </c>
      <c r="J444" s="311">
        <f t="shared" si="201"/>
        <v>5.4109999999683218</v>
      </c>
      <c r="K444" s="311"/>
      <c r="L444" s="311">
        <f t="shared" ref="L444:O444" si="202">SUM(L434:L442)</f>
        <v>5.3199999999555345</v>
      </c>
      <c r="M444" s="311">
        <f t="shared" si="202"/>
        <v>0.69399999999649142</v>
      </c>
      <c r="N444" s="311">
        <f t="shared" si="202"/>
        <v>0.27000000000030855</v>
      </c>
      <c r="O444" s="311">
        <f t="shared" si="202"/>
        <v>6.2839999999523348</v>
      </c>
    </row>
    <row r="445" spans="1:15" s="236" customFormat="1" x14ac:dyDescent="0.3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40"/>
    </row>
    <row r="446" spans="1:15" s="236" customFormat="1" x14ac:dyDescent="0.3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37"/>
      <c r="M446" s="237"/>
      <c r="N446" s="240"/>
      <c r="O446" s="251" t="s">
        <v>35</v>
      </c>
    </row>
    <row r="447" spans="1:15" s="236" customFormat="1" x14ac:dyDescent="0.3">
      <c r="A447" s="242"/>
      <c r="B447" s="242"/>
      <c r="C447" s="242"/>
      <c r="D447" s="242"/>
      <c r="E447" s="242"/>
      <c r="F447" s="242"/>
      <c r="G447" s="242"/>
      <c r="H447" s="242"/>
      <c r="I447" s="242"/>
      <c r="J447" s="242"/>
      <c r="K447" s="242"/>
      <c r="L447" s="242"/>
      <c r="M447" s="242"/>
      <c r="N447" s="242"/>
      <c r="O447" s="242"/>
    </row>
    <row r="448" spans="1:15" s="236" customFormat="1" x14ac:dyDescent="0.3">
      <c r="A448" s="241" t="str">
        <f>name!A29</f>
        <v>Sewerage</v>
      </c>
      <c r="B448" s="375">
        <f>$B$6</f>
        <v>2015</v>
      </c>
      <c r="C448" s="375"/>
      <c r="D448" s="375"/>
      <c r="E448" s="375"/>
      <c r="F448" s="263"/>
      <c r="G448" s="375">
        <f>$G$6</f>
        <v>2020</v>
      </c>
      <c r="H448" s="375"/>
      <c r="I448" s="375"/>
      <c r="J448" s="375"/>
      <c r="K448" s="263"/>
      <c r="L448" s="375">
        <f>$L$6</f>
        <v>2035</v>
      </c>
      <c r="M448" s="375"/>
      <c r="N448" s="375"/>
      <c r="O448" s="375"/>
    </row>
    <row r="449" spans="1:15" s="236" customFormat="1" x14ac:dyDescent="0.3">
      <c r="A449" s="254"/>
      <c r="B449" s="268" t="str">
        <f>$B$7</f>
        <v>FT</v>
      </c>
      <c r="C449" s="268" t="str">
        <f>$C$7</f>
        <v>PT</v>
      </c>
      <c r="D449" s="268" t="str">
        <f>$D$7</f>
        <v>SE</v>
      </c>
      <c r="E449" s="268" t="str">
        <f>$E$7</f>
        <v>Total</v>
      </c>
      <c r="F449" s="268"/>
      <c r="G449" s="268" t="str">
        <f>$G$7</f>
        <v>FT</v>
      </c>
      <c r="H449" s="268" t="str">
        <f>$H$7</f>
        <v>PT</v>
      </c>
      <c r="I449" s="268" t="str">
        <f>$I$7</f>
        <v>SE</v>
      </c>
      <c r="J449" s="268" t="str">
        <f>$J$7</f>
        <v>Total</v>
      </c>
      <c r="K449" s="268"/>
      <c r="L449" s="268" t="str">
        <f>$L$7</f>
        <v>FT</v>
      </c>
      <c r="M449" s="268" t="str">
        <f>$M$7</f>
        <v>PT</v>
      </c>
      <c r="N449" s="268" t="str">
        <f>$N$7</f>
        <v>SE</v>
      </c>
      <c r="O449" s="268" t="str">
        <f>$O$7</f>
        <v>Total</v>
      </c>
    </row>
    <row r="450" spans="1:15" s="236" customFormat="1" x14ac:dyDescent="0.3">
      <c r="A450" s="258"/>
      <c r="B450" s="239"/>
      <c r="C450" s="239"/>
      <c r="D450" s="239"/>
      <c r="E450" s="239"/>
      <c r="F450" s="239"/>
      <c r="G450" s="239"/>
      <c r="H450" s="239"/>
      <c r="I450" s="239"/>
      <c r="J450" s="239"/>
      <c r="K450" s="239"/>
      <c r="L450" s="239"/>
      <c r="M450" s="239"/>
      <c r="N450" s="239"/>
      <c r="O450" s="239"/>
    </row>
    <row r="451" spans="1:15" s="236" customFormat="1" x14ac:dyDescent="0.3">
      <c r="A451" s="237" t="str">
        <f>name!E$4</f>
        <v>Managers, directors and senior officials</v>
      </c>
      <c r="B451" s="302">
        <v>0.55814052924640589</v>
      </c>
      <c r="C451" s="302">
        <v>6.1266675020454978E-3</v>
      </c>
      <c r="D451" s="302">
        <v>2.5386645019285673E-2</v>
      </c>
      <c r="E451" s="302">
        <f>SUM(B451:D451)</f>
        <v>0.58965384176773705</v>
      </c>
      <c r="F451" s="303"/>
      <c r="G451" s="302">
        <v>0.27840071233635216</v>
      </c>
      <c r="H451" s="302">
        <v>7.7539837184003946E-3</v>
      </c>
      <c r="I451" s="302">
        <v>4.8349045075448483E-3</v>
      </c>
      <c r="J451" s="302">
        <f>SUM(G451:I451)</f>
        <v>0.29098960056229745</v>
      </c>
      <c r="K451" s="303"/>
      <c r="L451" s="302">
        <v>0.30548208622527889</v>
      </c>
      <c r="M451" s="302">
        <v>9.2374564387548083E-3</v>
      </c>
      <c r="N451" s="302">
        <v>5.3167087536285691E-3</v>
      </c>
      <c r="O451" s="302">
        <f>SUM(L451:N451)</f>
        <v>0.32003625141766223</v>
      </c>
    </row>
    <row r="452" spans="1:15" s="236" customFormat="1" x14ac:dyDescent="0.3">
      <c r="A452" s="237" t="str">
        <f>name!E$5</f>
        <v>Professional occupations</v>
      </c>
      <c r="B452" s="302">
        <v>0.52392164689325704</v>
      </c>
      <c r="C452" s="302">
        <v>2.1203392701388803E-2</v>
      </c>
      <c r="D452" s="302">
        <v>2.2633382901929632E-2</v>
      </c>
      <c r="E452" s="302">
        <f t="shared" ref="E452:E459" si="203">SUM(B452:D452)</f>
        <v>0.56775842249657549</v>
      </c>
      <c r="F452" s="303"/>
      <c r="G452" s="302">
        <v>0.30973686117520371</v>
      </c>
      <c r="H452" s="302">
        <v>2.9547618443326099E-2</v>
      </c>
      <c r="I452" s="302">
        <v>5.1904778028978044E-3</v>
      </c>
      <c r="J452" s="302">
        <f t="shared" ref="J452:J454" si="204">SUM(G452:I452)</f>
        <v>0.34447495742142764</v>
      </c>
      <c r="K452" s="303"/>
      <c r="L452" s="302">
        <v>0.38800232822928016</v>
      </c>
      <c r="M452" s="302">
        <v>4.0388785775349732E-2</v>
      </c>
      <c r="N452" s="302">
        <v>4.8115096833021799E-3</v>
      </c>
      <c r="O452" s="302">
        <f t="shared" ref="O452:O459" si="205">SUM(L452:N452)</f>
        <v>0.43320262368793205</v>
      </c>
    </row>
    <row r="453" spans="1:15" s="236" customFormat="1" x14ac:dyDescent="0.3">
      <c r="A453" s="237" t="str">
        <f>name!E$6</f>
        <v>Associate professional occupations</v>
      </c>
      <c r="B453" s="302">
        <v>0.76258122014241336</v>
      </c>
      <c r="C453" s="302">
        <v>5.1062834221522184E-2</v>
      </c>
      <c r="D453" s="302">
        <v>2.81773347151269E-2</v>
      </c>
      <c r="E453" s="302">
        <f t="shared" si="203"/>
        <v>0.84182138907906245</v>
      </c>
      <c r="F453" s="303"/>
      <c r="G453" s="302">
        <v>0.49439694142424917</v>
      </c>
      <c r="H453" s="302">
        <v>2.3452120583514466E-2</v>
      </c>
      <c r="I453" s="302">
        <v>3.5050397829795555E-3</v>
      </c>
      <c r="J453" s="302">
        <f t="shared" si="204"/>
        <v>0.52135410179074315</v>
      </c>
      <c r="K453" s="303"/>
      <c r="L453" s="302">
        <v>0.75595380035676196</v>
      </c>
      <c r="M453" s="302">
        <v>2.4046542079000432E-2</v>
      </c>
      <c r="N453" s="302">
        <v>3.1456919100187612E-3</v>
      </c>
      <c r="O453" s="302">
        <f t="shared" si="205"/>
        <v>0.78314603434578123</v>
      </c>
    </row>
    <row r="454" spans="1:15" s="236" customFormat="1" x14ac:dyDescent="0.3">
      <c r="A454" s="237" t="str">
        <f>name!E$7</f>
        <v>Administrative and secretarial occupations</v>
      </c>
      <c r="B454" s="302">
        <v>0.42857228826931182</v>
      </c>
      <c r="C454" s="302">
        <v>7.2302102568464435E-2</v>
      </c>
      <c r="D454" s="302">
        <v>1.0527095002198632E-2</v>
      </c>
      <c r="E454" s="302">
        <f t="shared" si="203"/>
        <v>0.51140148583997491</v>
      </c>
      <c r="F454" s="303"/>
      <c r="G454" s="302">
        <v>0.24067894378647911</v>
      </c>
      <c r="H454" s="302">
        <v>3.1317651380233E-2</v>
      </c>
      <c r="I454" s="302">
        <v>7.3378646208871879E-4</v>
      </c>
      <c r="J454" s="302">
        <f t="shared" si="204"/>
        <v>0.27273038162880081</v>
      </c>
      <c r="K454" s="303"/>
      <c r="L454" s="302">
        <v>0.15398341833501294</v>
      </c>
      <c r="M454" s="302">
        <v>9.4806597322213484E-3</v>
      </c>
      <c r="N454" s="302">
        <v>8.1095034216093799E-4</v>
      </c>
      <c r="O454" s="302">
        <f t="shared" si="205"/>
        <v>0.16427502840939523</v>
      </c>
    </row>
    <row r="455" spans="1:15" s="236" customFormat="1" x14ac:dyDescent="0.3">
      <c r="A455" s="237" t="str">
        <f>name!E$8</f>
        <v>Skilled trades occupations</v>
      </c>
      <c r="B455" s="302">
        <v>0.26661287920436189</v>
      </c>
      <c r="C455" s="302">
        <v>1.0618416031650171E-2</v>
      </c>
      <c r="D455" s="302">
        <v>3.352612181538616E-2</v>
      </c>
      <c r="E455" s="302">
        <f t="shared" si="203"/>
        <v>0.3107574170513982</v>
      </c>
      <c r="F455" s="303"/>
      <c r="G455" s="302">
        <v>9.4937376297201184E-2</v>
      </c>
      <c r="H455" s="302">
        <v>6.8616163719595518E-3</v>
      </c>
      <c r="I455" s="302">
        <v>1.1359565637683054E-2</v>
      </c>
      <c r="J455" s="302">
        <f>SUM(G455:I455)</f>
        <v>0.11315855830684379</v>
      </c>
      <c r="K455" s="303"/>
      <c r="L455" s="302">
        <v>0.10329259047565212</v>
      </c>
      <c r="M455" s="302">
        <v>1.0841010020498924E-2</v>
      </c>
      <c r="N455" s="302">
        <v>1.3166326657616438E-2</v>
      </c>
      <c r="O455" s="302">
        <f t="shared" si="205"/>
        <v>0.12729992715376748</v>
      </c>
    </row>
    <row r="456" spans="1:15" s="236" customFormat="1" x14ac:dyDescent="0.3">
      <c r="A456" s="237" t="str">
        <f>name!E$9</f>
        <v>Caring, leisure and other service occupations</v>
      </c>
      <c r="B456" s="302">
        <v>0.15923685530804282</v>
      </c>
      <c r="C456" s="302">
        <v>1.468900904595691E-2</v>
      </c>
      <c r="D456" s="302">
        <v>2.6636442684296605E-2</v>
      </c>
      <c r="E456" s="302">
        <f t="shared" si="203"/>
        <v>0.20056230703829633</v>
      </c>
      <c r="F456" s="303"/>
      <c r="G456" s="302">
        <v>8.7206943801526909E-2</v>
      </c>
      <c r="H456" s="302">
        <v>2.8524094430968112E-2</v>
      </c>
      <c r="I456" s="302">
        <v>1.7358350092909556E-3</v>
      </c>
      <c r="J456" s="302">
        <f t="shared" ref="J456:J459" si="206">SUM(G456:I456)</f>
        <v>0.11746687324178598</v>
      </c>
      <c r="K456" s="303"/>
      <c r="L456" s="302">
        <v>0.1190618632786697</v>
      </c>
      <c r="M456" s="302">
        <v>4.7936942861794812E-2</v>
      </c>
      <c r="N456" s="302">
        <v>2.178778999963982E-3</v>
      </c>
      <c r="O456" s="302">
        <f t="shared" si="205"/>
        <v>0.16917758514042852</v>
      </c>
    </row>
    <row r="457" spans="1:15" s="236" customFormat="1" x14ac:dyDescent="0.3">
      <c r="A457" s="237" t="str">
        <f>name!E$10</f>
        <v>Sales and customer service occupations</v>
      </c>
      <c r="B457" s="302">
        <v>0.10765828761593729</v>
      </c>
      <c r="C457" s="302">
        <v>2.9793247958202866E-2</v>
      </c>
      <c r="D457" s="302">
        <v>1.120723118600735E-2</v>
      </c>
      <c r="E457" s="302">
        <f t="shared" si="203"/>
        <v>0.14865876676014753</v>
      </c>
      <c r="F457" s="303"/>
      <c r="G457" s="302">
        <v>5.6154275479256527E-2</v>
      </c>
      <c r="H457" s="302">
        <v>4.0089550409828582E-2</v>
      </c>
      <c r="I457" s="302">
        <v>1.1083141724675049E-3</v>
      </c>
      <c r="J457" s="302">
        <f t="shared" si="206"/>
        <v>9.7352140061552628E-2</v>
      </c>
      <c r="K457" s="303"/>
      <c r="L457" s="302">
        <v>6.0495337237900591E-2</v>
      </c>
      <c r="M457" s="302">
        <v>6.6671432025485686E-2</v>
      </c>
      <c r="N457" s="302">
        <v>8.5512308840870728E-4</v>
      </c>
      <c r="O457" s="302">
        <f t="shared" si="205"/>
        <v>0.12802189235179498</v>
      </c>
    </row>
    <row r="458" spans="1:15" s="236" customFormat="1" x14ac:dyDescent="0.3">
      <c r="A458" s="237" t="str">
        <f>name!E$11</f>
        <v>Process, plant and machine operatives</v>
      </c>
      <c r="B458" s="302">
        <v>1.254099518493188</v>
      </c>
      <c r="C458" s="302">
        <v>8.5682891826820255E-3</v>
      </c>
      <c r="D458" s="302">
        <v>4.1907707148051794E-3</v>
      </c>
      <c r="E458" s="302">
        <f t="shared" si="203"/>
        <v>1.2668585783906752</v>
      </c>
      <c r="F458" s="303"/>
      <c r="G458" s="302">
        <v>0.45871846998795068</v>
      </c>
      <c r="H458" s="302">
        <v>6.9863986265229095E-3</v>
      </c>
      <c r="I458" s="302">
        <v>2.5299322583716118E-3</v>
      </c>
      <c r="J458" s="302">
        <f t="shared" si="206"/>
        <v>0.46823480087284519</v>
      </c>
      <c r="K458" s="303"/>
      <c r="L458" s="302">
        <v>0.57383558290249725</v>
      </c>
      <c r="M458" s="302">
        <v>1.0838188942503499E-2</v>
      </c>
      <c r="N458" s="302">
        <v>2.7905465378084172E-3</v>
      </c>
      <c r="O458" s="302">
        <f t="shared" si="205"/>
        <v>0.58746431838280921</v>
      </c>
    </row>
    <row r="459" spans="1:15" s="236" customFormat="1" x14ac:dyDescent="0.3">
      <c r="A459" s="237" t="str">
        <f>name!E$12</f>
        <v>Elementary occupations</v>
      </c>
      <c r="B459" s="302">
        <v>1.2791767748187601</v>
      </c>
      <c r="C459" s="302">
        <v>7.5636040789982734E-2</v>
      </c>
      <c r="D459" s="302">
        <v>2.5714975960961887E-2</v>
      </c>
      <c r="E459" s="302">
        <f t="shared" si="203"/>
        <v>1.3805277915697047</v>
      </c>
      <c r="F459" s="303"/>
      <c r="G459" s="302">
        <v>0.51476947571893172</v>
      </c>
      <c r="H459" s="302">
        <v>5.1466966036767071E-2</v>
      </c>
      <c r="I459" s="302">
        <v>2.0021443666422972E-3</v>
      </c>
      <c r="J459" s="302">
        <f t="shared" si="206"/>
        <v>0.56823858612234102</v>
      </c>
      <c r="K459" s="303"/>
      <c r="L459" s="302">
        <v>0.55389299299262562</v>
      </c>
      <c r="M459" s="302">
        <v>4.6558982127075162E-2</v>
      </c>
      <c r="N459" s="302">
        <v>2.9243640268130848E-3</v>
      </c>
      <c r="O459" s="302">
        <f t="shared" si="205"/>
        <v>0.6033763391465139</v>
      </c>
    </row>
    <row r="460" spans="1:15" s="236" customFormat="1" x14ac:dyDescent="0.3">
      <c r="A460" s="237"/>
      <c r="B460" s="302"/>
      <c r="C460" s="302"/>
      <c r="D460" s="302"/>
      <c r="E460" s="302"/>
      <c r="F460" s="303"/>
      <c r="G460" s="302"/>
      <c r="H460" s="302"/>
      <c r="I460" s="302"/>
      <c r="J460" s="302"/>
      <c r="K460" s="303"/>
      <c r="L460" s="302"/>
      <c r="M460" s="302"/>
      <c r="N460" s="302"/>
      <c r="O460" s="302"/>
    </row>
    <row r="461" spans="1:15" s="236" customFormat="1" x14ac:dyDescent="0.3">
      <c r="A461" s="244" t="s">
        <v>32</v>
      </c>
      <c r="B461" s="311">
        <f>SUM(B451:B459)</f>
        <v>5.3399999999916776</v>
      </c>
      <c r="C461" s="311">
        <f t="shared" ref="C461:E461" si="207">SUM(C451:C459)</f>
        <v>0.29000000000189563</v>
      </c>
      <c r="D461" s="311">
        <f t="shared" si="207"/>
        <v>0.18799999999999803</v>
      </c>
      <c r="E461" s="311">
        <f t="shared" si="207"/>
        <v>5.8179999999935719</v>
      </c>
      <c r="F461" s="311"/>
      <c r="G461" s="311">
        <f t="shared" ref="G461:J461" si="208">SUM(G451:G459)</f>
        <v>2.5350000000071509</v>
      </c>
      <c r="H461" s="311">
        <f t="shared" si="208"/>
        <v>0.22600000000152021</v>
      </c>
      <c r="I461" s="311">
        <f t="shared" si="208"/>
        <v>3.2999999999966348E-2</v>
      </c>
      <c r="J461" s="311">
        <f t="shared" si="208"/>
        <v>2.7940000000086376</v>
      </c>
      <c r="K461" s="311"/>
      <c r="L461" s="311">
        <f t="shared" ref="L461:O461" si="209">SUM(L451:L459)</f>
        <v>3.0140000000336795</v>
      </c>
      <c r="M461" s="311">
        <f t="shared" si="209"/>
        <v>0.26600000000268437</v>
      </c>
      <c r="N461" s="311">
        <f t="shared" si="209"/>
        <v>3.5999999999721082E-2</v>
      </c>
      <c r="O461" s="311">
        <f t="shared" si="209"/>
        <v>3.3160000000360847</v>
      </c>
    </row>
    <row r="462" spans="1:15" s="236" customFormat="1" x14ac:dyDescent="0.3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37"/>
      <c r="M462" s="237"/>
      <c r="N462" s="240"/>
    </row>
    <row r="463" spans="1:15" s="236" customFormat="1" x14ac:dyDescent="0.3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37"/>
      <c r="M463" s="237"/>
      <c r="N463" s="240"/>
      <c r="O463" s="251" t="s">
        <v>35</v>
      </c>
    </row>
    <row r="464" spans="1:15" s="236" customFormat="1" x14ac:dyDescent="0.3">
      <c r="A464" s="242"/>
      <c r="B464" s="242"/>
      <c r="C464" s="242"/>
      <c r="D464" s="242"/>
      <c r="E464" s="242"/>
      <c r="F464" s="242"/>
      <c r="G464" s="242"/>
      <c r="H464" s="242"/>
      <c r="I464" s="242"/>
      <c r="J464" s="242"/>
      <c r="K464" s="242"/>
      <c r="L464" s="242"/>
      <c r="M464" s="242"/>
      <c r="N464" s="242"/>
      <c r="O464" s="242"/>
    </row>
    <row r="465" spans="1:15" s="236" customFormat="1" x14ac:dyDescent="0.3">
      <c r="A465" s="241" t="str">
        <f>name!A30</f>
        <v>Waste management</v>
      </c>
      <c r="B465" s="375">
        <f>$B$6</f>
        <v>2015</v>
      </c>
      <c r="C465" s="375"/>
      <c r="D465" s="375"/>
      <c r="E465" s="375"/>
      <c r="F465" s="263"/>
      <c r="G465" s="375">
        <f>$G$6</f>
        <v>2020</v>
      </c>
      <c r="H465" s="375"/>
      <c r="I465" s="375"/>
      <c r="J465" s="375"/>
      <c r="K465" s="263"/>
      <c r="L465" s="375">
        <f>$L$6</f>
        <v>2035</v>
      </c>
      <c r="M465" s="375"/>
      <c r="N465" s="375"/>
      <c r="O465" s="375"/>
    </row>
    <row r="466" spans="1:15" s="236" customFormat="1" x14ac:dyDescent="0.3">
      <c r="A466" s="254"/>
      <c r="B466" s="268" t="str">
        <f>$B$7</f>
        <v>FT</v>
      </c>
      <c r="C466" s="268" t="str">
        <f>$C$7</f>
        <v>PT</v>
      </c>
      <c r="D466" s="268" t="str">
        <f>$D$7</f>
        <v>SE</v>
      </c>
      <c r="E466" s="268" t="str">
        <f>$E$7</f>
        <v>Total</v>
      </c>
      <c r="F466" s="268"/>
      <c r="G466" s="268" t="str">
        <f>$G$7</f>
        <v>FT</v>
      </c>
      <c r="H466" s="268" t="str">
        <f>$H$7</f>
        <v>PT</v>
      </c>
      <c r="I466" s="268" t="str">
        <f>$I$7</f>
        <v>SE</v>
      </c>
      <c r="J466" s="268" t="str">
        <f>$J$7</f>
        <v>Total</v>
      </c>
      <c r="K466" s="268"/>
      <c r="L466" s="268" t="str">
        <f>$L$7</f>
        <v>FT</v>
      </c>
      <c r="M466" s="268" t="str">
        <f>$M$7</f>
        <v>PT</v>
      </c>
      <c r="N466" s="268" t="str">
        <f>$N$7</f>
        <v>SE</v>
      </c>
      <c r="O466" s="268" t="str">
        <f>$O$7</f>
        <v>Total</v>
      </c>
    </row>
    <row r="467" spans="1:15" s="236" customFormat="1" x14ac:dyDescent="0.3">
      <c r="A467" s="258"/>
      <c r="B467" s="239"/>
      <c r="C467" s="239"/>
      <c r="D467" s="239"/>
      <c r="E467" s="239"/>
      <c r="F467" s="239"/>
      <c r="G467" s="239"/>
      <c r="H467" s="239"/>
      <c r="I467" s="239"/>
      <c r="J467" s="239"/>
      <c r="K467" s="239"/>
      <c r="L467" s="239"/>
      <c r="M467" s="239"/>
      <c r="N467" s="239"/>
      <c r="O467" s="239"/>
    </row>
    <row r="468" spans="1:15" s="236" customFormat="1" x14ac:dyDescent="0.3">
      <c r="A468" s="237" t="str">
        <f>name!E$4</f>
        <v>Managers, directors and senior officials</v>
      </c>
      <c r="B468" s="302">
        <v>1.2002641200147026</v>
      </c>
      <c r="C468" s="302">
        <v>6.2622765607070308E-2</v>
      </c>
      <c r="D468" s="302">
        <v>6.1744844510802982E-3</v>
      </c>
      <c r="E468" s="302">
        <f>SUM(B468:D468)</f>
        <v>1.2690613700728532</v>
      </c>
      <c r="F468" s="303"/>
      <c r="G468" s="302">
        <v>1.4920542542034783</v>
      </c>
      <c r="H468" s="302">
        <v>0.101075345615944</v>
      </c>
      <c r="I468" s="302">
        <v>0.17163049834713889</v>
      </c>
      <c r="J468" s="302">
        <f>SUM(G468:I468)</f>
        <v>1.7647600981665612</v>
      </c>
      <c r="K468" s="303"/>
      <c r="L468" s="302">
        <v>1.7294047460161444</v>
      </c>
      <c r="M468" s="302">
        <v>0.14834892054815479</v>
      </c>
      <c r="N468" s="302">
        <v>0.20061622047540231</v>
      </c>
      <c r="O468" s="302">
        <f>SUM(L468:N468)</f>
        <v>2.0783698870397016</v>
      </c>
    </row>
    <row r="469" spans="1:15" s="236" customFormat="1" x14ac:dyDescent="0.3">
      <c r="A469" s="237" t="str">
        <f>name!E$5</f>
        <v>Professional occupations</v>
      </c>
      <c r="B469" s="302">
        <v>1.0037928992251126</v>
      </c>
      <c r="C469" s="302">
        <v>0.15036817975670194</v>
      </c>
      <c r="D469" s="302">
        <v>1.0594618216299303E-2</v>
      </c>
      <c r="E469" s="302">
        <f t="shared" ref="E469:E476" si="210">SUM(B469:D469)</f>
        <v>1.1647556971981139</v>
      </c>
      <c r="F469" s="303"/>
      <c r="G469" s="302">
        <v>1.360367788624937</v>
      </c>
      <c r="H469" s="302">
        <v>0.18537481544089454</v>
      </c>
      <c r="I469" s="302">
        <v>4.4865189147023088E-2</v>
      </c>
      <c r="J469" s="302">
        <f t="shared" ref="J469:J471" si="211">SUM(G469:I469)</f>
        <v>1.5906077932128546</v>
      </c>
      <c r="K469" s="303"/>
      <c r="L469" s="302">
        <v>1.6176884554789703</v>
      </c>
      <c r="M469" s="302">
        <v>0.24960190868078877</v>
      </c>
      <c r="N469" s="302">
        <v>4.6088712371122227E-2</v>
      </c>
      <c r="O469" s="302">
        <f t="shared" ref="O469:O476" si="212">SUM(L469:N469)</f>
        <v>1.9133790765308814</v>
      </c>
    </row>
    <row r="470" spans="1:15" s="236" customFormat="1" x14ac:dyDescent="0.3">
      <c r="A470" s="237" t="str">
        <f>name!E$6</f>
        <v>Associate professional occupations</v>
      </c>
      <c r="B470" s="302">
        <v>1.3221928291412246</v>
      </c>
      <c r="C470" s="302">
        <v>8.4374944896965592E-2</v>
      </c>
      <c r="D470" s="302">
        <v>1.8941540585865065E-2</v>
      </c>
      <c r="E470" s="302">
        <f t="shared" si="210"/>
        <v>1.4255093146240552</v>
      </c>
      <c r="F470" s="303"/>
      <c r="G470" s="302">
        <v>1.7118649517380908</v>
      </c>
      <c r="H470" s="302">
        <v>8.5892785346054643E-2</v>
      </c>
      <c r="I470" s="302">
        <v>3.8736820928863699E-2</v>
      </c>
      <c r="J470" s="302">
        <f t="shared" si="211"/>
        <v>1.8364945580130092</v>
      </c>
      <c r="K470" s="303"/>
      <c r="L470" s="302">
        <v>2.4190938587811015</v>
      </c>
      <c r="M470" s="302">
        <v>9.6014034950042376E-2</v>
      </c>
      <c r="N470" s="302">
        <v>4.0611737426713673E-2</v>
      </c>
      <c r="O470" s="302">
        <f t="shared" si="212"/>
        <v>2.5557196311578574</v>
      </c>
    </row>
    <row r="471" spans="1:15" s="236" customFormat="1" x14ac:dyDescent="0.3">
      <c r="A471" s="237" t="str">
        <f>name!E$7</f>
        <v>Administrative and secretarial occupations</v>
      </c>
      <c r="B471" s="302">
        <v>0.6592536220321058</v>
      </c>
      <c r="C471" s="302">
        <v>0.24438795519269388</v>
      </c>
      <c r="D471" s="302">
        <v>6.5998691861615857E-3</v>
      </c>
      <c r="E471" s="302">
        <f t="shared" si="210"/>
        <v>0.91024144641096127</v>
      </c>
      <c r="F471" s="303"/>
      <c r="G471" s="302">
        <v>0.6987055153979681</v>
      </c>
      <c r="H471" s="302">
        <v>0.24392817268853936</v>
      </c>
      <c r="I471" s="302">
        <v>6.5136381293428979E-3</v>
      </c>
      <c r="J471" s="302">
        <f t="shared" si="211"/>
        <v>0.94914732621585041</v>
      </c>
      <c r="K471" s="303"/>
      <c r="L471" s="302">
        <v>0.55558618442987417</v>
      </c>
      <c r="M471" s="302">
        <v>0.22694647410001462</v>
      </c>
      <c r="N471" s="302">
        <v>8.3985529095129147E-3</v>
      </c>
      <c r="O471" s="302">
        <f t="shared" si="212"/>
        <v>0.79093121143940182</v>
      </c>
    </row>
    <row r="472" spans="1:15" s="236" customFormat="1" x14ac:dyDescent="0.3">
      <c r="A472" s="237" t="str">
        <f>name!E$8</f>
        <v>Skilled trades occupations</v>
      </c>
      <c r="B472" s="302">
        <v>0.6704644994501614</v>
      </c>
      <c r="C472" s="302">
        <v>0.15171722667757154</v>
      </c>
      <c r="D472" s="302">
        <v>4.3720432583029878E-2</v>
      </c>
      <c r="E472" s="302">
        <f t="shared" si="210"/>
        <v>0.8659021587107627</v>
      </c>
      <c r="F472" s="303"/>
      <c r="G472" s="302">
        <v>0.64331858406854958</v>
      </c>
      <c r="H472" s="302">
        <v>0.13024673022437031</v>
      </c>
      <c r="I472" s="302">
        <v>0.20171972118673775</v>
      </c>
      <c r="J472" s="302">
        <f>SUM(G472:I472)</f>
        <v>0.97528503547965761</v>
      </c>
      <c r="K472" s="303"/>
      <c r="L472" s="302">
        <v>0.69466608833573451</v>
      </c>
      <c r="M472" s="302">
        <v>0.21326946891960213</v>
      </c>
      <c r="N472" s="302">
        <v>0.17135554083802598</v>
      </c>
      <c r="O472" s="302">
        <f t="shared" si="212"/>
        <v>1.0792910980933628</v>
      </c>
    </row>
    <row r="473" spans="1:15" s="236" customFormat="1" x14ac:dyDescent="0.3">
      <c r="A473" s="237" t="str">
        <f>name!E$9</f>
        <v>Caring, leisure and other service occupations</v>
      </c>
      <c r="B473" s="302">
        <v>0.27842274433221087</v>
      </c>
      <c r="C473" s="302">
        <v>5.1801090652114204E-2</v>
      </c>
      <c r="D473" s="302">
        <v>3.2239308965090608E-3</v>
      </c>
      <c r="E473" s="302">
        <f t="shared" si="210"/>
        <v>0.33344776588083413</v>
      </c>
      <c r="F473" s="303"/>
      <c r="G473" s="302">
        <v>0.32103219122885557</v>
      </c>
      <c r="H473" s="302">
        <v>4.352187231500184E-2</v>
      </c>
      <c r="I473" s="302">
        <v>5.2083131037747301E-3</v>
      </c>
      <c r="J473" s="302">
        <f t="shared" ref="J473:J476" si="213">SUM(G473:I473)</f>
        <v>0.36976237664763212</v>
      </c>
      <c r="K473" s="303"/>
      <c r="L473" s="302">
        <v>0.45827940618470142</v>
      </c>
      <c r="M473" s="302">
        <v>4.2288515531983477E-2</v>
      </c>
      <c r="N473" s="302">
        <v>8.1985169680095296E-3</v>
      </c>
      <c r="O473" s="302">
        <f t="shared" si="212"/>
        <v>0.5087664386846944</v>
      </c>
    </row>
    <row r="474" spans="1:15" s="236" customFormat="1" x14ac:dyDescent="0.3">
      <c r="A474" s="237" t="str">
        <f>name!E$10</f>
        <v>Sales and customer service occupations</v>
      </c>
      <c r="B474" s="302">
        <v>0.21334256784312083</v>
      </c>
      <c r="C474" s="302">
        <v>8.5944453801031356E-2</v>
      </c>
      <c r="D474" s="302">
        <v>2.1688672618264712E-3</v>
      </c>
      <c r="E474" s="302">
        <f t="shared" si="210"/>
        <v>0.30145588890597869</v>
      </c>
      <c r="F474" s="303"/>
      <c r="G474" s="302">
        <v>0.24044491540980595</v>
      </c>
      <c r="H474" s="302">
        <v>7.5396640134522824E-2</v>
      </c>
      <c r="I474" s="302">
        <v>2.9077625419968348E-2</v>
      </c>
      <c r="J474" s="302">
        <f t="shared" si="213"/>
        <v>0.34491918096429713</v>
      </c>
      <c r="K474" s="303"/>
      <c r="L474" s="302">
        <v>0.30482617865312317</v>
      </c>
      <c r="M474" s="302">
        <v>6.1815913319195233E-2</v>
      </c>
      <c r="N474" s="302">
        <v>2.5209378170087893E-2</v>
      </c>
      <c r="O474" s="302">
        <f t="shared" si="212"/>
        <v>0.39185147014240629</v>
      </c>
    </row>
    <row r="475" spans="1:15" s="236" customFormat="1" x14ac:dyDescent="0.3">
      <c r="A475" s="237" t="str">
        <f>name!E$11</f>
        <v>Process, plant and machine operatives</v>
      </c>
      <c r="B475" s="302">
        <v>2.7916596190225493</v>
      </c>
      <c r="C475" s="302">
        <v>0.15647582206289903</v>
      </c>
      <c r="D475" s="302">
        <v>1.2089543634773088E-2</v>
      </c>
      <c r="E475" s="302">
        <f t="shared" si="210"/>
        <v>2.9602249847202216</v>
      </c>
      <c r="F475" s="303"/>
      <c r="G475" s="302">
        <v>2.6863189622414629</v>
      </c>
      <c r="H475" s="302">
        <v>0.15973428396117967</v>
      </c>
      <c r="I475" s="302">
        <v>4.239184382390488E-2</v>
      </c>
      <c r="J475" s="302">
        <f t="shared" si="213"/>
        <v>2.8884450900265475</v>
      </c>
      <c r="K475" s="303"/>
      <c r="L475" s="302">
        <v>3.4060139559413742</v>
      </c>
      <c r="M475" s="302">
        <v>0.19940527591513338</v>
      </c>
      <c r="N475" s="302">
        <v>3.4954297280941404E-2</v>
      </c>
      <c r="O475" s="302">
        <f t="shared" si="212"/>
        <v>3.6403735291374493</v>
      </c>
    </row>
    <row r="476" spans="1:15" s="236" customFormat="1" x14ac:dyDescent="0.3">
      <c r="A476" s="237" t="str">
        <f>name!E$12</f>
        <v>Elementary occupations</v>
      </c>
      <c r="B476" s="302">
        <v>2.4446070989261122</v>
      </c>
      <c r="C476" s="302">
        <v>0.11830756135682335</v>
      </c>
      <c r="D476" s="302">
        <v>2.9486713186330407E-2</v>
      </c>
      <c r="E476" s="302">
        <f t="shared" si="210"/>
        <v>2.5924013734692659</v>
      </c>
      <c r="F476" s="303"/>
      <c r="G476" s="302">
        <v>2.3818928371247137</v>
      </c>
      <c r="H476" s="302">
        <v>8.1829354276009708E-2</v>
      </c>
      <c r="I476" s="302">
        <v>2.3856349908612465E-2</v>
      </c>
      <c r="J476" s="302">
        <f t="shared" si="213"/>
        <v>2.4875785413093361</v>
      </c>
      <c r="K476" s="303"/>
      <c r="L476" s="302">
        <v>2.2344411263171189</v>
      </c>
      <c r="M476" s="302">
        <v>7.4309488036072915E-2</v>
      </c>
      <c r="N476" s="302">
        <v>2.7567043553679456E-2</v>
      </c>
      <c r="O476" s="302">
        <f t="shared" si="212"/>
        <v>2.3363176579068714</v>
      </c>
    </row>
    <row r="477" spans="1:15" s="236" customFormat="1" x14ac:dyDescent="0.3">
      <c r="A477" s="237"/>
      <c r="B477" s="302"/>
      <c r="C477" s="302"/>
      <c r="D477" s="302"/>
      <c r="E477" s="302"/>
      <c r="F477" s="303"/>
      <c r="G477" s="302"/>
      <c r="H477" s="302"/>
      <c r="I477" s="302"/>
      <c r="J477" s="302"/>
      <c r="K477" s="303"/>
      <c r="L477" s="302"/>
      <c r="M477" s="302"/>
      <c r="N477" s="302"/>
      <c r="O477" s="302"/>
    </row>
    <row r="478" spans="1:15" s="236" customFormat="1" x14ac:dyDescent="0.3">
      <c r="A478" s="244" t="s">
        <v>32</v>
      </c>
      <c r="B478" s="311">
        <f>SUM(B468:B476)</f>
        <v>10.583999999987299</v>
      </c>
      <c r="C478" s="311">
        <f t="shared" ref="C478:E478" si="214">SUM(C468:C476)</f>
        <v>1.1060000000038712</v>
      </c>
      <c r="D478" s="311">
        <f t="shared" si="214"/>
        <v>0.13300000000187517</v>
      </c>
      <c r="E478" s="311">
        <f t="shared" si="214"/>
        <v>11.822999999993048</v>
      </c>
      <c r="F478" s="311"/>
      <c r="G478" s="311">
        <f t="shared" ref="G478:J478" si="215">SUM(G468:G476)</f>
        <v>11.536000000037863</v>
      </c>
      <c r="H478" s="311">
        <f t="shared" si="215"/>
        <v>1.1070000000025169</v>
      </c>
      <c r="I478" s="311">
        <f t="shared" si="215"/>
        <v>0.56399999999536687</v>
      </c>
      <c r="J478" s="311">
        <f t="shared" si="215"/>
        <v>13.207000000035746</v>
      </c>
      <c r="K478" s="311"/>
      <c r="L478" s="311">
        <f t="shared" ref="L478:O478" si="216">SUM(L468:L476)</f>
        <v>13.420000000138142</v>
      </c>
      <c r="M478" s="311">
        <f t="shared" si="216"/>
        <v>1.3120000000009877</v>
      </c>
      <c r="N478" s="311">
        <f t="shared" si="216"/>
        <v>0.56299999999349537</v>
      </c>
      <c r="O478" s="311">
        <f t="shared" si="216"/>
        <v>15.295000000132625</v>
      </c>
    </row>
    <row r="479" spans="1:15" s="236" customFormat="1" x14ac:dyDescent="0.3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37"/>
      <c r="M479" s="237"/>
      <c r="N479" s="240"/>
    </row>
    <row r="480" spans="1:15" s="236" customFormat="1" x14ac:dyDescent="0.3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40"/>
      <c r="O480" s="251" t="s">
        <v>35</v>
      </c>
    </row>
    <row r="481" spans="1:15" s="236" customFormat="1" x14ac:dyDescent="0.3">
      <c r="A481" s="242"/>
      <c r="B481" s="242"/>
      <c r="C481" s="242"/>
      <c r="D481" s="242"/>
      <c r="E481" s="242"/>
      <c r="F481" s="242"/>
      <c r="G481" s="242"/>
      <c r="H481" s="242"/>
      <c r="I481" s="242"/>
      <c r="J481" s="242"/>
      <c r="K481" s="242"/>
      <c r="L481" s="242"/>
      <c r="M481" s="242"/>
      <c r="N481" s="242"/>
      <c r="O481" s="242"/>
    </row>
    <row r="482" spans="1:15" s="236" customFormat="1" x14ac:dyDescent="0.3">
      <c r="A482" s="241" t="str">
        <f>name!A31</f>
        <v>Construction</v>
      </c>
      <c r="B482" s="375">
        <f>$B$6</f>
        <v>2015</v>
      </c>
      <c r="C482" s="375"/>
      <c r="D482" s="375"/>
      <c r="E482" s="375"/>
      <c r="F482" s="263"/>
      <c r="G482" s="375">
        <f>$G$6</f>
        <v>2020</v>
      </c>
      <c r="H482" s="375"/>
      <c r="I482" s="375"/>
      <c r="J482" s="375"/>
      <c r="K482" s="263"/>
      <c r="L482" s="375">
        <f>$L$6</f>
        <v>2035</v>
      </c>
      <c r="M482" s="375"/>
      <c r="N482" s="375"/>
      <c r="O482" s="375"/>
    </row>
    <row r="483" spans="1:15" s="236" customFormat="1" x14ac:dyDescent="0.3">
      <c r="A483" s="254"/>
      <c r="B483" s="268" t="str">
        <f>$B$7</f>
        <v>FT</v>
      </c>
      <c r="C483" s="268" t="str">
        <f>$C$7</f>
        <v>PT</v>
      </c>
      <c r="D483" s="268" t="str">
        <f>$D$7</f>
        <v>SE</v>
      </c>
      <c r="E483" s="268" t="str">
        <f>$E$7</f>
        <v>Total</v>
      </c>
      <c r="F483" s="268"/>
      <c r="G483" s="268" t="str">
        <f>$G$7</f>
        <v>FT</v>
      </c>
      <c r="H483" s="268" t="str">
        <f>$H$7</f>
        <v>PT</v>
      </c>
      <c r="I483" s="268" t="str">
        <f>$I$7</f>
        <v>SE</v>
      </c>
      <c r="J483" s="268" t="str">
        <f>$J$7</f>
        <v>Total</v>
      </c>
      <c r="K483" s="268"/>
      <c r="L483" s="268" t="str">
        <f>$L$7</f>
        <v>FT</v>
      </c>
      <c r="M483" s="268" t="str">
        <f>$M$7</f>
        <v>PT</v>
      </c>
      <c r="N483" s="268" t="str">
        <f>$N$7</f>
        <v>SE</v>
      </c>
      <c r="O483" s="268" t="str">
        <f>$O$7</f>
        <v>Total</v>
      </c>
    </row>
    <row r="484" spans="1:15" s="236" customFormat="1" x14ac:dyDescent="0.3">
      <c r="A484" s="258"/>
      <c r="B484" s="239"/>
      <c r="C484" s="239"/>
      <c r="D484" s="239"/>
      <c r="E484" s="239"/>
      <c r="F484" s="239"/>
      <c r="G484" s="239"/>
      <c r="H484" s="239"/>
      <c r="I484" s="239"/>
      <c r="J484" s="239"/>
      <c r="K484" s="239"/>
      <c r="L484" s="239"/>
      <c r="M484" s="239"/>
      <c r="N484" s="239"/>
      <c r="O484" s="239"/>
    </row>
    <row r="485" spans="1:15" s="236" customFormat="1" x14ac:dyDescent="0.3">
      <c r="A485" s="237" t="str">
        <f>name!E$4</f>
        <v>Managers, directors and senior officials</v>
      </c>
      <c r="B485" s="302">
        <v>7.4314580099907595</v>
      </c>
      <c r="C485" s="302">
        <v>0.58930796995021695</v>
      </c>
      <c r="D485" s="302">
        <v>1.6356183464127156</v>
      </c>
      <c r="E485" s="302">
        <f>SUM(B485:D485)</f>
        <v>9.6563843263536935</v>
      </c>
      <c r="F485" s="303"/>
      <c r="G485" s="302">
        <v>7.8958212111424331</v>
      </c>
      <c r="H485" s="302">
        <v>1.3238990317041097</v>
      </c>
      <c r="I485" s="302">
        <v>3.2301693547798647</v>
      </c>
      <c r="J485" s="302">
        <f>SUM(G485:I485)</f>
        <v>12.449889597626408</v>
      </c>
      <c r="K485" s="303"/>
      <c r="L485" s="302">
        <v>10.071651843584085</v>
      </c>
      <c r="M485" s="302">
        <v>1.7453510955042304</v>
      </c>
      <c r="N485" s="302">
        <v>3.9079808409094228</v>
      </c>
      <c r="O485" s="302">
        <f>SUM(L485:N485)</f>
        <v>15.724983779997737</v>
      </c>
    </row>
    <row r="486" spans="1:15" s="236" customFormat="1" x14ac:dyDescent="0.3">
      <c r="A486" s="237" t="str">
        <f>name!E$5</f>
        <v>Professional occupations</v>
      </c>
      <c r="B486" s="302">
        <v>8.1499262427699914</v>
      </c>
      <c r="C486" s="302">
        <v>0.35402305854909183</v>
      </c>
      <c r="D486" s="302">
        <v>0.92956269414039117</v>
      </c>
      <c r="E486" s="302">
        <f t="shared" ref="E486:E493" si="217">SUM(B486:D486)</f>
        <v>9.4335119954594759</v>
      </c>
      <c r="F486" s="303"/>
      <c r="G486" s="302">
        <v>9.74887816607791</v>
      </c>
      <c r="H486" s="302">
        <v>0.73057094820712309</v>
      </c>
      <c r="I486" s="302">
        <v>1.4294351340906737</v>
      </c>
      <c r="J486" s="302">
        <f t="shared" ref="J486:J488" si="218">SUM(G486:I486)</f>
        <v>11.908884248375708</v>
      </c>
      <c r="K486" s="303"/>
      <c r="L486" s="302">
        <v>14.4476407241321</v>
      </c>
      <c r="M486" s="302">
        <v>0.9811700554395324</v>
      </c>
      <c r="N486" s="302">
        <v>1.3695317830121458</v>
      </c>
      <c r="O486" s="302">
        <f t="shared" ref="O486:O493" si="219">SUM(L486:N486)</f>
        <v>16.798342562583777</v>
      </c>
    </row>
    <row r="487" spans="1:15" s="236" customFormat="1" x14ac:dyDescent="0.3">
      <c r="A487" s="237" t="str">
        <f>name!E$6</f>
        <v>Associate professional occupations</v>
      </c>
      <c r="B487" s="302">
        <v>5.2550717193092069</v>
      </c>
      <c r="C487" s="302">
        <v>0.47622101787107751</v>
      </c>
      <c r="D487" s="302">
        <v>0.36409271430583795</v>
      </c>
      <c r="E487" s="302">
        <f t="shared" si="217"/>
        <v>6.0953854514861225</v>
      </c>
      <c r="F487" s="303"/>
      <c r="G487" s="302">
        <v>5.966102283320712</v>
      </c>
      <c r="H487" s="302">
        <v>0.86578633491207435</v>
      </c>
      <c r="I487" s="302">
        <v>0.5934031393031487</v>
      </c>
      <c r="J487" s="302">
        <f t="shared" si="218"/>
        <v>7.425291757535935</v>
      </c>
      <c r="K487" s="303"/>
      <c r="L487" s="302">
        <v>7.2230617029161692</v>
      </c>
      <c r="M487" s="302">
        <v>0.96718011005546778</v>
      </c>
      <c r="N487" s="302">
        <v>0.70661194313698439</v>
      </c>
      <c r="O487" s="302">
        <f t="shared" si="219"/>
        <v>8.8968537561086212</v>
      </c>
    </row>
    <row r="488" spans="1:15" s="236" customFormat="1" x14ac:dyDescent="0.3">
      <c r="A488" s="237" t="str">
        <f>name!E$7</f>
        <v>Administrative and secretarial occupations</v>
      </c>
      <c r="B488" s="302">
        <v>5.6825250675253063</v>
      </c>
      <c r="C488" s="302">
        <v>3.3052917671465165</v>
      </c>
      <c r="D488" s="302">
        <v>0.18395316529730202</v>
      </c>
      <c r="E488" s="302">
        <f t="shared" si="217"/>
        <v>9.1717699999691238</v>
      </c>
      <c r="F488" s="303"/>
      <c r="G488" s="302">
        <v>5.6287339976068296</v>
      </c>
      <c r="H488" s="302">
        <v>3.9558825173961574</v>
      </c>
      <c r="I488" s="302">
        <v>0.94351747617271031</v>
      </c>
      <c r="J488" s="302">
        <f t="shared" si="218"/>
        <v>10.528133991175697</v>
      </c>
      <c r="K488" s="303"/>
      <c r="L488" s="302">
        <v>5.0071585643566019</v>
      </c>
      <c r="M488" s="302">
        <v>4.8516235456229175</v>
      </c>
      <c r="N488" s="302">
        <v>0.60183560592918106</v>
      </c>
      <c r="O488" s="302">
        <f t="shared" si="219"/>
        <v>10.4606177159087</v>
      </c>
    </row>
    <row r="489" spans="1:15" s="236" customFormat="1" x14ac:dyDescent="0.3">
      <c r="A489" s="237" t="str">
        <f>name!E$8</f>
        <v>Skilled trades occupations</v>
      </c>
      <c r="B489" s="302">
        <v>10.254698645554557</v>
      </c>
      <c r="C489" s="302">
        <v>0.62669661343304783</v>
      </c>
      <c r="D489" s="302">
        <v>19.194628433584523</v>
      </c>
      <c r="E489" s="302">
        <f t="shared" si="217"/>
        <v>30.076023692572129</v>
      </c>
      <c r="F489" s="303"/>
      <c r="G489" s="302">
        <v>7.432591490288825</v>
      </c>
      <c r="H489" s="302">
        <v>0.72959290151081913</v>
      </c>
      <c r="I489" s="302">
        <v>18.486153510023193</v>
      </c>
      <c r="J489" s="302">
        <f>SUM(G489:I489)</f>
        <v>26.648337901822838</v>
      </c>
      <c r="K489" s="303"/>
      <c r="L489" s="302">
        <v>6.1376313616054547</v>
      </c>
      <c r="M489" s="302">
        <v>1.3478168566247946</v>
      </c>
      <c r="N489" s="302">
        <v>22.41605406840225</v>
      </c>
      <c r="O489" s="302">
        <f t="shared" si="219"/>
        <v>29.9015022866325</v>
      </c>
    </row>
    <row r="490" spans="1:15" s="236" customFormat="1" x14ac:dyDescent="0.3">
      <c r="A490" s="237" t="str">
        <f>name!E$9</f>
        <v>Caring, leisure and other service occupations</v>
      </c>
      <c r="B490" s="302">
        <v>0.21459405893786393</v>
      </c>
      <c r="C490" s="302">
        <v>4.2540324057560294E-2</v>
      </c>
      <c r="D490" s="302">
        <v>1.0312220066597952E-2</v>
      </c>
      <c r="E490" s="302">
        <f t="shared" si="217"/>
        <v>0.26744660306202217</v>
      </c>
      <c r="F490" s="303"/>
      <c r="G490" s="302">
        <v>0.21329804980089057</v>
      </c>
      <c r="H490" s="302">
        <v>7.3766867626275393E-2</v>
      </c>
      <c r="I490" s="302">
        <v>3.5167502536384593E-2</v>
      </c>
      <c r="J490" s="302">
        <f t="shared" ref="J490:J493" si="220">SUM(G490:I490)</f>
        <v>0.32223241996355056</v>
      </c>
      <c r="K490" s="303"/>
      <c r="L490" s="302">
        <v>0.25752862573351515</v>
      </c>
      <c r="M490" s="302">
        <v>7.1666612309547836E-2</v>
      </c>
      <c r="N490" s="302">
        <v>6.845193694526544E-2</v>
      </c>
      <c r="O490" s="302">
        <f t="shared" si="219"/>
        <v>0.39764717498832847</v>
      </c>
    </row>
    <row r="491" spans="1:15" s="236" customFormat="1" x14ac:dyDescent="0.3">
      <c r="A491" s="237" t="str">
        <f>name!E$10</f>
        <v>Sales and customer service occupations</v>
      </c>
      <c r="B491" s="302">
        <v>1.3112371115903685</v>
      </c>
      <c r="C491" s="302">
        <v>0.41978935374156578</v>
      </c>
      <c r="D491" s="302">
        <v>0.17512206600728347</v>
      </c>
      <c r="E491" s="302">
        <f t="shared" si="217"/>
        <v>1.9061485313392177</v>
      </c>
      <c r="F491" s="303"/>
      <c r="G491" s="302">
        <v>1.251398845555042</v>
      </c>
      <c r="H491" s="302">
        <v>0.64668256872656482</v>
      </c>
      <c r="I491" s="302">
        <v>0.24162443922131413</v>
      </c>
      <c r="J491" s="302">
        <f t="shared" si="220"/>
        <v>2.139705853502921</v>
      </c>
      <c r="K491" s="303"/>
      <c r="L491" s="302">
        <v>1.6729605873819497</v>
      </c>
      <c r="M491" s="302">
        <v>0.8849881690209731</v>
      </c>
      <c r="N491" s="302">
        <v>0.31527188510611237</v>
      </c>
      <c r="O491" s="302">
        <f t="shared" si="219"/>
        <v>2.8732206415090356</v>
      </c>
    </row>
    <row r="492" spans="1:15" s="236" customFormat="1" x14ac:dyDescent="0.3">
      <c r="A492" s="237" t="str">
        <f>name!E$11</f>
        <v>Process, plant and machine operatives</v>
      </c>
      <c r="B492" s="302">
        <v>5.9241990618317741</v>
      </c>
      <c r="C492" s="302">
        <v>0.17460923137491019</v>
      </c>
      <c r="D492" s="302">
        <v>1.6287038144721062</v>
      </c>
      <c r="E492" s="302">
        <f t="shared" si="217"/>
        <v>7.7275121076787912</v>
      </c>
      <c r="F492" s="303"/>
      <c r="G492" s="302">
        <v>4.2238846117224034</v>
      </c>
      <c r="H492" s="302">
        <v>0.35294175830221924</v>
      </c>
      <c r="I492" s="302">
        <v>2.0832489893249995</v>
      </c>
      <c r="J492" s="302">
        <f t="shared" si="220"/>
        <v>6.6600753593496229</v>
      </c>
      <c r="K492" s="303"/>
      <c r="L492" s="302">
        <v>5.4204178845879598</v>
      </c>
      <c r="M492" s="302">
        <v>0.50379762660749183</v>
      </c>
      <c r="N492" s="302">
        <v>3.4839359030861945</v>
      </c>
      <c r="O492" s="302">
        <f t="shared" si="219"/>
        <v>9.4081514142816456</v>
      </c>
    </row>
    <row r="493" spans="1:15" s="236" customFormat="1" x14ac:dyDescent="0.3">
      <c r="A493" s="237" t="str">
        <f>name!E$12</f>
        <v>Elementary occupations</v>
      </c>
      <c r="B493" s="302">
        <v>3.199290082345378</v>
      </c>
      <c r="C493" s="302">
        <v>0.64952066393177033</v>
      </c>
      <c r="D493" s="302">
        <v>1.8970065448236466</v>
      </c>
      <c r="E493" s="302">
        <f t="shared" si="217"/>
        <v>5.7458172911007948</v>
      </c>
      <c r="F493" s="303"/>
      <c r="G493" s="302">
        <v>2.2312913446020386</v>
      </c>
      <c r="H493" s="302">
        <v>0.90087707156343666</v>
      </c>
      <c r="I493" s="302">
        <v>2.0892804539157441</v>
      </c>
      <c r="J493" s="302">
        <f t="shared" si="220"/>
        <v>5.2214488700812201</v>
      </c>
      <c r="K493" s="303"/>
      <c r="L493" s="302">
        <v>2.0209487062509575</v>
      </c>
      <c r="M493" s="302">
        <v>0.70940592875130393</v>
      </c>
      <c r="N493" s="302">
        <v>3.3963260320397284</v>
      </c>
      <c r="O493" s="302">
        <f t="shared" si="219"/>
        <v>6.12668066704199</v>
      </c>
    </row>
    <row r="494" spans="1:15" s="236" customFormat="1" x14ac:dyDescent="0.3">
      <c r="A494" s="237"/>
      <c r="B494" s="302"/>
      <c r="C494" s="302"/>
      <c r="D494" s="302"/>
      <c r="E494" s="302"/>
      <c r="F494" s="303"/>
      <c r="G494" s="302"/>
      <c r="H494" s="302"/>
      <c r="I494" s="302"/>
      <c r="J494" s="302"/>
      <c r="K494" s="303"/>
      <c r="L494" s="302"/>
      <c r="M494" s="302"/>
      <c r="N494" s="302"/>
      <c r="O494" s="302"/>
    </row>
    <row r="495" spans="1:15" s="236" customFormat="1" x14ac:dyDescent="0.3">
      <c r="A495" s="244" t="s">
        <v>32</v>
      </c>
      <c r="B495" s="311">
        <f>SUM(B485:B493)</f>
        <v>47.422999999855193</v>
      </c>
      <c r="C495" s="311">
        <f t="shared" ref="C495:E495" si="221">SUM(C485:C493)</f>
        <v>6.638000000055758</v>
      </c>
      <c r="D495" s="311">
        <f t="shared" si="221"/>
        <v>26.018999999110406</v>
      </c>
      <c r="E495" s="311">
        <f t="shared" si="221"/>
        <v>80.079999999021368</v>
      </c>
      <c r="F495" s="311"/>
      <c r="G495" s="311">
        <f t="shared" ref="G495:J495" si="222">SUM(G485:G493)</f>
        <v>44.592000000117089</v>
      </c>
      <c r="H495" s="311">
        <f t="shared" si="222"/>
        <v>9.5799999999487806</v>
      </c>
      <c r="I495" s="311">
        <f t="shared" si="222"/>
        <v>29.131999999368038</v>
      </c>
      <c r="J495" s="311">
        <f t="shared" si="222"/>
        <v>83.303999999433898</v>
      </c>
      <c r="K495" s="311"/>
      <c r="L495" s="311">
        <f t="shared" ref="L495:O495" si="223">SUM(L485:L493)</f>
        <v>52.259000000548795</v>
      </c>
      <c r="M495" s="311">
        <f t="shared" si="223"/>
        <v>12.062999999936258</v>
      </c>
      <c r="N495" s="311">
        <f t="shared" si="223"/>
        <v>36.265999998567288</v>
      </c>
      <c r="O495" s="311">
        <f t="shared" si="223"/>
        <v>100.58799999905233</v>
      </c>
    </row>
    <row r="496" spans="1:15" s="236" customFormat="1" x14ac:dyDescent="0.3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37"/>
      <c r="M496" s="237"/>
      <c r="N496" s="240"/>
    </row>
    <row r="497" spans="1:15" s="236" customFormat="1" x14ac:dyDescent="0.3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40"/>
      <c r="O497" s="251" t="s">
        <v>35</v>
      </c>
    </row>
    <row r="498" spans="1:15" s="236" customFormat="1" x14ac:dyDescent="0.3">
      <c r="A498" s="242"/>
      <c r="B498" s="242"/>
      <c r="C498" s="242"/>
      <c r="D498" s="242"/>
      <c r="E498" s="242"/>
      <c r="F498" s="242"/>
      <c r="G498" s="242"/>
      <c r="H498" s="242"/>
      <c r="I498" s="242"/>
      <c r="J498" s="242"/>
      <c r="K498" s="242"/>
      <c r="L498" s="242"/>
      <c r="M498" s="242"/>
      <c r="N498" s="242"/>
      <c r="O498" s="242"/>
    </row>
    <row r="499" spans="1:15" s="236" customFormat="1" x14ac:dyDescent="0.3">
      <c r="A499" s="241" t="str">
        <f>name!A32</f>
        <v>Civil engineering</v>
      </c>
      <c r="B499" s="375">
        <f>$B$6</f>
        <v>2015</v>
      </c>
      <c r="C499" s="375"/>
      <c r="D499" s="375"/>
      <c r="E499" s="375"/>
      <c r="F499" s="263"/>
      <c r="G499" s="375">
        <f>$G$6</f>
        <v>2020</v>
      </c>
      <c r="H499" s="375"/>
      <c r="I499" s="375"/>
      <c r="J499" s="375"/>
      <c r="K499" s="263"/>
      <c r="L499" s="375">
        <f>$L$6</f>
        <v>2035</v>
      </c>
      <c r="M499" s="375"/>
      <c r="N499" s="375"/>
      <c r="O499" s="375"/>
    </row>
    <row r="500" spans="1:15" s="236" customFormat="1" x14ac:dyDescent="0.3">
      <c r="A500" s="254"/>
      <c r="B500" s="268" t="str">
        <f>$B$7</f>
        <v>FT</v>
      </c>
      <c r="C500" s="268" t="str">
        <f>$C$7</f>
        <v>PT</v>
      </c>
      <c r="D500" s="268" t="str">
        <f>$D$7</f>
        <v>SE</v>
      </c>
      <c r="E500" s="268" t="str">
        <f>$E$7</f>
        <v>Total</v>
      </c>
      <c r="F500" s="268"/>
      <c r="G500" s="268" t="str">
        <f>$G$7</f>
        <v>FT</v>
      </c>
      <c r="H500" s="268" t="str">
        <f>$H$7</f>
        <v>PT</v>
      </c>
      <c r="I500" s="268" t="str">
        <f>$I$7</f>
        <v>SE</v>
      </c>
      <c r="J500" s="268" t="str">
        <f>$J$7</f>
        <v>Total</v>
      </c>
      <c r="K500" s="268"/>
      <c r="L500" s="268" t="str">
        <f>$L$7</f>
        <v>FT</v>
      </c>
      <c r="M500" s="268" t="str">
        <f>$M$7</f>
        <v>PT</v>
      </c>
      <c r="N500" s="268" t="str">
        <f>$N$7</f>
        <v>SE</v>
      </c>
      <c r="O500" s="268" t="str">
        <f>$O$7</f>
        <v>Total</v>
      </c>
    </row>
    <row r="501" spans="1:15" s="236" customFormat="1" x14ac:dyDescent="0.3">
      <c r="A501" s="258"/>
      <c r="B501" s="239"/>
      <c r="C501" s="239"/>
      <c r="D501" s="239"/>
      <c r="E501" s="239"/>
      <c r="F501" s="239"/>
      <c r="G501" s="239"/>
      <c r="H501" s="239"/>
      <c r="I501" s="239"/>
      <c r="J501" s="239"/>
      <c r="K501" s="239"/>
      <c r="L501" s="239"/>
      <c r="M501" s="239"/>
      <c r="N501" s="239"/>
      <c r="O501" s="239"/>
    </row>
    <row r="502" spans="1:15" s="236" customFormat="1" x14ac:dyDescent="0.3">
      <c r="A502" s="237" t="str">
        <f>name!E$4</f>
        <v>Managers, directors and senior officials</v>
      </c>
      <c r="B502" s="302">
        <v>3.2628214414853645</v>
      </c>
      <c r="C502" s="302">
        <v>0.15666866896899159</v>
      </c>
      <c r="D502" s="302">
        <v>0.92128142180503081</v>
      </c>
      <c r="E502" s="302">
        <f>SUM(B502:D502)</f>
        <v>4.3407715322593869</v>
      </c>
      <c r="F502" s="303"/>
      <c r="G502" s="302">
        <v>4.0563454032167927</v>
      </c>
      <c r="H502" s="302">
        <v>0.20112551945119217</v>
      </c>
      <c r="I502" s="302">
        <v>1.6707750985757415</v>
      </c>
      <c r="J502" s="302">
        <f>SUM(G502:I502)</f>
        <v>5.9282460212437265</v>
      </c>
      <c r="K502" s="303"/>
      <c r="L502" s="302">
        <v>4.9887416359145762</v>
      </c>
      <c r="M502" s="302">
        <v>0.26485475534406999</v>
      </c>
      <c r="N502" s="302">
        <v>2.0149923895783788</v>
      </c>
      <c r="O502" s="302">
        <f>SUM(L502:N502)</f>
        <v>7.2685887808370246</v>
      </c>
    </row>
    <row r="503" spans="1:15" s="236" customFormat="1" x14ac:dyDescent="0.3">
      <c r="A503" s="237" t="str">
        <f>name!E$5</f>
        <v>Professional occupations</v>
      </c>
      <c r="B503" s="302">
        <v>3.5693624338570213</v>
      </c>
      <c r="C503" s="302">
        <v>9.6250404628230091E-2</v>
      </c>
      <c r="D503" s="302">
        <v>0.52699054742287765</v>
      </c>
      <c r="E503" s="302">
        <f t="shared" ref="E503:E510" si="224">SUM(B503:D503)</f>
        <v>4.1926033859081286</v>
      </c>
      <c r="F503" s="303"/>
      <c r="G503" s="302">
        <v>4.9816393496864171</v>
      </c>
      <c r="H503" s="302">
        <v>0.1144193950245498</v>
      </c>
      <c r="I503" s="302">
        <v>0.79806263309423808</v>
      </c>
      <c r="J503" s="302">
        <f t="shared" ref="J503:J505" si="225">SUM(G503:I503)</f>
        <v>5.8941213778052051</v>
      </c>
      <c r="K503" s="303"/>
      <c r="L503" s="302">
        <v>7.2745123349050598</v>
      </c>
      <c r="M503" s="302">
        <v>0.15472157436941569</v>
      </c>
      <c r="N503" s="302">
        <v>0.72322501893215374</v>
      </c>
      <c r="O503" s="302">
        <f t="shared" ref="O503:O510" si="226">SUM(L503:N503)</f>
        <v>8.1524589282066291</v>
      </c>
    </row>
    <row r="504" spans="1:15" s="236" customFormat="1" x14ac:dyDescent="0.3">
      <c r="A504" s="237" t="str">
        <f>name!E$6</f>
        <v>Associate professional occupations</v>
      </c>
      <c r="B504" s="302">
        <v>2.1825985940086796</v>
      </c>
      <c r="C504" s="302">
        <v>0.12556927171282092</v>
      </c>
      <c r="D504" s="302">
        <v>0.20386179329777587</v>
      </c>
      <c r="E504" s="302">
        <f t="shared" si="224"/>
        <v>2.5120296590192761</v>
      </c>
      <c r="F504" s="303"/>
      <c r="G504" s="302">
        <v>2.8871654905555597</v>
      </c>
      <c r="H504" s="302">
        <v>0.13570413323840705</v>
      </c>
      <c r="I504" s="302">
        <v>0.29578362683825599</v>
      </c>
      <c r="J504" s="302">
        <f t="shared" si="225"/>
        <v>3.3186532506322228</v>
      </c>
      <c r="K504" s="303"/>
      <c r="L504" s="302">
        <v>3.3672459492681375</v>
      </c>
      <c r="M504" s="302">
        <v>0.14632763524238845</v>
      </c>
      <c r="N504" s="302">
        <v>0.32675840490372288</v>
      </c>
      <c r="O504" s="302">
        <f t="shared" si="226"/>
        <v>3.8403319894142487</v>
      </c>
    </row>
    <row r="505" spans="1:15" s="236" customFormat="1" x14ac:dyDescent="0.3">
      <c r="A505" s="237" t="str">
        <f>name!E$7</f>
        <v>Administrative and secretarial occupations</v>
      </c>
      <c r="B505" s="302">
        <v>1.4019290948121172</v>
      </c>
      <c r="C505" s="302">
        <v>0.79721430940500848</v>
      </c>
      <c r="D505" s="302">
        <v>8.0805320955256998E-2</v>
      </c>
      <c r="E505" s="302">
        <f t="shared" si="224"/>
        <v>2.2799487251723827</v>
      </c>
      <c r="F505" s="303"/>
      <c r="G505" s="302">
        <v>1.6782832216311871</v>
      </c>
      <c r="H505" s="302">
        <v>0.52946298341383802</v>
      </c>
      <c r="I505" s="302">
        <v>0.14780967148953753</v>
      </c>
      <c r="J505" s="302">
        <f t="shared" si="225"/>
        <v>2.3555558765345626</v>
      </c>
      <c r="K505" s="303"/>
      <c r="L505" s="302">
        <v>1.768784498909344</v>
      </c>
      <c r="M505" s="302">
        <v>0.64930149292616968</v>
      </c>
      <c r="N505" s="302">
        <v>0.20080962906425603</v>
      </c>
      <c r="O505" s="302">
        <f t="shared" si="226"/>
        <v>2.61889562089977</v>
      </c>
    </row>
    <row r="506" spans="1:15" s="236" customFormat="1" x14ac:dyDescent="0.3">
      <c r="A506" s="237" t="str">
        <f>name!E$8</f>
        <v>Skilled trades occupations</v>
      </c>
      <c r="B506" s="302">
        <v>5.1463169539395395</v>
      </c>
      <c r="C506" s="302">
        <v>0.22249671112797526</v>
      </c>
      <c r="D506" s="302">
        <v>10.929394966272513</v>
      </c>
      <c r="E506" s="302">
        <f t="shared" si="224"/>
        <v>16.298208631340028</v>
      </c>
      <c r="F506" s="303"/>
      <c r="G506" s="302">
        <v>4.4381940829791509</v>
      </c>
      <c r="H506" s="302">
        <v>0.13475839276566942</v>
      </c>
      <c r="I506" s="302">
        <v>10.864529079989904</v>
      </c>
      <c r="J506" s="302">
        <f>SUM(G506:I506)</f>
        <v>15.437481555734724</v>
      </c>
      <c r="K506" s="303"/>
      <c r="L506" s="302">
        <v>3.4330200119427694</v>
      </c>
      <c r="M506" s="302">
        <v>0.2477925359569024</v>
      </c>
      <c r="N506" s="302">
        <v>12.955679509143586</v>
      </c>
      <c r="O506" s="302">
        <f t="shared" si="226"/>
        <v>16.636492057043256</v>
      </c>
    </row>
    <row r="507" spans="1:15" s="236" customFormat="1" x14ac:dyDescent="0.3">
      <c r="A507" s="237" t="str">
        <f>name!E$9</f>
        <v>Caring, leisure and other service occupations</v>
      </c>
      <c r="B507" s="302">
        <v>9.1777750123014007E-2</v>
      </c>
      <c r="C507" s="302">
        <v>1.2980621170567155E-2</v>
      </c>
      <c r="D507" s="302">
        <v>5.3630866717618774E-3</v>
      </c>
      <c r="E507" s="302">
        <f t="shared" si="224"/>
        <v>0.11012145796534303</v>
      </c>
      <c r="F507" s="303"/>
      <c r="G507" s="302">
        <v>0.11066299059901852</v>
      </c>
      <c r="H507" s="302">
        <v>1.3027946524934522E-2</v>
      </c>
      <c r="I507" s="302">
        <v>9.1219792247470653E-3</v>
      </c>
      <c r="J507" s="302">
        <f t="shared" ref="J507:J510" si="227">SUM(G507:I507)</f>
        <v>0.1328129163487001</v>
      </c>
      <c r="K507" s="303"/>
      <c r="L507" s="302">
        <v>0.13581044195853836</v>
      </c>
      <c r="M507" s="302">
        <v>1.2664394955658723E-2</v>
      </c>
      <c r="N507" s="302">
        <v>2.0190764874515873E-2</v>
      </c>
      <c r="O507" s="302">
        <f t="shared" si="226"/>
        <v>0.16866560178871295</v>
      </c>
    </row>
    <row r="508" spans="1:15" s="236" customFormat="1" x14ac:dyDescent="0.3">
      <c r="A508" s="237" t="str">
        <f>name!E$10</f>
        <v>Sales and customer service occupations</v>
      </c>
      <c r="B508" s="302">
        <v>0.4567389885760052</v>
      </c>
      <c r="C508" s="302">
        <v>0.11393570200692915</v>
      </c>
      <c r="D508" s="302">
        <v>9.8276444911893204E-2</v>
      </c>
      <c r="E508" s="302">
        <f t="shared" si="224"/>
        <v>0.66895113549482754</v>
      </c>
      <c r="F508" s="303"/>
      <c r="G508" s="302">
        <v>0.50718755390869175</v>
      </c>
      <c r="H508" s="302">
        <v>9.9348549366951172E-2</v>
      </c>
      <c r="I508" s="302">
        <v>0.12136898886680868</v>
      </c>
      <c r="J508" s="302">
        <f t="shared" si="227"/>
        <v>0.72790509214245158</v>
      </c>
      <c r="K508" s="303"/>
      <c r="L508" s="302">
        <v>0.69929646542954538</v>
      </c>
      <c r="M508" s="302">
        <v>0.13957025003753121</v>
      </c>
      <c r="N508" s="302">
        <v>0.15220851999926041</v>
      </c>
      <c r="O508" s="302">
        <f t="shared" si="226"/>
        <v>0.99107523546633702</v>
      </c>
    </row>
    <row r="509" spans="1:15" s="236" customFormat="1" x14ac:dyDescent="0.3">
      <c r="A509" s="237" t="str">
        <f>name!E$11</f>
        <v>Process, plant and machine operatives</v>
      </c>
      <c r="B509" s="302">
        <v>2.9896740022288322</v>
      </c>
      <c r="C509" s="302">
        <v>6.1076561812823969E-2</v>
      </c>
      <c r="D509" s="302">
        <v>0.92846827421688205</v>
      </c>
      <c r="E509" s="302">
        <f t="shared" si="224"/>
        <v>3.9792188382585385</v>
      </c>
      <c r="F509" s="303"/>
      <c r="G509" s="302">
        <v>2.5690121967653825</v>
      </c>
      <c r="H509" s="302">
        <v>6.7407136619319519E-2</v>
      </c>
      <c r="I509" s="302">
        <v>1.2601391634428307</v>
      </c>
      <c r="J509" s="302">
        <f t="shared" si="227"/>
        <v>3.8965584968275326</v>
      </c>
      <c r="K509" s="303"/>
      <c r="L509" s="302">
        <v>3.3035941541851845</v>
      </c>
      <c r="M509" s="302">
        <v>9.5324572556698142E-2</v>
      </c>
      <c r="N509" s="302">
        <v>2.1025169181578773</v>
      </c>
      <c r="O509" s="302">
        <f t="shared" si="226"/>
        <v>5.5014356448997601</v>
      </c>
    </row>
    <row r="510" spans="1:15" s="236" customFormat="1" x14ac:dyDescent="0.3">
      <c r="A510" s="237" t="str">
        <f>name!E$12</f>
        <v>Elementary occupations</v>
      </c>
      <c r="B510" s="302">
        <v>1.6157807409379457</v>
      </c>
      <c r="C510" s="302">
        <v>0.2058077491803311</v>
      </c>
      <c r="D510" s="302">
        <v>1.0785581439369858</v>
      </c>
      <c r="E510" s="302">
        <f t="shared" si="224"/>
        <v>2.9001466340552629</v>
      </c>
      <c r="F510" s="303"/>
      <c r="G510" s="302">
        <v>1.3575097107299676</v>
      </c>
      <c r="H510" s="302">
        <v>0.16074594358879205</v>
      </c>
      <c r="I510" s="302">
        <v>1.2374097581287116</v>
      </c>
      <c r="J510" s="302">
        <f t="shared" si="227"/>
        <v>2.7556654124474713</v>
      </c>
      <c r="K510" s="303"/>
      <c r="L510" s="302">
        <v>1.2279945077681562</v>
      </c>
      <c r="M510" s="302">
        <v>0.12644278860213654</v>
      </c>
      <c r="N510" s="302">
        <v>2.0526188444858908</v>
      </c>
      <c r="O510" s="302">
        <f t="shared" si="226"/>
        <v>3.4070561408561835</v>
      </c>
    </row>
    <row r="511" spans="1:15" s="236" customFormat="1" x14ac:dyDescent="0.3">
      <c r="A511" s="237"/>
      <c r="B511" s="302"/>
      <c r="C511" s="302"/>
      <c r="D511" s="302"/>
      <c r="E511" s="302"/>
      <c r="F511" s="303"/>
      <c r="G511" s="302"/>
      <c r="H511" s="302"/>
      <c r="I511" s="302"/>
      <c r="J511" s="302"/>
      <c r="K511" s="303"/>
      <c r="L511" s="302"/>
      <c r="M511" s="302"/>
      <c r="N511" s="302"/>
      <c r="O511" s="302"/>
    </row>
    <row r="512" spans="1:15" s="236" customFormat="1" x14ac:dyDescent="0.3">
      <c r="A512" s="244" t="s">
        <v>32</v>
      </c>
      <c r="B512" s="311">
        <f>SUM(B502:B510)</f>
        <v>20.716999999968522</v>
      </c>
      <c r="C512" s="311">
        <f t="shared" ref="C512:E512" si="228">SUM(C502:C510)</f>
        <v>1.7920000000136778</v>
      </c>
      <c r="D512" s="311">
        <f t="shared" si="228"/>
        <v>14.772999999490978</v>
      </c>
      <c r="E512" s="311">
        <f t="shared" si="228"/>
        <v>37.281999999473172</v>
      </c>
      <c r="F512" s="311"/>
      <c r="G512" s="311">
        <f t="shared" ref="G512:J512" si="229">SUM(G502:G510)</f>
        <v>22.586000000072168</v>
      </c>
      <c r="H512" s="311">
        <f t="shared" si="229"/>
        <v>1.4559999999936537</v>
      </c>
      <c r="I512" s="311">
        <f t="shared" si="229"/>
        <v>16.404999999650776</v>
      </c>
      <c r="J512" s="311">
        <f t="shared" si="229"/>
        <v>40.446999999716589</v>
      </c>
      <c r="K512" s="311"/>
      <c r="L512" s="311">
        <f t="shared" ref="L512:O512" si="230">SUM(L502:L510)</f>
        <v>26.199000000281309</v>
      </c>
      <c r="M512" s="311">
        <f t="shared" si="230"/>
        <v>1.836999999990971</v>
      </c>
      <c r="N512" s="311">
        <f t="shared" si="230"/>
        <v>20.548999999139642</v>
      </c>
      <c r="O512" s="311">
        <f t="shared" si="230"/>
        <v>48.58499999941192</v>
      </c>
    </row>
    <row r="513" spans="1:15" s="236" customFormat="1" x14ac:dyDescent="0.3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37"/>
      <c r="M513" s="237"/>
      <c r="N513" s="240"/>
    </row>
    <row r="514" spans="1:15" s="236" customFormat="1" x14ac:dyDescent="0.3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37"/>
      <c r="M514" s="237"/>
      <c r="N514" s="240"/>
      <c r="O514" s="251" t="s">
        <v>35</v>
      </c>
    </row>
    <row r="515" spans="1:15" s="236" customFormat="1" x14ac:dyDescent="0.3">
      <c r="A515" s="242"/>
      <c r="B515" s="242"/>
      <c r="C515" s="242"/>
      <c r="D515" s="242"/>
      <c r="E515" s="242"/>
      <c r="F515" s="242"/>
      <c r="G515" s="242"/>
      <c r="H515" s="242"/>
      <c r="I515" s="242"/>
      <c r="J515" s="242"/>
      <c r="K515" s="242"/>
      <c r="L515" s="242"/>
      <c r="M515" s="242"/>
      <c r="N515" s="242"/>
      <c r="O515" s="242"/>
    </row>
    <row r="516" spans="1:15" s="236" customFormat="1" x14ac:dyDescent="0.3">
      <c r="A516" s="241" t="str">
        <f>name!A33</f>
        <v>Specialised construction</v>
      </c>
      <c r="B516" s="375">
        <f>$B$6</f>
        <v>2015</v>
      </c>
      <c r="C516" s="375"/>
      <c r="D516" s="375"/>
      <c r="E516" s="375"/>
      <c r="F516" s="263"/>
      <c r="G516" s="375">
        <f>$G$6</f>
        <v>2020</v>
      </c>
      <c r="H516" s="375"/>
      <c r="I516" s="375"/>
      <c r="J516" s="375"/>
      <c r="K516" s="263"/>
      <c r="L516" s="375">
        <f>$L$6</f>
        <v>2035</v>
      </c>
      <c r="M516" s="375"/>
      <c r="N516" s="375"/>
      <c r="O516" s="375"/>
    </row>
    <row r="517" spans="1:15" s="236" customFormat="1" x14ac:dyDescent="0.3">
      <c r="A517" s="254"/>
      <c r="B517" s="268" t="str">
        <f>$B$7</f>
        <v>FT</v>
      </c>
      <c r="C517" s="268" t="str">
        <f>$C$7</f>
        <v>PT</v>
      </c>
      <c r="D517" s="268" t="str">
        <f>$D$7</f>
        <v>SE</v>
      </c>
      <c r="E517" s="268" t="str">
        <f>$E$7</f>
        <v>Total</v>
      </c>
      <c r="F517" s="268"/>
      <c r="G517" s="268" t="str">
        <f>$G$7</f>
        <v>FT</v>
      </c>
      <c r="H517" s="268" t="str">
        <f>$H$7</f>
        <v>PT</v>
      </c>
      <c r="I517" s="268" t="str">
        <f>$I$7</f>
        <v>SE</v>
      </c>
      <c r="J517" s="268" t="str">
        <f>$J$7</f>
        <v>Total</v>
      </c>
      <c r="K517" s="268"/>
      <c r="L517" s="268" t="str">
        <f>$L$7</f>
        <v>FT</v>
      </c>
      <c r="M517" s="268" t="str">
        <f>$M$7</f>
        <v>PT</v>
      </c>
      <c r="N517" s="268" t="str">
        <f>$N$7</f>
        <v>SE</v>
      </c>
      <c r="O517" s="268" t="str">
        <f>$O$7</f>
        <v>Total</v>
      </c>
    </row>
    <row r="518" spans="1:15" s="236" customFormat="1" x14ac:dyDescent="0.3">
      <c r="A518" s="258"/>
      <c r="B518" s="239"/>
      <c r="C518" s="239"/>
      <c r="D518" s="239"/>
      <c r="E518" s="239"/>
      <c r="F518" s="239"/>
      <c r="G518" s="239"/>
      <c r="H518" s="239"/>
      <c r="I518" s="239"/>
      <c r="J518" s="239"/>
      <c r="K518" s="239"/>
      <c r="L518" s="239"/>
      <c r="M518" s="239"/>
      <c r="N518" s="239"/>
      <c r="O518" s="239"/>
    </row>
    <row r="519" spans="1:15" s="236" customFormat="1" x14ac:dyDescent="0.3">
      <c r="A519" s="237" t="str">
        <f>name!E$4</f>
        <v>Managers, directors and senior officials</v>
      </c>
      <c r="B519" s="302">
        <v>11.001215340457897</v>
      </c>
      <c r="C519" s="302">
        <v>0.87632838361363796</v>
      </c>
      <c r="D519" s="302">
        <v>2.8985712847455605</v>
      </c>
      <c r="E519" s="302">
        <f>SUM(B519:D519)</f>
        <v>14.776115008817095</v>
      </c>
      <c r="F519" s="303"/>
      <c r="G519" s="302">
        <v>14.045585690175797</v>
      </c>
      <c r="H519" s="302">
        <v>1.9469814997285559</v>
      </c>
      <c r="I519" s="302">
        <v>5.9303342766987805</v>
      </c>
      <c r="J519" s="302">
        <f>SUM(G519:I519)</f>
        <v>21.922901466603133</v>
      </c>
      <c r="K519" s="303"/>
      <c r="L519" s="302">
        <v>17.376123732180329</v>
      </c>
      <c r="M519" s="302">
        <v>2.5675128208073184</v>
      </c>
      <c r="N519" s="302">
        <v>7.0836281698101677</v>
      </c>
      <c r="O519" s="302">
        <f>SUM(L519:N519)</f>
        <v>27.027264722797817</v>
      </c>
    </row>
    <row r="520" spans="1:15" s="236" customFormat="1" x14ac:dyDescent="0.3">
      <c r="A520" s="237" t="str">
        <f>name!E$5</f>
        <v>Professional occupations</v>
      </c>
      <c r="B520" s="302">
        <v>12.039449490042747</v>
      </c>
      <c r="C520" s="302">
        <v>0.52324169997472647</v>
      </c>
      <c r="D520" s="302">
        <v>1.6536818576768211</v>
      </c>
      <c r="E520" s="302">
        <f t="shared" ref="E520:E527" si="231">SUM(B520:D520)</f>
        <v>14.216373047694294</v>
      </c>
      <c r="F520" s="303"/>
      <c r="G520" s="302">
        <v>17.264280552509291</v>
      </c>
      <c r="H520" s="302">
        <v>1.0646458113636008</v>
      </c>
      <c r="I520" s="302">
        <v>2.7871136421370313</v>
      </c>
      <c r="J520" s="302">
        <f t="shared" ref="J520:J522" si="232">SUM(G520:I520)</f>
        <v>21.116040006009925</v>
      </c>
      <c r="K520" s="303"/>
      <c r="L520" s="302">
        <v>25.26984181007273</v>
      </c>
      <c r="M520" s="302">
        <v>1.4267639352691501</v>
      </c>
      <c r="N520" s="302">
        <v>2.533104801869428</v>
      </c>
      <c r="O520" s="302">
        <f t="shared" ref="O520:O527" si="233">SUM(L520:N520)</f>
        <v>29.229710547211308</v>
      </c>
    </row>
    <row r="521" spans="1:15" s="236" customFormat="1" x14ac:dyDescent="0.3">
      <c r="A521" s="237" t="str">
        <f>name!E$6</f>
        <v>Associate professional occupations</v>
      </c>
      <c r="B521" s="302">
        <v>7.4244613178693575</v>
      </c>
      <c r="C521" s="302">
        <v>0.7097192395301517</v>
      </c>
      <c r="D521" s="302">
        <v>0.64295655657218098</v>
      </c>
      <c r="E521" s="302">
        <f t="shared" si="231"/>
        <v>8.7771371139716887</v>
      </c>
      <c r="F521" s="303"/>
      <c r="G521" s="302">
        <v>10.095474542335866</v>
      </c>
      <c r="H521" s="302">
        <v>1.261385735626207</v>
      </c>
      <c r="I521" s="302">
        <v>1.0585244055474368</v>
      </c>
      <c r="J521" s="302">
        <f t="shared" si="232"/>
        <v>12.415384683509512</v>
      </c>
      <c r="K521" s="303"/>
      <c r="L521" s="302">
        <v>11.849020532655501</v>
      </c>
      <c r="M521" s="302">
        <v>1.4240323926838163</v>
      </c>
      <c r="N521" s="302">
        <v>1.169308637467217</v>
      </c>
      <c r="O521" s="302">
        <f t="shared" si="233"/>
        <v>14.442361562806536</v>
      </c>
    </row>
    <row r="522" spans="1:15" s="236" customFormat="1" x14ac:dyDescent="0.3">
      <c r="A522" s="237" t="str">
        <f>name!E$7</f>
        <v>Administrative and secretarial occupations</v>
      </c>
      <c r="B522" s="302">
        <v>5.3004285966933482</v>
      </c>
      <c r="C522" s="302">
        <v>5.0376857992003696</v>
      </c>
      <c r="D522" s="302">
        <v>0.28342723506752093</v>
      </c>
      <c r="E522" s="302">
        <f t="shared" si="231"/>
        <v>10.621541630961239</v>
      </c>
      <c r="F522" s="303"/>
      <c r="G522" s="302">
        <v>6.4821329026653611</v>
      </c>
      <c r="H522" s="302">
        <v>6.021119660819557</v>
      </c>
      <c r="I522" s="302">
        <v>0.7887602168316632</v>
      </c>
      <c r="J522" s="302">
        <f t="shared" si="232"/>
        <v>13.292012780316581</v>
      </c>
      <c r="K522" s="303"/>
      <c r="L522" s="302">
        <v>6.5685862778277366</v>
      </c>
      <c r="M522" s="302">
        <v>7.384429043565909</v>
      </c>
      <c r="N522" s="302">
        <v>0.76597385518641159</v>
      </c>
      <c r="O522" s="302">
        <f t="shared" si="233"/>
        <v>14.718989176580058</v>
      </c>
    </row>
    <row r="523" spans="1:15" s="236" customFormat="1" x14ac:dyDescent="0.3">
      <c r="A523" s="237" t="str">
        <f>name!E$8</f>
        <v>Skilled trades occupations</v>
      </c>
      <c r="B523" s="302">
        <v>17.013867183195146</v>
      </c>
      <c r="C523" s="302">
        <v>0.84788409838986445</v>
      </c>
      <c r="D523" s="302">
        <v>34.23571298401238</v>
      </c>
      <c r="E523" s="302">
        <f t="shared" si="231"/>
        <v>52.097464265597395</v>
      </c>
      <c r="F523" s="303"/>
      <c r="G523" s="302">
        <v>15.02508433413713</v>
      </c>
      <c r="H523" s="302">
        <v>1.0049249152501627</v>
      </c>
      <c r="I523" s="302">
        <v>37.551769535875977</v>
      </c>
      <c r="J523" s="302">
        <f>SUM(G523:I523)</f>
        <v>53.581778785263268</v>
      </c>
      <c r="K523" s="303"/>
      <c r="L523" s="302">
        <v>11.732218506578572</v>
      </c>
      <c r="M523" s="302">
        <v>1.8595814300962177</v>
      </c>
      <c r="N523" s="302">
        <v>44.778870703998173</v>
      </c>
      <c r="O523" s="302">
        <f t="shared" si="233"/>
        <v>58.370670640672962</v>
      </c>
    </row>
    <row r="524" spans="1:15" s="236" customFormat="1" x14ac:dyDescent="0.3">
      <c r="A524" s="237" t="str">
        <f>name!E$9</f>
        <v>Caring, leisure and other service occupations</v>
      </c>
      <c r="B524" s="302">
        <v>0.31072680122089003</v>
      </c>
      <c r="C524" s="302">
        <v>6.074635342829332E-2</v>
      </c>
      <c r="D524" s="302">
        <v>1.7443645899770269E-2</v>
      </c>
      <c r="E524" s="302">
        <f t="shared" si="231"/>
        <v>0.38891680054895361</v>
      </c>
      <c r="F524" s="303"/>
      <c r="G524" s="302">
        <v>0.38258423792565049</v>
      </c>
      <c r="H524" s="302">
        <v>0.1033033176687846</v>
      </c>
      <c r="I524" s="302">
        <v>3.9417768646282256E-2</v>
      </c>
      <c r="J524" s="302">
        <f t="shared" ref="J524:J527" si="234">SUM(G524:I524)</f>
        <v>0.5253053242407173</v>
      </c>
      <c r="K524" s="303"/>
      <c r="L524" s="302">
        <v>0.46830772524998876</v>
      </c>
      <c r="M524" s="302">
        <v>0.10033366740316274</v>
      </c>
      <c r="N524" s="302">
        <v>7.9260540964921536E-2</v>
      </c>
      <c r="O524" s="302">
        <f t="shared" si="233"/>
        <v>0.64790193361807302</v>
      </c>
    </row>
    <row r="525" spans="1:15" s="236" customFormat="1" x14ac:dyDescent="0.3">
      <c r="A525" s="237" t="str">
        <f>name!E$10</f>
        <v>Sales and customer service occupations</v>
      </c>
      <c r="B525" s="302">
        <v>1.6024093030318429</v>
      </c>
      <c r="C525" s="302">
        <v>0.62073668402936488</v>
      </c>
      <c r="D525" s="302">
        <v>0.30966596177429978</v>
      </c>
      <c r="E525" s="302">
        <f t="shared" si="231"/>
        <v>2.5328119488355072</v>
      </c>
      <c r="F525" s="303"/>
      <c r="G525" s="302">
        <v>1.8312247052692547</v>
      </c>
      <c r="H525" s="302">
        <v>0.94789469089153811</v>
      </c>
      <c r="I525" s="302">
        <v>0.4335950252693534</v>
      </c>
      <c r="J525" s="302">
        <f t="shared" si="234"/>
        <v>3.212714421430146</v>
      </c>
      <c r="K525" s="303"/>
      <c r="L525" s="302">
        <v>2.509851867913552</v>
      </c>
      <c r="M525" s="302">
        <v>1.286856850911529</v>
      </c>
      <c r="N525" s="302">
        <v>0.54075691119997848</v>
      </c>
      <c r="O525" s="302">
        <f t="shared" si="233"/>
        <v>4.3374656300250596</v>
      </c>
    </row>
    <row r="526" spans="1:15" s="236" customFormat="1" x14ac:dyDescent="0.3">
      <c r="A526" s="237" t="str">
        <f>name!E$11</f>
        <v>Process, plant and machine operatives</v>
      </c>
      <c r="B526" s="302">
        <v>9.8763168955818035</v>
      </c>
      <c r="C526" s="302">
        <v>0.23761227831953743</v>
      </c>
      <c r="D526" s="302">
        <v>2.9069986793733986</v>
      </c>
      <c r="E526" s="302">
        <f t="shared" si="231"/>
        <v>13.020927853274738</v>
      </c>
      <c r="F526" s="303"/>
      <c r="G526" s="302">
        <v>8.6748750594303132</v>
      </c>
      <c r="H526" s="302">
        <v>0.47982565859859383</v>
      </c>
      <c r="I526" s="302">
        <v>4.3310474009885587</v>
      </c>
      <c r="J526" s="302">
        <f t="shared" si="234"/>
        <v>13.485748119017465</v>
      </c>
      <c r="K526" s="303"/>
      <c r="L526" s="302">
        <v>11.151967406828218</v>
      </c>
      <c r="M526" s="302">
        <v>0.68739653918037991</v>
      </c>
      <c r="N526" s="302">
        <v>7.2234601541442522</v>
      </c>
      <c r="O526" s="302">
        <f t="shared" si="233"/>
        <v>19.062824100152852</v>
      </c>
    </row>
    <row r="527" spans="1:15" s="236" customFormat="1" x14ac:dyDescent="0.3">
      <c r="A527" s="237" t="str">
        <f>name!E$12</f>
        <v>Elementary occupations</v>
      </c>
      <c r="B527" s="302">
        <v>5.3371250717839578</v>
      </c>
      <c r="C527" s="302">
        <v>0.91604546359869532</v>
      </c>
      <c r="D527" s="302">
        <v>3.380541793286711</v>
      </c>
      <c r="E527" s="302">
        <f t="shared" si="231"/>
        <v>9.6337123286693647</v>
      </c>
      <c r="F527" s="303"/>
      <c r="G527" s="302">
        <v>4.5837579757945921</v>
      </c>
      <c r="H527" s="302">
        <v>1.2569187099735917</v>
      </c>
      <c r="I527" s="302">
        <v>4.2704377267827436</v>
      </c>
      <c r="J527" s="302">
        <f t="shared" si="234"/>
        <v>10.111114412550927</v>
      </c>
      <c r="K527" s="303"/>
      <c r="L527" s="302">
        <v>4.1470821416676973</v>
      </c>
      <c r="M527" s="302">
        <v>0.99009331998692163</v>
      </c>
      <c r="N527" s="302">
        <v>7.050636222401641</v>
      </c>
      <c r="O527" s="302">
        <f t="shared" si="233"/>
        <v>12.18781168405626</v>
      </c>
    </row>
    <row r="528" spans="1:15" s="236" customFormat="1" x14ac:dyDescent="0.3">
      <c r="A528" s="237"/>
      <c r="B528" s="302"/>
      <c r="C528" s="302"/>
      <c r="D528" s="302"/>
      <c r="E528" s="302"/>
      <c r="F528" s="303"/>
      <c r="G528" s="302"/>
      <c r="H528" s="302"/>
      <c r="I528" s="302"/>
      <c r="J528" s="302"/>
      <c r="K528" s="303"/>
      <c r="L528" s="302"/>
      <c r="M528" s="302"/>
      <c r="N528" s="302"/>
      <c r="O528" s="302"/>
    </row>
    <row r="529" spans="1:15" s="236" customFormat="1" x14ac:dyDescent="0.3">
      <c r="A529" s="244" t="s">
        <v>32</v>
      </c>
      <c r="B529" s="311">
        <f>SUM(B519:B527)</f>
        <v>69.905999999876997</v>
      </c>
      <c r="C529" s="311">
        <f t="shared" ref="C529:E529" si="235">SUM(C519:C527)</f>
        <v>9.8300000000846417</v>
      </c>
      <c r="D529" s="311">
        <f t="shared" si="235"/>
        <v>46.328999998408641</v>
      </c>
      <c r="E529" s="311">
        <f t="shared" si="235"/>
        <v>126.06499999837028</v>
      </c>
      <c r="F529" s="311"/>
      <c r="G529" s="311">
        <f t="shared" ref="G529:J529" si="236">SUM(G519:G527)</f>
        <v>78.385000000243267</v>
      </c>
      <c r="H529" s="311">
        <f t="shared" si="236"/>
        <v>14.086999999920591</v>
      </c>
      <c r="I529" s="311">
        <f t="shared" si="236"/>
        <v>57.190999998777833</v>
      </c>
      <c r="J529" s="311">
        <f t="shared" si="236"/>
        <v>149.6629999989417</v>
      </c>
      <c r="K529" s="311"/>
      <c r="L529" s="311">
        <f t="shared" ref="L529:O529" si="237">SUM(L519:L527)</f>
        <v>91.073000000974318</v>
      </c>
      <c r="M529" s="311">
        <f t="shared" si="237"/>
        <v>17.726999999904407</v>
      </c>
      <c r="N529" s="311">
        <f t="shared" si="237"/>
        <v>71.22499999704219</v>
      </c>
      <c r="O529" s="311">
        <f t="shared" si="237"/>
        <v>180.02499999792093</v>
      </c>
    </row>
    <row r="530" spans="1:15" s="236" customFormat="1" x14ac:dyDescent="0.3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37"/>
      <c r="M530" s="237"/>
      <c r="N530" s="240"/>
    </row>
    <row r="531" spans="1:15" s="236" customFormat="1" x14ac:dyDescent="0.3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37"/>
      <c r="M531" s="237"/>
      <c r="N531" s="240"/>
      <c r="O531" s="251" t="s">
        <v>35</v>
      </c>
    </row>
    <row r="532" spans="1:15" s="236" customFormat="1" x14ac:dyDescent="0.3">
      <c r="A532" s="242"/>
      <c r="B532" s="242"/>
      <c r="C532" s="242"/>
      <c r="D532" s="242"/>
      <c r="E532" s="242"/>
      <c r="F532" s="242"/>
      <c r="G532" s="242"/>
      <c r="H532" s="242"/>
      <c r="I532" s="242"/>
      <c r="J532" s="242"/>
      <c r="K532" s="242"/>
      <c r="L532" s="242"/>
      <c r="M532" s="242"/>
      <c r="N532" s="242"/>
      <c r="O532" s="242"/>
    </row>
    <row r="533" spans="1:15" s="236" customFormat="1" x14ac:dyDescent="0.3">
      <c r="A533" s="241" t="str">
        <f>name!A34</f>
        <v>Motor vehicle trade</v>
      </c>
      <c r="B533" s="375">
        <f>$B$6</f>
        <v>2015</v>
      </c>
      <c r="C533" s="375"/>
      <c r="D533" s="375"/>
      <c r="E533" s="375"/>
      <c r="F533" s="263"/>
      <c r="G533" s="375">
        <f>$G$6</f>
        <v>2020</v>
      </c>
      <c r="H533" s="375"/>
      <c r="I533" s="375"/>
      <c r="J533" s="375"/>
      <c r="K533" s="263"/>
      <c r="L533" s="375">
        <f>$L$6</f>
        <v>2035</v>
      </c>
      <c r="M533" s="375"/>
      <c r="N533" s="375"/>
      <c r="O533" s="375"/>
    </row>
    <row r="534" spans="1:15" s="236" customFormat="1" x14ac:dyDescent="0.3">
      <c r="A534" s="254"/>
      <c r="B534" s="268" t="str">
        <f>$B$7</f>
        <v>FT</v>
      </c>
      <c r="C534" s="268" t="str">
        <f>$C$7</f>
        <v>PT</v>
      </c>
      <c r="D534" s="268" t="str">
        <f>$D$7</f>
        <v>SE</v>
      </c>
      <c r="E534" s="268" t="str">
        <f>$E$7</f>
        <v>Total</v>
      </c>
      <c r="F534" s="268"/>
      <c r="G534" s="268" t="str">
        <f>$G$7</f>
        <v>FT</v>
      </c>
      <c r="H534" s="268" t="str">
        <f>$H$7</f>
        <v>PT</v>
      </c>
      <c r="I534" s="268" t="str">
        <f>$I$7</f>
        <v>SE</v>
      </c>
      <c r="J534" s="268" t="str">
        <f>$J$7</f>
        <v>Total</v>
      </c>
      <c r="K534" s="268"/>
      <c r="L534" s="268" t="str">
        <f>$L$7</f>
        <v>FT</v>
      </c>
      <c r="M534" s="268" t="str">
        <f>$M$7</f>
        <v>PT</v>
      </c>
      <c r="N534" s="268" t="str">
        <f>$N$7</f>
        <v>SE</v>
      </c>
      <c r="O534" s="268" t="str">
        <f>$O$7</f>
        <v>Total</v>
      </c>
    </row>
    <row r="535" spans="1:15" s="236" customFormat="1" x14ac:dyDescent="0.3">
      <c r="A535" s="258"/>
      <c r="B535" s="239"/>
      <c r="C535" s="239"/>
      <c r="D535" s="239"/>
      <c r="E535" s="239"/>
      <c r="F535" s="239"/>
      <c r="G535" s="239"/>
      <c r="H535" s="239"/>
      <c r="I535" s="239"/>
      <c r="J535" s="239"/>
      <c r="K535" s="239"/>
      <c r="L535" s="239"/>
      <c r="M535" s="239"/>
      <c r="N535" s="239"/>
      <c r="O535" s="239"/>
    </row>
    <row r="536" spans="1:15" s="236" customFormat="1" x14ac:dyDescent="0.3">
      <c r="A536" s="237" t="str">
        <f>name!E$4</f>
        <v>Managers, directors and senior officials</v>
      </c>
      <c r="B536" s="302">
        <v>6.5899505901060715</v>
      </c>
      <c r="C536" s="302">
        <v>0.22780280102544809</v>
      </c>
      <c r="D536" s="302">
        <v>1.6727711515065482</v>
      </c>
      <c r="E536" s="302">
        <f>SUM(B536:D536)</f>
        <v>8.4905245426380684</v>
      </c>
      <c r="F536" s="303"/>
      <c r="G536" s="302">
        <v>7.2309632045314594</v>
      </c>
      <c r="H536" s="302">
        <v>0.60837764203910449</v>
      </c>
      <c r="I536" s="302">
        <v>1.2460538452057361</v>
      </c>
      <c r="J536" s="302">
        <f>SUM(G536:I536)</f>
        <v>9.0853946917762993</v>
      </c>
      <c r="K536" s="303"/>
      <c r="L536" s="302">
        <v>9.5464707690385477</v>
      </c>
      <c r="M536" s="302">
        <v>0.74151613048927156</v>
      </c>
      <c r="N536" s="302">
        <v>1.6839532705515134</v>
      </c>
      <c r="O536" s="302">
        <f>SUM(L536:N536)</f>
        <v>11.971940170079332</v>
      </c>
    </row>
    <row r="537" spans="1:15" s="236" customFormat="1" x14ac:dyDescent="0.3">
      <c r="A537" s="237" t="str">
        <f>name!E$5</f>
        <v>Professional occupations</v>
      </c>
      <c r="B537" s="302">
        <v>3.3262136639596873</v>
      </c>
      <c r="C537" s="302">
        <v>0.10104287279594121</v>
      </c>
      <c r="D537" s="302">
        <v>0.29731791714161176</v>
      </c>
      <c r="E537" s="302">
        <f t="shared" ref="E537:E544" si="238">SUM(B537:D537)</f>
        <v>3.7245744538972403</v>
      </c>
      <c r="F537" s="303"/>
      <c r="G537" s="302">
        <v>4.245363378495207</v>
      </c>
      <c r="H537" s="302">
        <v>0.25835711800820399</v>
      </c>
      <c r="I537" s="302">
        <v>0.25295399974213295</v>
      </c>
      <c r="J537" s="302">
        <f t="shared" ref="J537:J539" si="239">SUM(G537:I537)</f>
        <v>4.7566744962455445</v>
      </c>
      <c r="K537" s="303"/>
      <c r="L537" s="302">
        <v>6.2733300542518409</v>
      </c>
      <c r="M537" s="302">
        <v>0.29931537902637256</v>
      </c>
      <c r="N537" s="302">
        <v>0.23314875519600178</v>
      </c>
      <c r="O537" s="302">
        <f t="shared" ref="O537:O544" si="240">SUM(L537:N537)</f>
        <v>6.8057941884742155</v>
      </c>
    </row>
    <row r="538" spans="1:15" s="236" customFormat="1" x14ac:dyDescent="0.3">
      <c r="A538" s="237" t="str">
        <f>name!E$6</f>
        <v>Associate professional occupations</v>
      </c>
      <c r="B538" s="302">
        <v>4.4285425876158158</v>
      </c>
      <c r="C538" s="302">
        <v>0.23089422275433089</v>
      </c>
      <c r="D538" s="302">
        <v>0.24729054367291337</v>
      </c>
      <c r="E538" s="302">
        <f t="shared" si="238"/>
        <v>4.9067273540430598</v>
      </c>
      <c r="F538" s="303"/>
      <c r="G538" s="302">
        <v>4.8973259032562186</v>
      </c>
      <c r="H538" s="302">
        <v>0.48791777965795347</v>
      </c>
      <c r="I538" s="302">
        <v>0.23625768690157614</v>
      </c>
      <c r="J538" s="302">
        <f t="shared" si="239"/>
        <v>5.6215013698157481</v>
      </c>
      <c r="K538" s="303"/>
      <c r="L538" s="302">
        <v>5.9899028930209051</v>
      </c>
      <c r="M538" s="302">
        <v>0.47808724977306233</v>
      </c>
      <c r="N538" s="302">
        <v>0.2457676717374134</v>
      </c>
      <c r="O538" s="302">
        <f t="shared" si="240"/>
        <v>6.7137578145313803</v>
      </c>
    </row>
    <row r="539" spans="1:15" s="236" customFormat="1" x14ac:dyDescent="0.3">
      <c r="A539" s="237" t="str">
        <f>name!E$7</f>
        <v>Administrative and secretarial occupations</v>
      </c>
      <c r="B539" s="302">
        <v>6.2149685702473105</v>
      </c>
      <c r="C539" s="302">
        <v>1.4493852455153764</v>
      </c>
      <c r="D539" s="302">
        <v>0.40942190710743348</v>
      </c>
      <c r="E539" s="302">
        <f t="shared" si="238"/>
        <v>8.0737757228701206</v>
      </c>
      <c r="F539" s="303"/>
      <c r="G539" s="302">
        <v>6.0067162869301942</v>
      </c>
      <c r="H539" s="302">
        <v>2.4611666222496895</v>
      </c>
      <c r="I539" s="302">
        <v>0.53519973932789133</v>
      </c>
      <c r="J539" s="302">
        <f t="shared" si="239"/>
        <v>9.0030826485077764</v>
      </c>
      <c r="K539" s="303"/>
      <c r="L539" s="302">
        <v>6.5907569451859693</v>
      </c>
      <c r="M539" s="302">
        <v>2.1722034066745017</v>
      </c>
      <c r="N539" s="302">
        <v>0.63094849597260239</v>
      </c>
      <c r="O539" s="302">
        <f t="shared" si="240"/>
        <v>9.3939088478330728</v>
      </c>
    </row>
    <row r="540" spans="1:15" s="236" customFormat="1" x14ac:dyDescent="0.3">
      <c r="A540" s="237" t="str">
        <f>name!E$8</f>
        <v>Skilled trades occupations</v>
      </c>
      <c r="B540" s="302">
        <v>21.316111035635412</v>
      </c>
      <c r="C540" s="302">
        <v>1.2626588463291781</v>
      </c>
      <c r="D540" s="302">
        <v>3.4636100772431004</v>
      </c>
      <c r="E540" s="302">
        <f t="shared" si="238"/>
        <v>26.04237995920769</v>
      </c>
      <c r="F540" s="303"/>
      <c r="G540" s="302">
        <v>16.954214978276855</v>
      </c>
      <c r="H540" s="302">
        <v>1.5570828064418603</v>
      </c>
      <c r="I540" s="302">
        <v>2.2174494361004724</v>
      </c>
      <c r="J540" s="302">
        <f>SUM(G540:I540)</f>
        <v>20.728747220819187</v>
      </c>
      <c r="K540" s="303"/>
      <c r="L540" s="302">
        <v>17.128814856203952</v>
      </c>
      <c r="M540" s="302">
        <v>1.9963162173318629</v>
      </c>
      <c r="N540" s="302">
        <v>2.3858706733916377</v>
      </c>
      <c r="O540" s="302">
        <f t="shared" si="240"/>
        <v>21.511001746927452</v>
      </c>
    </row>
    <row r="541" spans="1:15" s="236" customFormat="1" x14ac:dyDescent="0.3">
      <c r="A541" s="237" t="str">
        <f>name!E$9</f>
        <v>Caring, leisure and other service occupations</v>
      </c>
      <c r="B541" s="302">
        <v>1.9892071084489129</v>
      </c>
      <c r="C541" s="302">
        <v>5.9576525727948047E-2</v>
      </c>
      <c r="D541" s="302">
        <v>8.373984293528404E-2</v>
      </c>
      <c r="E541" s="302">
        <f t="shared" si="238"/>
        <v>2.1325234771121453</v>
      </c>
      <c r="F541" s="303"/>
      <c r="G541" s="302">
        <v>1.9490744616258902</v>
      </c>
      <c r="H541" s="302">
        <v>9.6208775499445773E-2</v>
      </c>
      <c r="I541" s="302">
        <v>0.13244592006436617</v>
      </c>
      <c r="J541" s="302">
        <f t="shared" ref="J541:J544" si="241">SUM(G541:I541)</f>
        <v>2.1777291571897019</v>
      </c>
      <c r="K541" s="303"/>
      <c r="L541" s="302">
        <v>3.2228241469876258</v>
      </c>
      <c r="M541" s="302">
        <v>7.8835494096511194E-2</v>
      </c>
      <c r="N541" s="302">
        <v>0.12532371934740211</v>
      </c>
      <c r="O541" s="302">
        <f t="shared" si="240"/>
        <v>3.4269833604315387</v>
      </c>
    </row>
    <row r="542" spans="1:15" s="236" customFormat="1" x14ac:dyDescent="0.3">
      <c r="A542" s="237" t="str">
        <f>name!E$10</f>
        <v>Sales and customer service occupations</v>
      </c>
      <c r="B542" s="302">
        <v>7.8851156719186415</v>
      </c>
      <c r="C542" s="302">
        <v>2.5308296158351484</v>
      </c>
      <c r="D542" s="302">
        <v>1.3317354562998329</v>
      </c>
      <c r="E542" s="302">
        <f t="shared" si="238"/>
        <v>11.747680744053623</v>
      </c>
      <c r="F542" s="303"/>
      <c r="G542" s="302">
        <v>6.9497852071403807</v>
      </c>
      <c r="H542" s="302">
        <v>4.0457510864106725</v>
      </c>
      <c r="I542" s="302">
        <v>0.78006379509482981</v>
      </c>
      <c r="J542" s="302">
        <f t="shared" si="241"/>
        <v>11.775600088645882</v>
      </c>
      <c r="K542" s="303"/>
      <c r="L542" s="302">
        <v>7.8083021240334292</v>
      </c>
      <c r="M542" s="302">
        <v>4.1638784610547868</v>
      </c>
      <c r="N542" s="302">
        <v>0.79621728458115604</v>
      </c>
      <c r="O542" s="302">
        <f t="shared" si="240"/>
        <v>12.768397869669371</v>
      </c>
    </row>
    <row r="543" spans="1:15" s="236" customFormat="1" x14ac:dyDescent="0.3">
      <c r="A543" s="237" t="str">
        <f>name!E$11</f>
        <v>Process, plant and machine operatives</v>
      </c>
      <c r="B543" s="302">
        <v>3.9695233656717375</v>
      </c>
      <c r="C543" s="302">
        <v>0.60541172063860904</v>
      </c>
      <c r="D543" s="302">
        <v>0.12948435665277302</v>
      </c>
      <c r="E543" s="302">
        <f t="shared" si="238"/>
        <v>4.7044194429631192</v>
      </c>
      <c r="F543" s="303"/>
      <c r="G543" s="302">
        <v>3.083273876178052</v>
      </c>
      <c r="H543" s="302">
        <v>0.88866965712598134</v>
      </c>
      <c r="I543" s="302">
        <v>0.11227649830291143</v>
      </c>
      <c r="J543" s="302">
        <f t="shared" si="241"/>
        <v>4.0842200316069448</v>
      </c>
      <c r="K543" s="303"/>
      <c r="L543" s="302">
        <v>4.1527532980820228</v>
      </c>
      <c r="M543" s="302">
        <v>1.2141108212288074</v>
      </c>
      <c r="N543" s="302">
        <v>0.18764622269091016</v>
      </c>
      <c r="O543" s="302">
        <f t="shared" si="240"/>
        <v>5.5545103420017403</v>
      </c>
    </row>
    <row r="544" spans="1:15" s="236" customFormat="1" x14ac:dyDescent="0.3">
      <c r="A544" s="237" t="str">
        <f>name!E$12</f>
        <v>Elementary occupations</v>
      </c>
      <c r="B544" s="302">
        <v>2.0413674065077414</v>
      </c>
      <c r="C544" s="302">
        <v>0.82139814955246715</v>
      </c>
      <c r="D544" s="302">
        <v>0.36262874747330459</v>
      </c>
      <c r="E544" s="302">
        <f t="shared" si="238"/>
        <v>3.2253943035335131</v>
      </c>
      <c r="F544" s="303"/>
      <c r="G544" s="302">
        <v>1.641282703679211</v>
      </c>
      <c r="H544" s="302">
        <v>1.0824685125852609</v>
      </c>
      <c r="I544" s="302">
        <v>0.25829907925968265</v>
      </c>
      <c r="J544" s="302">
        <f t="shared" si="241"/>
        <v>2.9820502955241546</v>
      </c>
      <c r="K544" s="303"/>
      <c r="L544" s="302">
        <v>1.6718449137496012</v>
      </c>
      <c r="M544" s="302">
        <v>0.79473684030294978</v>
      </c>
      <c r="N544" s="302">
        <v>0.35712390658385079</v>
      </c>
      <c r="O544" s="302">
        <f t="shared" si="240"/>
        <v>2.8237056606364015</v>
      </c>
    </row>
    <row r="545" spans="1:15" s="236" customFormat="1" x14ac:dyDescent="0.3">
      <c r="A545" s="237"/>
      <c r="B545" s="302"/>
      <c r="C545" s="302"/>
      <c r="D545" s="302"/>
      <c r="E545" s="302"/>
      <c r="F545" s="303"/>
      <c r="G545" s="302"/>
      <c r="H545" s="302"/>
      <c r="I545" s="302"/>
      <c r="J545" s="302"/>
      <c r="K545" s="303"/>
      <c r="L545" s="302"/>
      <c r="M545" s="302"/>
      <c r="N545" s="302"/>
      <c r="O545" s="302"/>
    </row>
    <row r="546" spans="1:15" s="236" customFormat="1" x14ac:dyDescent="0.3">
      <c r="A546" s="244" t="s">
        <v>32</v>
      </c>
      <c r="B546" s="311">
        <f>SUM(B536:B544)</f>
        <v>57.761000000111331</v>
      </c>
      <c r="C546" s="311">
        <f t="shared" ref="C546:E546" si="242">SUM(C536:C544)</f>
        <v>7.2890000001744486</v>
      </c>
      <c r="D546" s="311">
        <f t="shared" si="242"/>
        <v>7.9980000000328015</v>
      </c>
      <c r="E546" s="311">
        <f t="shared" si="242"/>
        <v>73.048000000318581</v>
      </c>
      <c r="F546" s="311"/>
      <c r="G546" s="311">
        <f t="shared" ref="G546:J546" si="243">SUM(G536:G544)</f>
        <v>52.958000000113465</v>
      </c>
      <c r="H546" s="311">
        <f t="shared" si="243"/>
        <v>11.486000000018173</v>
      </c>
      <c r="I546" s="311">
        <f t="shared" si="243"/>
        <v>5.7709999999996002</v>
      </c>
      <c r="J546" s="311">
        <f t="shared" si="243"/>
        <v>70.215000000131241</v>
      </c>
      <c r="K546" s="311"/>
      <c r="L546" s="311">
        <f t="shared" ref="L546:O546" si="244">SUM(L536:L544)</f>
        <v>62.385000000553902</v>
      </c>
      <c r="M546" s="311">
        <f t="shared" si="244"/>
        <v>11.938999999978126</v>
      </c>
      <c r="N546" s="311">
        <f t="shared" si="244"/>
        <v>6.6460000000524886</v>
      </c>
      <c r="O546" s="311">
        <f t="shared" si="244"/>
        <v>80.970000000584506</v>
      </c>
    </row>
    <row r="547" spans="1:15" s="236" customFormat="1" x14ac:dyDescent="0.3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37"/>
      <c r="M547" s="237"/>
      <c r="N547" s="240"/>
    </row>
    <row r="548" spans="1:15" s="236" customFormat="1" x14ac:dyDescent="0.3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37"/>
      <c r="M548" s="237"/>
      <c r="N548" s="240"/>
      <c r="O548" s="251" t="s">
        <v>35</v>
      </c>
    </row>
    <row r="549" spans="1:15" s="236" customFormat="1" x14ac:dyDescent="0.3">
      <c r="A549" s="242"/>
      <c r="B549" s="242"/>
      <c r="C549" s="242"/>
      <c r="D549" s="242"/>
      <c r="E549" s="242"/>
      <c r="F549" s="242"/>
      <c r="G549" s="242"/>
      <c r="H549" s="242"/>
      <c r="I549" s="242"/>
      <c r="J549" s="242"/>
      <c r="K549" s="242"/>
      <c r="L549" s="242"/>
      <c r="M549" s="242"/>
      <c r="N549" s="242"/>
      <c r="O549" s="242"/>
    </row>
    <row r="550" spans="1:15" s="236" customFormat="1" x14ac:dyDescent="0.3">
      <c r="A550" s="241" t="str">
        <f>name!A35</f>
        <v>Wholesale trade</v>
      </c>
      <c r="B550" s="375">
        <f>$B$6</f>
        <v>2015</v>
      </c>
      <c r="C550" s="375"/>
      <c r="D550" s="375"/>
      <c r="E550" s="375"/>
      <c r="F550" s="263"/>
      <c r="G550" s="375">
        <f>$G$6</f>
        <v>2020</v>
      </c>
      <c r="H550" s="375"/>
      <c r="I550" s="375"/>
      <c r="J550" s="375"/>
      <c r="K550" s="263"/>
      <c r="L550" s="375">
        <f>$L$6</f>
        <v>2035</v>
      </c>
      <c r="M550" s="375"/>
      <c r="N550" s="375"/>
      <c r="O550" s="375"/>
    </row>
    <row r="551" spans="1:15" s="236" customFormat="1" x14ac:dyDescent="0.3">
      <c r="A551" s="254"/>
      <c r="B551" s="268" t="str">
        <f>$B$7</f>
        <v>FT</v>
      </c>
      <c r="C551" s="268" t="str">
        <f>$C$7</f>
        <v>PT</v>
      </c>
      <c r="D551" s="268" t="str">
        <f>$D$7</f>
        <v>SE</v>
      </c>
      <c r="E551" s="268" t="str">
        <f>$E$7</f>
        <v>Total</v>
      </c>
      <c r="F551" s="268"/>
      <c r="G551" s="268" t="str">
        <f>$G$7</f>
        <v>FT</v>
      </c>
      <c r="H551" s="268" t="str">
        <f>$H$7</f>
        <v>PT</v>
      </c>
      <c r="I551" s="268" t="str">
        <f>$I$7</f>
        <v>SE</v>
      </c>
      <c r="J551" s="268" t="str">
        <f>$J$7</f>
        <v>Total</v>
      </c>
      <c r="K551" s="268"/>
      <c r="L551" s="268" t="str">
        <f>$L$7</f>
        <v>FT</v>
      </c>
      <c r="M551" s="268" t="str">
        <f>$M$7</f>
        <v>PT</v>
      </c>
      <c r="N551" s="268" t="str">
        <f>$N$7</f>
        <v>SE</v>
      </c>
      <c r="O551" s="268" t="str">
        <f>$O$7</f>
        <v>Total</v>
      </c>
    </row>
    <row r="552" spans="1:15" s="236" customFormat="1" x14ac:dyDescent="0.3">
      <c r="A552" s="258"/>
      <c r="B552" s="239"/>
      <c r="C552" s="239"/>
      <c r="D552" s="239"/>
      <c r="E552" s="239"/>
      <c r="F552" s="239"/>
      <c r="G552" s="239"/>
      <c r="H552" s="239"/>
      <c r="I552" s="239"/>
      <c r="J552" s="239"/>
      <c r="K552" s="239"/>
      <c r="L552" s="239"/>
      <c r="M552" s="239"/>
      <c r="N552" s="239"/>
      <c r="O552" s="239"/>
    </row>
    <row r="553" spans="1:15" s="236" customFormat="1" x14ac:dyDescent="0.3">
      <c r="A553" s="237" t="str">
        <f>name!E$4</f>
        <v>Managers, directors and senior officials</v>
      </c>
      <c r="B553" s="302">
        <v>18.954547162074213</v>
      </c>
      <c r="C553" s="302">
        <v>0.75610462669917788</v>
      </c>
      <c r="D553" s="302">
        <v>2.6642031562472792</v>
      </c>
      <c r="E553" s="302">
        <f>SUM(B553:D553)</f>
        <v>22.374854945020669</v>
      </c>
      <c r="F553" s="303"/>
      <c r="G553" s="302">
        <v>21.786854531392368</v>
      </c>
      <c r="H553" s="302">
        <v>1.3608753011257009</v>
      </c>
      <c r="I553" s="302">
        <v>2.4782702637352343</v>
      </c>
      <c r="J553" s="302">
        <f>SUM(G553:I553)</f>
        <v>25.626000096253303</v>
      </c>
      <c r="K553" s="303"/>
      <c r="L553" s="302">
        <v>23.587835488877836</v>
      </c>
      <c r="M553" s="302">
        <v>1.4924817436117388</v>
      </c>
      <c r="N553" s="302">
        <v>2.5506758637917253</v>
      </c>
      <c r="O553" s="302">
        <f>SUM(L553:N553)</f>
        <v>27.630993096281298</v>
      </c>
    </row>
    <row r="554" spans="1:15" s="236" customFormat="1" x14ac:dyDescent="0.3">
      <c r="A554" s="237" t="str">
        <f>name!E$5</f>
        <v>Professional occupations</v>
      </c>
      <c r="B554" s="302">
        <v>11.536827388929417</v>
      </c>
      <c r="C554" s="302">
        <v>0.44053504770453455</v>
      </c>
      <c r="D554" s="302">
        <v>0.90198033822462798</v>
      </c>
      <c r="E554" s="302">
        <f t="shared" ref="E554:E561" si="245">SUM(B554:D554)</f>
        <v>12.87934277485858</v>
      </c>
      <c r="F554" s="303"/>
      <c r="G554" s="302">
        <v>15.551415024300823</v>
      </c>
      <c r="H554" s="302">
        <v>0.76960879010087113</v>
      </c>
      <c r="I554" s="302">
        <v>0.72555686645892215</v>
      </c>
      <c r="J554" s="302">
        <f t="shared" ref="J554:J556" si="246">SUM(G554:I554)</f>
        <v>17.046580680860618</v>
      </c>
      <c r="K554" s="303"/>
      <c r="L554" s="302">
        <v>19.891475398946408</v>
      </c>
      <c r="M554" s="302">
        <v>0.86378061064000211</v>
      </c>
      <c r="N554" s="302">
        <v>0.65828845591706042</v>
      </c>
      <c r="O554" s="302">
        <f t="shared" ref="O554:O561" si="247">SUM(L554:N554)</f>
        <v>21.41354446550347</v>
      </c>
    </row>
    <row r="555" spans="1:15" s="236" customFormat="1" x14ac:dyDescent="0.3">
      <c r="A555" s="237" t="str">
        <f>name!E$6</f>
        <v>Associate professional occupations</v>
      </c>
      <c r="B555" s="302">
        <v>13.761008845367513</v>
      </c>
      <c r="C555" s="302">
        <v>1.2031882204696929</v>
      </c>
      <c r="D555" s="302">
        <v>1.2545266501102541</v>
      </c>
      <c r="E555" s="302">
        <f t="shared" si="245"/>
        <v>16.218723715947462</v>
      </c>
      <c r="F555" s="303"/>
      <c r="G555" s="302">
        <v>16.365239044218335</v>
      </c>
      <c r="H555" s="302">
        <v>1.7220849886595455</v>
      </c>
      <c r="I555" s="302">
        <v>0.89692424673817095</v>
      </c>
      <c r="J555" s="302">
        <f t="shared" si="246"/>
        <v>18.98424827961605</v>
      </c>
      <c r="K555" s="303"/>
      <c r="L555" s="302">
        <v>17.263437718899404</v>
      </c>
      <c r="M555" s="302">
        <v>1.6311263094462616</v>
      </c>
      <c r="N555" s="302">
        <v>0.85295933200089824</v>
      </c>
      <c r="O555" s="302">
        <f t="shared" si="247"/>
        <v>19.747523360346566</v>
      </c>
    </row>
    <row r="556" spans="1:15" s="236" customFormat="1" x14ac:dyDescent="0.3">
      <c r="A556" s="237" t="str">
        <f>name!E$7</f>
        <v>Administrative and secretarial occupations</v>
      </c>
      <c r="B556" s="302">
        <v>12.695271373832295</v>
      </c>
      <c r="C556" s="302">
        <v>3.7849256686505375</v>
      </c>
      <c r="D556" s="302">
        <v>0.59961970262510611</v>
      </c>
      <c r="E556" s="302">
        <f t="shared" si="245"/>
        <v>17.079816745107937</v>
      </c>
      <c r="F556" s="303"/>
      <c r="G556" s="302">
        <v>14.083631392635127</v>
      </c>
      <c r="H556" s="302">
        <v>4.384480666828475</v>
      </c>
      <c r="I556" s="302">
        <v>0.41396622908431574</v>
      </c>
      <c r="J556" s="302">
        <f t="shared" si="246"/>
        <v>18.882078288547916</v>
      </c>
      <c r="K556" s="303"/>
      <c r="L556" s="302">
        <v>13.125953001609025</v>
      </c>
      <c r="M556" s="302">
        <v>3.6539766516219787</v>
      </c>
      <c r="N556" s="302">
        <v>0.38336092128942123</v>
      </c>
      <c r="O556" s="302">
        <f t="shared" si="247"/>
        <v>17.163290574520424</v>
      </c>
    </row>
    <row r="557" spans="1:15" s="236" customFormat="1" x14ac:dyDescent="0.3">
      <c r="A557" s="237" t="str">
        <f>name!E$8</f>
        <v>Skilled trades occupations</v>
      </c>
      <c r="B557" s="302">
        <v>6.3843070665662784</v>
      </c>
      <c r="C557" s="302">
        <v>0.36876877045971473</v>
      </c>
      <c r="D557" s="302">
        <v>1.0910249791305704</v>
      </c>
      <c r="E557" s="302">
        <f t="shared" si="245"/>
        <v>7.8441008161565637</v>
      </c>
      <c r="F557" s="303"/>
      <c r="G557" s="302">
        <v>5.0187732777744873</v>
      </c>
      <c r="H557" s="302">
        <v>0.28957917007050638</v>
      </c>
      <c r="I557" s="302">
        <v>0.78605752884029345</v>
      </c>
      <c r="J557" s="302">
        <f>SUM(G557:I557)</f>
        <v>6.0944099766852879</v>
      </c>
      <c r="K557" s="303"/>
      <c r="L557" s="302">
        <v>4.7838331931854405</v>
      </c>
      <c r="M557" s="302">
        <v>0.35685639790512835</v>
      </c>
      <c r="N557" s="302">
        <v>0.95057503986662295</v>
      </c>
      <c r="O557" s="302">
        <f t="shared" si="247"/>
        <v>6.0912646309571912</v>
      </c>
    </row>
    <row r="558" spans="1:15" s="236" customFormat="1" x14ac:dyDescent="0.3">
      <c r="A558" s="237" t="str">
        <f>name!E$9</f>
        <v>Caring, leisure and other service occupations</v>
      </c>
      <c r="B558" s="302">
        <v>0.38422035378699043</v>
      </c>
      <c r="C558" s="302">
        <v>9.8831929165458396E-2</v>
      </c>
      <c r="D558" s="302">
        <v>6.5415624230469038E-2</v>
      </c>
      <c r="E558" s="302">
        <f t="shared" si="245"/>
        <v>0.54846790718291794</v>
      </c>
      <c r="F558" s="303"/>
      <c r="G558" s="302">
        <v>0.41503480879716897</v>
      </c>
      <c r="H558" s="302">
        <v>0.10202932016176366</v>
      </c>
      <c r="I558" s="302">
        <v>6.1691632993317515E-2</v>
      </c>
      <c r="J558" s="302">
        <f t="shared" ref="J558:J561" si="248">SUM(G558:I558)</f>
        <v>0.57875576195225009</v>
      </c>
      <c r="K558" s="303"/>
      <c r="L558" s="302">
        <v>0.5477448799674095</v>
      </c>
      <c r="M558" s="302">
        <v>7.95186201400985E-2</v>
      </c>
      <c r="N558" s="302">
        <v>5.6991600862328698E-2</v>
      </c>
      <c r="O558" s="302">
        <f t="shared" si="247"/>
        <v>0.68425510096983666</v>
      </c>
    </row>
    <row r="559" spans="1:15" s="236" customFormat="1" x14ac:dyDescent="0.3">
      <c r="A559" s="237" t="str">
        <f>name!E$10</f>
        <v>Sales and customer service occupations</v>
      </c>
      <c r="B559" s="302">
        <v>8.1416964908081741</v>
      </c>
      <c r="C559" s="302">
        <v>2.8116212721016538</v>
      </c>
      <c r="D559" s="302">
        <v>0.97070533805509052</v>
      </c>
      <c r="E559" s="302">
        <f t="shared" si="245"/>
        <v>11.924023100964918</v>
      </c>
      <c r="F559" s="303"/>
      <c r="G559" s="302">
        <v>7.8145892415916149</v>
      </c>
      <c r="H559" s="302">
        <v>3.0403093395626057</v>
      </c>
      <c r="I559" s="302">
        <v>0.56369818626104962</v>
      </c>
      <c r="J559" s="302">
        <f t="shared" si="248"/>
        <v>11.41859676741527</v>
      </c>
      <c r="K559" s="303"/>
      <c r="L559" s="302">
        <v>7.8481115506867738</v>
      </c>
      <c r="M559" s="302">
        <v>2.9429415006209418</v>
      </c>
      <c r="N559" s="302">
        <v>0.55940569751304248</v>
      </c>
      <c r="O559" s="302">
        <f t="shared" si="247"/>
        <v>11.350458748820758</v>
      </c>
    </row>
    <row r="560" spans="1:15" s="236" customFormat="1" x14ac:dyDescent="0.3">
      <c r="A560" s="237" t="str">
        <f>name!E$11</f>
        <v>Process, plant and machine operatives</v>
      </c>
      <c r="B560" s="302">
        <v>16.937563505320817</v>
      </c>
      <c r="C560" s="302">
        <v>0.96868964575976679</v>
      </c>
      <c r="D560" s="302">
        <v>0.38690750680957109</v>
      </c>
      <c r="E560" s="302">
        <f t="shared" si="245"/>
        <v>18.293160657890155</v>
      </c>
      <c r="F560" s="303"/>
      <c r="G560" s="302">
        <v>13.753712579277378</v>
      </c>
      <c r="H560" s="302">
        <v>0.99319440832335681</v>
      </c>
      <c r="I560" s="302">
        <v>0.32559283860789928</v>
      </c>
      <c r="J560" s="302">
        <f t="shared" si="248"/>
        <v>15.072499826208634</v>
      </c>
      <c r="K560" s="303"/>
      <c r="L560" s="302">
        <v>14.401579800117927</v>
      </c>
      <c r="M560" s="302">
        <v>1.395361940796717</v>
      </c>
      <c r="N560" s="302">
        <v>0.45698956938462787</v>
      </c>
      <c r="O560" s="302">
        <f t="shared" si="247"/>
        <v>16.253931310299272</v>
      </c>
    </row>
    <row r="561" spans="1:15" s="236" customFormat="1" x14ac:dyDescent="0.3">
      <c r="A561" s="237" t="str">
        <f>name!E$12</f>
        <v>Elementary occupations</v>
      </c>
      <c r="B561" s="302">
        <v>11.529557813485242</v>
      </c>
      <c r="C561" s="302">
        <v>2.5933348192811509</v>
      </c>
      <c r="D561" s="302">
        <v>0.24161670471550251</v>
      </c>
      <c r="E561" s="302">
        <f t="shared" si="245"/>
        <v>14.364509337481897</v>
      </c>
      <c r="F561" s="303"/>
      <c r="G561" s="302">
        <v>8.8727500996061757</v>
      </c>
      <c r="H561" s="302">
        <v>2.4458380151480914</v>
      </c>
      <c r="I561" s="302">
        <v>0.12224220732262436</v>
      </c>
      <c r="J561" s="302">
        <f t="shared" si="248"/>
        <v>11.440830322076891</v>
      </c>
      <c r="K561" s="303"/>
      <c r="L561" s="302">
        <v>6.8480289679630237</v>
      </c>
      <c r="M561" s="302">
        <v>1.7639562251186844</v>
      </c>
      <c r="N561" s="302">
        <v>0.14875351947158452</v>
      </c>
      <c r="O561" s="302">
        <f t="shared" si="247"/>
        <v>8.7607387125532927</v>
      </c>
    </row>
    <row r="562" spans="1:15" s="236" customFormat="1" x14ac:dyDescent="0.3">
      <c r="A562" s="237"/>
      <c r="B562" s="302"/>
      <c r="C562" s="302"/>
      <c r="D562" s="302"/>
      <c r="E562" s="302"/>
      <c r="F562" s="303"/>
      <c r="G562" s="302"/>
      <c r="H562" s="302"/>
      <c r="I562" s="302"/>
      <c r="J562" s="302"/>
      <c r="K562" s="303"/>
      <c r="L562" s="302"/>
      <c r="M562" s="302"/>
      <c r="N562" s="302"/>
      <c r="O562" s="302"/>
    </row>
    <row r="563" spans="1:15" s="236" customFormat="1" x14ac:dyDescent="0.3">
      <c r="A563" s="244" t="s">
        <v>32</v>
      </c>
      <c r="B563" s="311">
        <f>SUM(B553:B561)</f>
        <v>100.32500000017095</v>
      </c>
      <c r="C563" s="311">
        <f t="shared" ref="C563:E563" si="249">SUM(C553:C561)</f>
        <v>13.026000000291688</v>
      </c>
      <c r="D563" s="311">
        <f t="shared" si="249"/>
        <v>8.1760000001484716</v>
      </c>
      <c r="E563" s="311">
        <f t="shared" si="249"/>
        <v>121.52700000061111</v>
      </c>
      <c r="F563" s="311"/>
      <c r="G563" s="311">
        <f t="shared" ref="G563:J563" si="250">SUM(G553:G561)</f>
        <v>103.66199999959349</v>
      </c>
      <c r="H563" s="311">
        <f t="shared" si="250"/>
        <v>15.107999999980917</v>
      </c>
      <c r="I563" s="311">
        <f t="shared" si="250"/>
        <v>6.3740000000418267</v>
      </c>
      <c r="J563" s="311">
        <f t="shared" si="250"/>
        <v>125.14399999961623</v>
      </c>
      <c r="K563" s="311"/>
      <c r="L563" s="311">
        <f t="shared" ref="L563:O563" si="251">SUM(L553:L561)</f>
        <v>108.29800000025324</v>
      </c>
      <c r="M563" s="311">
        <f t="shared" si="251"/>
        <v>14.17999999990155</v>
      </c>
      <c r="N563" s="311">
        <f t="shared" si="251"/>
        <v>6.6180000000973109</v>
      </c>
      <c r="O563" s="311">
        <f t="shared" si="251"/>
        <v>129.0960000002521</v>
      </c>
    </row>
    <row r="564" spans="1:15" s="236" customFormat="1" x14ac:dyDescent="0.3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37"/>
      <c r="M564" s="237"/>
      <c r="N564" s="240"/>
    </row>
    <row r="565" spans="1:15" s="236" customFormat="1" x14ac:dyDescent="0.3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37"/>
      <c r="M565" s="237"/>
      <c r="N565" s="240"/>
      <c r="O565" s="251" t="s">
        <v>35</v>
      </c>
    </row>
    <row r="566" spans="1:15" s="236" customFormat="1" x14ac:dyDescent="0.3">
      <c r="A566" s="242"/>
      <c r="B566" s="242"/>
      <c r="C566" s="242"/>
      <c r="D566" s="242"/>
      <c r="E566" s="242"/>
      <c r="F566" s="242"/>
      <c r="G566" s="242"/>
      <c r="H566" s="242"/>
      <c r="I566" s="242"/>
      <c r="J566" s="242"/>
      <c r="K566" s="242"/>
      <c r="L566" s="242"/>
      <c r="M566" s="242"/>
      <c r="N566" s="242"/>
      <c r="O566" s="242"/>
    </row>
    <row r="567" spans="1:15" s="236" customFormat="1" x14ac:dyDescent="0.3">
      <c r="A567" s="241" t="str">
        <f>name!A36</f>
        <v>Retail trade</v>
      </c>
      <c r="B567" s="375">
        <f>$B$6</f>
        <v>2015</v>
      </c>
      <c r="C567" s="375"/>
      <c r="D567" s="375"/>
      <c r="E567" s="375"/>
      <c r="F567" s="263"/>
      <c r="G567" s="375">
        <f>$G$6</f>
        <v>2020</v>
      </c>
      <c r="H567" s="375"/>
      <c r="I567" s="375"/>
      <c r="J567" s="375"/>
      <c r="K567" s="263"/>
      <c r="L567" s="375">
        <f>$L$6</f>
        <v>2035</v>
      </c>
      <c r="M567" s="375"/>
      <c r="N567" s="375"/>
      <c r="O567" s="375"/>
    </row>
    <row r="568" spans="1:15" s="236" customFormat="1" x14ac:dyDescent="0.3">
      <c r="A568" s="254"/>
      <c r="B568" s="268" t="str">
        <f>$B$7</f>
        <v>FT</v>
      </c>
      <c r="C568" s="268" t="str">
        <f>$C$7</f>
        <v>PT</v>
      </c>
      <c r="D568" s="268" t="str">
        <f>$D$7</f>
        <v>SE</v>
      </c>
      <c r="E568" s="268" t="str">
        <f>$E$7</f>
        <v>Total</v>
      </c>
      <c r="F568" s="268"/>
      <c r="G568" s="268" t="str">
        <f>$G$7</f>
        <v>FT</v>
      </c>
      <c r="H568" s="268" t="str">
        <f>$H$7</f>
        <v>PT</v>
      </c>
      <c r="I568" s="268" t="str">
        <f>$I$7</f>
        <v>SE</v>
      </c>
      <c r="J568" s="268" t="str">
        <f>$J$7</f>
        <v>Total</v>
      </c>
      <c r="K568" s="268"/>
      <c r="L568" s="268" t="str">
        <f>$L$7</f>
        <v>FT</v>
      </c>
      <c r="M568" s="268" t="str">
        <f>$M$7</f>
        <v>PT</v>
      </c>
      <c r="N568" s="268" t="str">
        <f>$N$7</f>
        <v>SE</v>
      </c>
      <c r="O568" s="268" t="str">
        <f>$O$7</f>
        <v>Total</v>
      </c>
    </row>
    <row r="569" spans="1:15" s="236" customFormat="1" x14ac:dyDescent="0.3">
      <c r="A569" s="258"/>
      <c r="B569" s="239"/>
      <c r="C569" s="239"/>
      <c r="D569" s="239"/>
      <c r="E569" s="239"/>
      <c r="F569" s="239"/>
      <c r="G569" s="239"/>
      <c r="H569" s="239"/>
      <c r="I569" s="239"/>
      <c r="J569" s="239"/>
      <c r="K569" s="239"/>
      <c r="L569" s="239"/>
      <c r="M569" s="239"/>
      <c r="N569" s="239"/>
      <c r="O569" s="239"/>
    </row>
    <row r="570" spans="1:15" s="236" customFormat="1" x14ac:dyDescent="0.3">
      <c r="A570" s="237" t="str">
        <f>name!E$4</f>
        <v>Managers, directors and senior officials</v>
      </c>
      <c r="B570" s="302">
        <v>22.968418157295936</v>
      </c>
      <c r="C570" s="302">
        <v>2.7178522677764478</v>
      </c>
      <c r="D570" s="302">
        <v>7.6278779275040947</v>
      </c>
      <c r="E570" s="302">
        <f>SUM(B570:D570)</f>
        <v>33.314148352576481</v>
      </c>
      <c r="F570" s="303"/>
      <c r="G570" s="302">
        <v>23.938057013738561</v>
      </c>
      <c r="H570" s="302">
        <v>4.2901240094219224</v>
      </c>
      <c r="I570" s="302">
        <v>6.3037886102002938</v>
      </c>
      <c r="J570" s="302">
        <f>SUM(G570:I570)</f>
        <v>34.531969633360781</v>
      </c>
      <c r="K570" s="303"/>
      <c r="L570" s="302">
        <v>29.922120242983567</v>
      </c>
      <c r="M570" s="302">
        <v>4.9690589898518347</v>
      </c>
      <c r="N570" s="302">
        <v>7.1866980245942305</v>
      </c>
      <c r="O570" s="302">
        <f>SUM(L570:N570)</f>
        <v>42.077877257429627</v>
      </c>
    </row>
    <row r="571" spans="1:15" s="236" customFormat="1" x14ac:dyDescent="0.3">
      <c r="A571" s="237" t="str">
        <f>name!E$5</f>
        <v>Professional occupations</v>
      </c>
      <c r="B571" s="302">
        <v>16.296499341574542</v>
      </c>
      <c r="C571" s="302">
        <v>4.1772867339653859</v>
      </c>
      <c r="D571" s="302">
        <v>2.1072112792943396</v>
      </c>
      <c r="E571" s="302">
        <f t="shared" ref="E571:E578" si="252">SUM(B571:D571)</f>
        <v>22.580997354834267</v>
      </c>
      <c r="F571" s="303"/>
      <c r="G571" s="302">
        <v>19.175986219841757</v>
      </c>
      <c r="H571" s="302">
        <v>5.7511628261775947</v>
      </c>
      <c r="I571" s="302">
        <v>1.6671992868765584</v>
      </c>
      <c r="J571" s="302">
        <f t="shared" ref="J571:J573" si="253">SUM(G571:I571)</f>
        <v>26.594348332895912</v>
      </c>
      <c r="K571" s="303"/>
      <c r="L571" s="302">
        <v>25.85817809018809</v>
      </c>
      <c r="M571" s="302">
        <v>7.0889730215364688</v>
      </c>
      <c r="N571" s="302">
        <v>1.281648998470889</v>
      </c>
      <c r="O571" s="302">
        <f t="shared" ref="O571:O578" si="254">SUM(L571:N571)</f>
        <v>34.228800110195451</v>
      </c>
    </row>
    <row r="572" spans="1:15" s="236" customFormat="1" x14ac:dyDescent="0.3">
      <c r="A572" s="237" t="str">
        <f>name!E$6</f>
        <v>Associate professional occupations</v>
      </c>
      <c r="B572" s="302">
        <v>12.581272543048472</v>
      </c>
      <c r="C572" s="302">
        <v>5.7957065156671934</v>
      </c>
      <c r="D572" s="302">
        <v>1.4285995440395673</v>
      </c>
      <c r="E572" s="302">
        <f t="shared" si="252"/>
        <v>19.805578602755233</v>
      </c>
      <c r="F572" s="303"/>
      <c r="G572" s="302">
        <v>13.595074914526801</v>
      </c>
      <c r="H572" s="302">
        <v>6.5494116329575638</v>
      </c>
      <c r="I572" s="302">
        <v>1.0987797856834631</v>
      </c>
      <c r="J572" s="302">
        <f t="shared" si="253"/>
        <v>21.243266333167828</v>
      </c>
      <c r="K572" s="303"/>
      <c r="L572" s="302">
        <v>15.733311713993634</v>
      </c>
      <c r="M572" s="302">
        <v>6.422370273458621</v>
      </c>
      <c r="N572" s="302">
        <v>0.97366336266427189</v>
      </c>
      <c r="O572" s="302">
        <f t="shared" si="254"/>
        <v>23.129345350116527</v>
      </c>
    </row>
    <row r="573" spans="1:15" s="236" customFormat="1" x14ac:dyDescent="0.3">
      <c r="A573" s="237" t="str">
        <f>name!E$7</f>
        <v>Administrative and secretarial occupations</v>
      </c>
      <c r="B573" s="302">
        <v>10.915392118780556</v>
      </c>
      <c r="C573" s="302">
        <v>7.9519738449082764</v>
      </c>
      <c r="D573" s="302">
        <v>0.40977038693822659</v>
      </c>
      <c r="E573" s="302">
        <f t="shared" si="252"/>
        <v>19.27713635062706</v>
      </c>
      <c r="F573" s="303"/>
      <c r="G573" s="302">
        <v>10.444918361134837</v>
      </c>
      <c r="H573" s="302">
        <v>8.2917718751619347</v>
      </c>
      <c r="I573" s="302">
        <v>0.33650340930492412</v>
      </c>
      <c r="J573" s="302">
        <f t="shared" si="253"/>
        <v>19.073193645601698</v>
      </c>
      <c r="K573" s="303"/>
      <c r="L573" s="302">
        <v>10.665371405295861</v>
      </c>
      <c r="M573" s="302">
        <v>7.9334472082292065</v>
      </c>
      <c r="N573" s="302">
        <v>0.27674949171217839</v>
      </c>
      <c r="O573" s="302">
        <f t="shared" si="254"/>
        <v>18.875568105237246</v>
      </c>
    </row>
    <row r="574" spans="1:15" s="236" customFormat="1" x14ac:dyDescent="0.3">
      <c r="A574" s="237" t="str">
        <f>name!E$8</f>
        <v>Skilled trades occupations</v>
      </c>
      <c r="B574" s="302">
        <v>7.4614532502102753</v>
      </c>
      <c r="C574" s="302">
        <v>3.5830226120714097</v>
      </c>
      <c r="D574" s="302">
        <v>3.8511590873488366</v>
      </c>
      <c r="E574" s="302">
        <f t="shared" si="252"/>
        <v>14.895634949630521</v>
      </c>
      <c r="F574" s="303"/>
      <c r="G574" s="302">
        <v>5.2920829623731738</v>
      </c>
      <c r="H574" s="302">
        <v>2.601984310114871</v>
      </c>
      <c r="I574" s="302">
        <v>2.8314109592893715</v>
      </c>
      <c r="J574" s="302">
        <f>SUM(G574:I574)</f>
        <v>10.725478231777416</v>
      </c>
      <c r="K574" s="303"/>
      <c r="L574" s="302">
        <v>5.9178467678408557</v>
      </c>
      <c r="M574" s="302">
        <v>2.5282363147109574</v>
      </c>
      <c r="N574" s="302">
        <v>3.3818214679433738</v>
      </c>
      <c r="O574" s="302">
        <f t="shared" si="254"/>
        <v>11.827904550495186</v>
      </c>
    </row>
    <row r="575" spans="1:15" s="236" customFormat="1" x14ac:dyDescent="0.3">
      <c r="A575" s="237" t="str">
        <f>name!E$9</f>
        <v>Caring, leisure and other service occupations</v>
      </c>
      <c r="B575" s="302">
        <v>0.88889388951529169</v>
      </c>
      <c r="C575" s="302">
        <v>1.010844966189417</v>
      </c>
      <c r="D575" s="302">
        <v>0.25008069135946831</v>
      </c>
      <c r="E575" s="302">
        <f t="shared" si="252"/>
        <v>2.149819547064177</v>
      </c>
      <c r="F575" s="303"/>
      <c r="G575" s="302">
        <v>0.77707600713921332</v>
      </c>
      <c r="H575" s="302">
        <v>0.84894686789902762</v>
      </c>
      <c r="I575" s="302">
        <v>0.26840047785906512</v>
      </c>
      <c r="J575" s="302">
        <f t="shared" ref="J575:J578" si="255">SUM(G575:I575)</f>
        <v>1.894423352897306</v>
      </c>
      <c r="K575" s="303"/>
      <c r="L575" s="302">
        <v>1.0390197770891729</v>
      </c>
      <c r="M575" s="302">
        <v>0.71757329886885712</v>
      </c>
      <c r="N575" s="302">
        <v>0.44113444174277139</v>
      </c>
      <c r="O575" s="302">
        <f t="shared" si="254"/>
        <v>2.1977275177008018</v>
      </c>
    </row>
    <row r="576" spans="1:15" s="236" customFormat="1" x14ac:dyDescent="0.3">
      <c r="A576" s="237" t="str">
        <f>name!E$10</f>
        <v>Sales and customer service occupations</v>
      </c>
      <c r="B576" s="302">
        <v>26.858655468768401</v>
      </c>
      <c r="C576" s="302">
        <v>111.44013437014958</v>
      </c>
      <c r="D576" s="302">
        <v>5.9121398044804447</v>
      </c>
      <c r="E576" s="302">
        <f t="shared" si="252"/>
        <v>144.2109296433984</v>
      </c>
      <c r="F576" s="303"/>
      <c r="G576" s="302">
        <v>21.764608538990306</v>
      </c>
      <c r="H576" s="302">
        <v>100.35476232013558</v>
      </c>
      <c r="I576" s="302">
        <v>3.2775499898439873</v>
      </c>
      <c r="J576" s="302">
        <f t="shared" si="255"/>
        <v>125.39692084896987</v>
      </c>
      <c r="K576" s="303"/>
      <c r="L576" s="302">
        <v>14.680649932093804</v>
      </c>
      <c r="M576" s="302">
        <v>91.416577765566672</v>
      </c>
      <c r="N576" s="302">
        <v>2.3205874149284353</v>
      </c>
      <c r="O576" s="302">
        <f t="shared" si="254"/>
        <v>108.41781511258891</v>
      </c>
    </row>
    <row r="577" spans="1:15" s="236" customFormat="1" x14ac:dyDescent="0.3">
      <c r="A577" s="237" t="str">
        <f>name!E$11</f>
        <v>Process, plant and machine operatives</v>
      </c>
      <c r="B577" s="302">
        <v>7.4643453537256486</v>
      </c>
      <c r="C577" s="302">
        <v>3.6156652514502228</v>
      </c>
      <c r="D577" s="302">
        <v>1.5209959019259642</v>
      </c>
      <c r="E577" s="302">
        <f t="shared" si="252"/>
        <v>12.601006507101836</v>
      </c>
      <c r="F577" s="303"/>
      <c r="G577" s="302">
        <v>5.4366869367972441</v>
      </c>
      <c r="H577" s="302">
        <v>3.3988665241456193</v>
      </c>
      <c r="I577" s="302">
        <v>1.5066185497730245</v>
      </c>
      <c r="J577" s="302">
        <f t="shared" si="255"/>
        <v>10.342172010715888</v>
      </c>
      <c r="K577" s="303"/>
      <c r="L577" s="302">
        <v>6.0363888835712745</v>
      </c>
      <c r="M577" s="302">
        <v>5.1339342611298875</v>
      </c>
      <c r="N577" s="302">
        <v>2.7393710350286589</v>
      </c>
      <c r="O577" s="302">
        <f t="shared" si="254"/>
        <v>13.90969417972982</v>
      </c>
    </row>
    <row r="578" spans="1:15" s="236" customFormat="1" x14ac:dyDescent="0.3">
      <c r="A578" s="237" t="str">
        <f>name!E$12</f>
        <v>Elementary occupations</v>
      </c>
      <c r="B578" s="302">
        <v>12.285069877303338</v>
      </c>
      <c r="C578" s="302">
        <v>22.42451344484326</v>
      </c>
      <c r="D578" s="302">
        <v>0.32416537754935598</v>
      </c>
      <c r="E578" s="302">
        <f t="shared" si="252"/>
        <v>35.033748699695956</v>
      </c>
      <c r="F578" s="303"/>
      <c r="G578" s="302">
        <v>9.2215090447274815</v>
      </c>
      <c r="H578" s="302">
        <v>17.358969635712548</v>
      </c>
      <c r="I578" s="302">
        <v>0.16174893107933894</v>
      </c>
      <c r="J578" s="302">
        <f t="shared" si="255"/>
        <v>26.742227611519368</v>
      </c>
      <c r="K578" s="303"/>
      <c r="L578" s="302">
        <v>9.104113186942417</v>
      </c>
      <c r="M578" s="302">
        <v>13.092828865393827</v>
      </c>
      <c r="N578" s="302">
        <v>0.20532576306107633</v>
      </c>
      <c r="O578" s="302">
        <f t="shared" si="254"/>
        <v>22.40226781539732</v>
      </c>
    </row>
    <row r="579" spans="1:15" s="236" customFormat="1" x14ac:dyDescent="0.3">
      <c r="A579" s="237"/>
      <c r="B579" s="302"/>
      <c r="C579" s="302"/>
      <c r="D579" s="302"/>
      <c r="E579" s="302"/>
      <c r="F579" s="303"/>
      <c r="G579" s="302"/>
      <c r="H579" s="302"/>
      <c r="I579" s="302"/>
      <c r="J579" s="302"/>
      <c r="K579" s="303"/>
      <c r="L579" s="302"/>
      <c r="M579" s="302"/>
      <c r="N579" s="302"/>
      <c r="O579" s="302"/>
    </row>
    <row r="580" spans="1:15" s="236" customFormat="1" x14ac:dyDescent="0.3">
      <c r="A580" s="244" t="s">
        <v>32</v>
      </c>
      <c r="B580" s="311">
        <f>SUM(B570:B578)</f>
        <v>117.72000000022246</v>
      </c>
      <c r="C580" s="311">
        <f t="shared" ref="C580:E580" si="256">SUM(C570:C578)</f>
        <v>162.7170000070212</v>
      </c>
      <c r="D580" s="311">
        <f t="shared" si="256"/>
        <v>23.432000000440297</v>
      </c>
      <c r="E580" s="311">
        <f t="shared" si="256"/>
        <v>303.86900000768389</v>
      </c>
      <c r="F580" s="311"/>
      <c r="G580" s="311">
        <f t="shared" ref="G580:J580" si="257">SUM(G570:G578)</f>
        <v>109.64599999926938</v>
      </c>
      <c r="H580" s="311">
        <f t="shared" si="257"/>
        <v>149.44600000172667</v>
      </c>
      <c r="I580" s="311">
        <f t="shared" si="257"/>
        <v>17.451999999910026</v>
      </c>
      <c r="J580" s="311">
        <f t="shared" si="257"/>
        <v>276.54400000090607</v>
      </c>
      <c r="K580" s="311"/>
      <c r="L580" s="311">
        <f t="shared" ref="L580:O580" si="258">SUM(L570:L578)</f>
        <v>118.95699999999866</v>
      </c>
      <c r="M580" s="311">
        <f t="shared" si="258"/>
        <v>139.30299999874632</v>
      </c>
      <c r="N580" s="311">
        <f t="shared" si="258"/>
        <v>18.807000000145884</v>
      </c>
      <c r="O580" s="311">
        <f t="shared" si="258"/>
        <v>277.06699999889088</v>
      </c>
    </row>
    <row r="581" spans="1:15" s="236" customFormat="1" x14ac:dyDescent="0.3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37"/>
      <c r="M581" s="237"/>
      <c r="N581" s="240"/>
    </row>
    <row r="582" spans="1:15" s="236" customFormat="1" x14ac:dyDescent="0.3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37"/>
      <c r="M582" s="237"/>
      <c r="N582" s="240"/>
      <c r="O582" s="251" t="s">
        <v>35</v>
      </c>
    </row>
    <row r="583" spans="1:15" s="236" customFormat="1" x14ac:dyDescent="0.3">
      <c r="A583" s="242"/>
      <c r="B583" s="242"/>
      <c r="C583" s="242"/>
      <c r="D583" s="242"/>
      <c r="E583" s="242"/>
      <c r="F583" s="242"/>
      <c r="G583" s="242"/>
      <c r="H583" s="242"/>
      <c r="I583" s="242"/>
      <c r="J583" s="242"/>
      <c r="K583" s="242"/>
      <c r="L583" s="242"/>
      <c r="M583" s="242"/>
      <c r="N583" s="242"/>
      <c r="O583" s="242"/>
    </row>
    <row r="584" spans="1:15" s="236" customFormat="1" x14ac:dyDescent="0.3">
      <c r="A584" s="241" t="str">
        <f>name!A37</f>
        <v>Land transport, etc</v>
      </c>
      <c r="B584" s="375">
        <f>$B$6</f>
        <v>2015</v>
      </c>
      <c r="C584" s="375"/>
      <c r="D584" s="375"/>
      <c r="E584" s="375"/>
      <c r="F584" s="263"/>
      <c r="G584" s="375">
        <f>$G$6</f>
        <v>2020</v>
      </c>
      <c r="H584" s="375"/>
      <c r="I584" s="375"/>
      <c r="J584" s="375"/>
      <c r="K584" s="263"/>
      <c r="L584" s="375">
        <f>$L$6</f>
        <v>2035</v>
      </c>
      <c r="M584" s="375"/>
      <c r="N584" s="375"/>
      <c r="O584" s="375"/>
    </row>
    <row r="585" spans="1:15" s="236" customFormat="1" x14ac:dyDescent="0.3">
      <c r="A585" s="254"/>
      <c r="B585" s="268" t="str">
        <f>$B$7</f>
        <v>FT</v>
      </c>
      <c r="C585" s="268" t="str">
        <f>$C$7</f>
        <v>PT</v>
      </c>
      <c r="D585" s="268" t="str">
        <f>$D$7</f>
        <v>SE</v>
      </c>
      <c r="E585" s="268" t="str">
        <f>$E$7</f>
        <v>Total</v>
      </c>
      <c r="F585" s="268"/>
      <c r="G585" s="268" t="str">
        <f>$G$7</f>
        <v>FT</v>
      </c>
      <c r="H585" s="268" t="str">
        <f>$H$7</f>
        <v>PT</v>
      </c>
      <c r="I585" s="268" t="str">
        <f>$I$7</f>
        <v>SE</v>
      </c>
      <c r="J585" s="268" t="str">
        <f>$J$7</f>
        <v>Total</v>
      </c>
      <c r="K585" s="268"/>
      <c r="L585" s="268" t="str">
        <f>$L$7</f>
        <v>FT</v>
      </c>
      <c r="M585" s="268" t="str">
        <f>$M$7</f>
        <v>PT</v>
      </c>
      <c r="N585" s="268" t="str">
        <f>$N$7</f>
        <v>SE</v>
      </c>
      <c r="O585" s="268" t="str">
        <f>$O$7</f>
        <v>Total</v>
      </c>
    </row>
    <row r="586" spans="1:15" s="236" customFormat="1" x14ac:dyDescent="0.3">
      <c r="A586" s="258"/>
      <c r="B586" s="239"/>
      <c r="C586" s="239"/>
      <c r="D586" s="239"/>
      <c r="E586" s="239"/>
      <c r="F586" s="239"/>
      <c r="G586" s="239"/>
      <c r="H586" s="239"/>
      <c r="I586" s="239"/>
      <c r="J586" s="239"/>
      <c r="K586" s="239"/>
      <c r="L586" s="239"/>
      <c r="M586" s="239"/>
      <c r="N586" s="239"/>
      <c r="O586" s="239"/>
    </row>
    <row r="587" spans="1:15" s="236" customFormat="1" x14ac:dyDescent="0.3">
      <c r="A587" s="237" t="str">
        <f>name!E$4</f>
        <v>Managers, directors and senior officials</v>
      </c>
      <c r="B587" s="302">
        <v>2.5097127663371466</v>
      </c>
      <c r="C587" s="302">
        <v>0.15399462285502916</v>
      </c>
      <c r="D587" s="302">
        <v>1.0804444793373271</v>
      </c>
      <c r="E587" s="302">
        <f>SUM(B587:D587)</f>
        <v>3.744151868529503</v>
      </c>
      <c r="F587" s="303"/>
      <c r="G587" s="302">
        <v>3.3709044763878371</v>
      </c>
      <c r="H587" s="302">
        <v>0.33632043199016842</v>
      </c>
      <c r="I587" s="302">
        <v>1.7946844619494309</v>
      </c>
      <c r="J587" s="302">
        <f>SUM(G587:I587)</f>
        <v>5.5019093703274358</v>
      </c>
      <c r="K587" s="303"/>
      <c r="L587" s="302">
        <v>3.9796763589174486</v>
      </c>
      <c r="M587" s="302">
        <v>0.44251514566334382</v>
      </c>
      <c r="N587" s="302">
        <v>2.2310894091831286</v>
      </c>
      <c r="O587" s="302">
        <f>SUM(L587:N587)</f>
        <v>6.6532809137639219</v>
      </c>
    </row>
    <row r="588" spans="1:15" s="236" customFormat="1" x14ac:dyDescent="0.3">
      <c r="A588" s="237" t="str">
        <f>name!E$5</f>
        <v>Professional occupations</v>
      </c>
      <c r="B588" s="302">
        <v>2.1931122769820508</v>
      </c>
      <c r="C588" s="302">
        <v>0.24938672366498293</v>
      </c>
      <c r="D588" s="302">
        <v>0.38130764144703766</v>
      </c>
      <c r="E588" s="302">
        <f t="shared" ref="E588:E595" si="259">SUM(B588:D588)</f>
        <v>2.8238066420940715</v>
      </c>
      <c r="F588" s="303"/>
      <c r="G588" s="302">
        <v>3.4885641168321091</v>
      </c>
      <c r="H588" s="302">
        <v>0.61128267552776039</v>
      </c>
      <c r="I588" s="302">
        <v>0.54449347356905098</v>
      </c>
      <c r="J588" s="302">
        <f t="shared" ref="J588:J590" si="260">SUM(G588:I588)</f>
        <v>4.6443402659289204</v>
      </c>
      <c r="K588" s="303"/>
      <c r="L588" s="302">
        <v>4.7797496333156939</v>
      </c>
      <c r="M588" s="302">
        <v>1.1962165102979967</v>
      </c>
      <c r="N588" s="302">
        <v>0.55662238297007849</v>
      </c>
      <c r="O588" s="302">
        <f t="shared" ref="O588:O595" si="261">SUM(L588:N588)</f>
        <v>6.5325885265837691</v>
      </c>
    </row>
    <row r="589" spans="1:15" s="236" customFormat="1" x14ac:dyDescent="0.3">
      <c r="A589" s="237" t="str">
        <f>name!E$6</f>
        <v>Associate professional occupations</v>
      </c>
      <c r="B589" s="302">
        <v>2.3222160568892569</v>
      </c>
      <c r="C589" s="302">
        <v>0.2447686498650346</v>
      </c>
      <c r="D589" s="302">
        <v>0.14764770060566682</v>
      </c>
      <c r="E589" s="302">
        <f t="shared" si="259"/>
        <v>2.7146324073599586</v>
      </c>
      <c r="F589" s="303"/>
      <c r="G589" s="302">
        <v>3.3093553290080613</v>
      </c>
      <c r="H589" s="302">
        <v>0.47789259220756969</v>
      </c>
      <c r="I589" s="302">
        <v>0.27206369852277462</v>
      </c>
      <c r="J589" s="302">
        <f t="shared" si="260"/>
        <v>4.0593116197384056</v>
      </c>
      <c r="K589" s="303"/>
      <c r="L589" s="302">
        <v>3.6198416577539172</v>
      </c>
      <c r="M589" s="302">
        <v>0.6342014340937514</v>
      </c>
      <c r="N589" s="302">
        <v>0.25650530712908604</v>
      </c>
      <c r="O589" s="302">
        <f t="shared" si="261"/>
        <v>4.5105483989767547</v>
      </c>
    </row>
    <row r="590" spans="1:15" s="236" customFormat="1" x14ac:dyDescent="0.3">
      <c r="A590" s="237" t="str">
        <f>name!E$7</f>
        <v>Administrative and secretarial occupations</v>
      </c>
      <c r="B590" s="302">
        <v>3.6011505943427666</v>
      </c>
      <c r="C590" s="302">
        <v>0.93799276393784636</v>
      </c>
      <c r="D590" s="302">
        <v>0.1262231369716002</v>
      </c>
      <c r="E590" s="302">
        <f t="shared" si="259"/>
        <v>4.6653664952522131</v>
      </c>
      <c r="F590" s="303"/>
      <c r="G590" s="302">
        <v>4.5995651739838905</v>
      </c>
      <c r="H590" s="302">
        <v>1.2896864462559396</v>
      </c>
      <c r="I590" s="302">
        <v>0.41860749415829468</v>
      </c>
      <c r="J590" s="302">
        <f t="shared" si="260"/>
        <v>6.3078591143981244</v>
      </c>
      <c r="K590" s="303"/>
      <c r="L590" s="302">
        <v>4.4312587161591344</v>
      </c>
      <c r="M590" s="302">
        <v>0.87422206535256541</v>
      </c>
      <c r="N590" s="302">
        <v>0.28970256600744743</v>
      </c>
      <c r="O590" s="302">
        <f t="shared" si="261"/>
        <v>5.5951833475191473</v>
      </c>
    </row>
    <row r="591" spans="1:15" s="236" customFormat="1" x14ac:dyDescent="0.3">
      <c r="A591" s="237" t="str">
        <f>name!E$8</f>
        <v>Skilled trades occupations</v>
      </c>
      <c r="B591" s="302">
        <v>3.2966916773853372</v>
      </c>
      <c r="C591" s="302">
        <v>0.26573484485917664</v>
      </c>
      <c r="D591" s="302">
        <v>1.6901238824706659</v>
      </c>
      <c r="E591" s="302">
        <f t="shared" si="259"/>
        <v>5.2525504047151799</v>
      </c>
      <c r="F591" s="303"/>
      <c r="G591" s="302">
        <v>3.0490200688834852</v>
      </c>
      <c r="H591" s="302">
        <v>0.28513523910155125</v>
      </c>
      <c r="I591" s="302">
        <v>1.4039053447700309</v>
      </c>
      <c r="J591" s="302">
        <f>SUM(G591:I591)</f>
        <v>4.7380606527550677</v>
      </c>
      <c r="K591" s="303"/>
      <c r="L591" s="302">
        <v>2.5206046534997055</v>
      </c>
      <c r="M591" s="302">
        <v>0.51753152844682826</v>
      </c>
      <c r="N591" s="302">
        <v>1.5879125116279711</v>
      </c>
      <c r="O591" s="302">
        <f t="shared" si="261"/>
        <v>4.6260486935745053</v>
      </c>
    </row>
    <row r="592" spans="1:15" s="236" customFormat="1" x14ac:dyDescent="0.3">
      <c r="A592" s="237" t="str">
        <f>name!E$9</f>
        <v>Caring, leisure and other service occupations</v>
      </c>
      <c r="B592" s="302">
        <v>0.94305784085865851</v>
      </c>
      <c r="C592" s="302">
        <v>0.79909091559078604</v>
      </c>
      <c r="D592" s="302">
        <v>0.12648736757635806</v>
      </c>
      <c r="E592" s="302">
        <f t="shared" si="259"/>
        <v>1.8686361240258027</v>
      </c>
      <c r="F592" s="303"/>
      <c r="G592" s="302">
        <v>1.1430951494232411</v>
      </c>
      <c r="H592" s="302">
        <v>1.0001360908481798</v>
      </c>
      <c r="I592" s="302">
        <v>0.37570481114286491</v>
      </c>
      <c r="J592" s="302">
        <f t="shared" ref="J592:J595" si="262">SUM(G592:I592)</f>
        <v>2.5189360514142853</v>
      </c>
      <c r="K592" s="303"/>
      <c r="L592" s="302">
        <v>1.3835874803097372</v>
      </c>
      <c r="M592" s="302">
        <v>1.0244452932617241</v>
      </c>
      <c r="N592" s="302">
        <v>0.44411115861001532</v>
      </c>
      <c r="O592" s="302">
        <f t="shared" si="261"/>
        <v>2.8521439321814768</v>
      </c>
    </row>
    <row r="593" spans="1:15" s="236" customFormat="1" x14ac:dyDescent="0.3">
      <c r="A593" s="237" t="str">
        <f>name!E$10</f>
        <v>Sales and customer service occupations</v>
      </c>
      <c r="B593" s="302">
        <v>0.55353796652843812</v>
      </c>
      <c r="C593" s="302">
        <v>0.22079699461190769</v>
      </c>
      <c r="D593" s="302">
        <v>0.19526466772918763</v>
      </c>
      <c r="E593" s="302">
        <f t="shared" si="259"/>
        <v>0.96959962886953344</v>
      </c>
      <c r="F593" s="303"/>
      <c r="G593" s="302">
        <v>0.69353494918534753</v>
      </c>
      <c r="H593" s="302">
        <v>0.38818600073101195</v>
      </c>
      <c r="I593" s="302">
        <v>0.25690390726724449</v>
      </c>
      <c r="J593" s="302">
        <f t="shared" si="262"/>
        <v>1.3386248571836041</v>
      </c>
      <c r="K593" s="303"/>
      <c r="L593" s="302">
        <v>0.90018340605838487</v>
      </c>
      <c r="M593" s="302">
        <v>0.72712752308042539</v>
      </c>
      <c r="N593" s="302">
        <v>0.27118871594414679</v>
      </c>
      <c r="O593" s="302">
        <f t="shared" si="261"/>
        <v>1.8984996450829572</v>
      </c>
    </row>
    <row r="594" spans="1:15" s="236" customFormat="1" x14ac:dyDescent="0.3">
      <c r="A594" s="237" t="str">
        <f>name!E$11</f>
        <v>Process, plant and machine operatives</v>
      </c>
      <c r="B594" s="302">
        <v>22.210350908457389</v>
      </c>
      <c r="C594" s="302">
        <v>3.7903702795244545</v>
      </c>
      <c r="D594" s="302">
        <v>12.867052125984261</v>
      </c>
      <c r="E594" s="302">
        <f t="shared" si="259"/>
        <v>38.867773313966104</v>
      </c>
      <c r="F594" s="303"/>
      <c r="G594" s="302">
        <v>21.457847315673948</v>
      </c>
      <c r="H594" s="302">
        <v>4.6661284980405551</v>
      </c>
      <c r="I594" s="302">
        <v>19.174824958822093</v>
      </c>
      <c r="J594" s="302">
        <f t="shared" si="262"/>
        <v>45.298800772536595</v>
      </c>
      <c r="K594" s="303"/>
      <c r="L594" s="302">
        <v>23.320554478708416</v>
      </c>
      <c r="M594" s="302">
        <v>5.6915981815825578</v>
      </c>
      <c r="N594" s="302">
        <v>24.118430153498437</v>
      </c>
      <c r="O594" s="302">
        <f t="shared" si="261"/>
        <v>53.13058281378941</v>
      </c>
    </row>
    <row r="595" spans="1:15" s="236" customFormat="1" x14ac:dyDescent="0.3">
      <c r="A595" s="237" t="str">
        <f>name!E$12</f>
        <v>Elementary occupations</v>
      </c>
      <c r="B595" s="302">
        <v>2.0191699122559665</v>
      </c>
      <c r="C595" s="302">
        <v>0.57586420523769888</v>
      </c>
      <c r="D595" s="302">
        <v>0.32944899797547533</v>
      </c>
      <c r="E595" s="302">
        <f t="shared" si="259"/>
        <v>2.9244831154691409</v>
      </c>
      <c r="F595" s="303"/>
      <c r="G595" s="302">
        <v>1.8481134208537329</v>
      </c>
      <c r="H595" s="302">
        <v>0.71723202527094287</v>
      </c>
      <c r="I595" s="302">
        <v>0.34881185038882395</v>
      </c>
      <c r="J595" s="302">
        <f t="shared" si="262"/>
        <v>2.9141572965134994</v>
      </c>
      <c r="K595" s="303"/>
      <c r="L595" s="302">
        <v>1.547543615917701</v>
      </c>
      <c r="M595" s="302">
        <v>0.7271423182352319</v>
      </c>
      <c r="N595" s="302">
        <v>0.44143779696713548</v>
      </c>
      <c r="O595" s="302">
        <f t="shared" si="261"/>
        <v>2.7161237311200681</v>
      </c>
    </row>
    <row r="596" spans="1:15" s="236" customFormat="1" x14ac:dyDescent="0.3">
      <c r="A596" s="237"/>
      <c r="B596" s="302"/>
      <c r="C596" s="302"/>
      <c r="D596" s="302"/>
      <c r="E596" s="302"/>
      <c r="F596" s="303"/>
      <c r="G596" s="302"/>
      <c r="H596" s="302"/>
      <c r="I596" s="302"/>
      <c r="J596" s="302"/>
      <c r="K596" s="303"/>
      <c r="L596" s="302"/>
      <c r="M596" s="302"/>
      <c r="N596" s="302"/>
      <c r="O596" s="302"/>
    </row>
    <row r="597" spans="1:15" s="236" customFormat="1" x14ac:dyDescent="0.3">
      <c r="A597" s="244" t="s">
        <v>32</v>
      </c>
      <c r="B597" s="311">
        <f>SUM(B587:B595)</f>
        <v>39.649000000037013</v>
      </c>
      <c r="C597" s="311">
        <f t="shared" ref="C597:E597" si="263">SUM(C587:C595)</f>
        <v>7.2380000001469167</v>
      </c>
      <c r="D597" s="311">
        <f t="shared" si="263"/>
        <v>16.944000000097581</v>
      </c>
      <c r="E597" s="311">
        <f t="shared" si="263"/>
        <v>63.831000000281513</v>
      </c>
      <c r="F597" s="311"/>
      <c r="G597" s="311">
        <f t="shared" ref="G597:J597" si="264">SUM(G587:G595)</f>
        <v>42.960000000231659</v>
      </c>
      <c r="H597" s="311">
        <f t="shared" si="264"/>
        <v>9.77199999997368</v>
      </c>
      <c r="I597" s="311">
        <f t="shared" si="264"/>
        <v>24.59000000059061</v>
      </c>
      <c r="J597" s="311">
        <f t="shared" si="264"/>
        <v>77.322000000795938</v>
      </c>
      <c r="K597" s="311"/>
      <c r="L597" s="311">
        <f t="shared" ref="L597:O597" si="265">SUM(L587:L595)</f>
        <v>46.483000000640146</v>
      </c>
      <c r="M597" s="311">
        <f t="shared" si="265"/>
        <v>11.835000000014427</v>
      </c>
      <c r="N597" s="311">
        <f t="shared" si="265"/>
        <v>30.197000001937447</v>
      </c>
      <c r="O597" s="311">
        <f t="shared" si="265"/>
        <v>88.515000002592004</v>
      </c>
    </row>
    <row r="598" spans="1:15" s="236" customFormat="1" x14ac:dyDescent="0.3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37"/>
      <c r="M598" s="237"/>
      <c r="N598" s="240"/>
    </row>
    <row r="599" spans="1:15" s="236" customFormat="1" x14ac:dyDescent="0.3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37"/>
      <c r="M599" s="237"/>
      <c r="N599" s="240"/>
      <c r="O599" s="251" t="s">
        <v>35</v>
      </c>
    </row>
    <row r="600" spans="1:15" s="236" customFormat="1" x14ac:dyDescent="0.3">
      <c r="A600" s="242"/>
      <c r="B600" s="242"/>
      <c r="C600" s="242"/>
      <c r="D600" s="242"/>
      <c r="E600" s="242"/>
      <c r="F600" s="242"/>
      <c r="G600" s="242"/>
      <c r="H600" s="242"/>
      <c r="I600" s="242"/>
      <c r="J600" s="242"/>
      <c r="K600" s="242"/>
      <c r="L600" s="242"/>
      <c r="M600" s="242"/>
      <c r="N600" s="242"/>
      <c r="O600" s="242"/>
    </row>
    <row r="601" spans="1:15" s="236" customFormat="1" x14ac:dyDescent="0.3">
      <c r="A601" s="241" t="str">
        <f>name!A38</f>
        <v>Water transport</v>
      </c>
      <c r="B601" s="375">
        <f>$B$6</f>
        <v>2015</v>
      </c>
      <c r="C601" s="375"/>
      <c r="D601" s="375"/>
      <c r="E601" s="375"/>
      <c r="F601" s="263"/>
      <c r="G601" s="375">
        <f>$G$6</f>
        <v>2020</v>
      </c>
      <c r="H601" s="375"/>
      <c r="I601" s="375"/>
      <c r="J601" s="375"/>
      <c r="K601" s="263"/>
      <c r="L601" s="375">
        <f>$L$6</f>
        <v>2035</v>
      </c>
      <c r="M601" s="375"/>
      <c r="N601" s="375"/>
      <c r="O601" s="375"/>
    </row>
    <row r="602" spans="1:15" s="236" customFormat="1" x14ac:dyDescent="0.3">
      <c r="A602" s="254"/>
      <c r="B602" s="268" t="str">
        <f>$B$7</f>
        <v>FT</v>
      </c>
      <c r="C602" s="268" t="str">
        <f>$C$7</f>
        <v>PT</v>
      </c>
      <c r="D602" s="268" t="str">
        <f>$D$7</f>
        <v>SE</v>
      </c>
      <c r="E602" s="268" t="str">
        <f>$E$7</f>
        <v>Total</v>
      </c>
      <c r="F602" s="268"/>
      <c r="G602" s="268" t="str">
        <f>$G$7</f>
        <v>FT</v>
      </c>
      <c r="H602" s="268" t="str">
        <f>$H$7</f>
        <v>PT</v>
      </c>
      <c r="I602" s="268" t="str">
        <f>$I$7</f>
        <v>SE</v>
      </c>
      <c r="J602" s="268" t="str">
        <f>$J$7</f>
        <v>Total</v>
      </c>
      <c r="K602" s="268"/>
      <c r="L602" s="268" t="str">
        <f>$L$7</f>
        <v>FT</v>
      </c>
      <c r="M602" s="268" t="str">
        <f>$M$7</f>
        <v>PT</v>
      </c>
      <c r="N602" s="268" t="str">
        <f>$N$7</f>
        <v>SE</v>
      </c>
      <c r="O602" s="268" t="str">
        <f>$O$7</f>
        <v>Total</v>
      </c>
    </row>
    <row r="603" spans="1:15" s="236" customFormat="1" x14ac:dyDescent="0.3">
      <c r="A603" s="258"/>
      <c r="B603" s="239"/>
      <c r="C603" s="239"/>
      <c r="D603" s="239"/>
      <c r="E603" s="239"/>
      <c r="F603" s="239"/>
      <c r="G603" s="239"/>
      <c r="H603" s="239"/>
      <c r="I603" s="239"/>
      <c r="J603" s="239"/>
      <c r="K603" s="239"/>
      <c r="L603" s="239"/>
      <c r="M603" s="239"/>
      <c r="N603" s="239"/>
      <c r="O603" s="239"/>
    </row>
    <row r="604" spans="1:15" s="236" customFormat="1" x14ac:dyDescent="0.3">
      <c r="A604" s="237" t="str">
        <f>name!E$4</f>
        <v>Managers, directors and senior officials</v>
      </c>
      <c r="B604" s="302">
        <v>6.081521432622037E-2</v>
      </c>
      <c r="C604" s="302">
        <v>2.9979691205006282E-2</v>
      </c>
      <c r="D604" s="302">
        <v>3.7685017208036512E-3</v>
      </c>
      <c r="E604" s="302">
        <f>SUM(B604:D604)</f>
        <v>9.4563407252030302E-2</v>
      </c>
      <c r="F604" s="303"/>
      <c r="G604" s="302">
        <v>5.8716499887339763E-2</v>
      </c>
      <c r="H604" s="302">
        <v>2.0854734992173156E-2</v>
      </c>
      <c r="I604" s="302">
        <v>0.10257460894260537</v>
      </c>
      <c r="J604" s="302">
        <f>SUM(G604:I604)</f>
        <v>0.18214584382211829</v>
      </c>
      <c r="K604" s="303"/>
      <c r="L604" s="302">
        <v>5.4952508559620111E-2</v>
      </c>
      <c r="M604" s="302">
        <v>1.9822891242942148E-2</v>
      </c>
      <c r="N604" s="302">
        <v>8.912289917272781E-2</v>
      </c>
      <c r="O604" s="302">
        <f>SUM(L604:N604)</f>
        <v>0.16389829897529007</v>
      </c>
    </row>
    <row r="605" spans="1:15" s="236" customFormat="1" x14ac:dyDescent="0.3">
      <c r="A605" s="237" t="str">
        <f>name!E$5</f>
        <v>Professional occupations</v>
      </c>
      <c r="B605" s="302">
        <v>0.10958051859620842</v>
      </c>
      <c r="C605" s="302">
        <v>2.6233310317937832E-2</v>
      </c>
      <c r="D605" s="302">
        <v>2.7953672586006179E-3</v>
      </c>
      <c r="E605" s="302">
        <f t="shared" ref="E605:E612" si="266">SUM(B605:D605)</f>
        <v>0.13860919617274686</v>
      </c>
      <c r="F605" s="303"/>
      <c r="G605" s="302">
        <v>0.11904789341000889</v>
      </c>
      <c r="H605" s="302">
        <v>1.7382473690722662E-2</v>
      </c>
      <c r="I605" s="302">
        <v>6.2944965751678017E-2</v>
      </c>
      <c r="J605" s="302">
        <f t="shared" ref="J605:J607" si="267">SUM(G605:I605)</f>
        <v>0.19937533285240958</v>
      </c>
      <c r="K605" s="303"/>
      <c r="L605" s="302">
        <v>0.12645561932052587</v>
      </c>
      <c r="M605" s="302">
        <v>1.8913781044175168E-2</v>
      </c>
      <c r="N605" s="302">
        <v>4.4790935014338319E-2</v>
      </c>
      <c r="O605" s="302">
        <f t="shared" ref="O605:O612" si="268">SUM(L605:N605)</f>
        <v>0.19016033537903934</v>
      </c>
    </row>
    <row r="606" spans="1:15" s="236" customFormat="1" x14ac:dyDescent="0.3">
      <c r="A606" s="237" t="str">
        <f>name!E$6</f>
        <v>Associate professional occupations</v>
      </c>
      <c r="B606" s="302">
        <v>0.1336386332470299</v>
      </c>
      <c r="C606" s="302">
        <v>2.0790433631971552E-2</v>
      </c>
      <c r="D606" s="302">
        <v>3.2524822951836715E-3</v>
      </c>
      <c r="E606" s="302">
        <f t="shared" si="266"/>
        <v>0.15768154917418514</v>
      </c>
      <c r="F606" s="303"/>
      <c r="G606" s="302">
        <v>0.128726116141827</v>
      </c>
      <c r="H606" s="302">
        <v>1.1967030032806109E-2</v>
      </c>
      <c r="I606" s="302">
        <v>6.7691946992557595E-2</v>
      </c>
      <c r="J606" s="302">
        <f t="shared" si="267"/>
        <v>0.2083850931671907</v>
      </c>
      <c r="K606" s="303"/>
      <c r="L606" s="302">
        <v>0.10384320964796284</v>
      </c>
      <c r="M606" s="302">
        <v>1.0458047847426773E-2</v>
      </c>
      <c r="N606" s="302">
        <v>5.4033513740074771E-2</v>
      </c>
      <c r="O606" s="302">
        <f t="shared" si="268"/>
        <v>0.16833477123546436</v>
      </c>
    </row>
    <row r="607" spans="1:15" s="236" customFormat="1" x14ac:dyDescent="0.3">
      <c r="A607" s="237" t="str">
        <f>name!E$7</f>
        <v>Administrative and secretarial occupations</v>
      </c>
      <c r="B607" s="302">
        <v>9.8333792076917156E-2</v>
      </c>
      <c r="C607" s="302">
        <v>7.595930936067341E-2</v>
      </c>
      <c r="D607" s="302">
        <v>1.7412947517162225E-3</v>
      </c>
      <c r="E607" s="302">
        <f t="shared" si="266"/>
        <v>0.1760343961893068</v>
      </c>
      <c r="F607" s="303"/>
      <c r="G607" s="302">
        <v>8.4249942011169116E-2</v>
      </c>
      <c r="H607" s="302">
        <v>3.3239505976078734E-2</v>
      </c>
      <c r="I607" s="302">
        <v>1.6286928895401374E-2</v>
      </c>
      <c r="J607" s="302">
        <f t="shared" si="267"/>
        <v>0.13377637688264923</v>
      </c>
      <c r="K607" s="303"/>
      <c r="L607" s="302">
        <v>6.5603664477781681E-2</v>
      </c>
      <c r="M607" s="302">
        <v>1.9096100939300514E-2</v>
      </c>
      <c r="N607" s="302">
        <v>1.329184341495623E-2</v>
      </c>
      <c r="O607" s="302">
        <f t="shared" si="268"/>
        <v>9.7991608832038432E-2</v>
      </c>
    </row>
    <row r="608" spans="1:15" s="236" customFormat="1" x14ac:dyDescent="0.3">
      <c r="A608" s="237" t="str">
        <f>name!E$8</f>
        <v>Skilled trades occupations</v>
      </c>
      <c r="B608" s="302">
        <v>1.3414196089422398E-2</v>
      </c>
      <c r="C608" s="302">
        <v>1.3816935622217847E-2</v>
      </c>
      <c r="D608" s="302">
        <v>1.6359003275511332E-3</v>
      </c>
      <c r="E608" s="302">
        <f t="shared" si="266"/>
        <v>2.886703203919138E-2</v>
      </c>
      <c r="F608" s="303"/>
      <c r="G608" s="302">
        <v>9.3584887171834722E-3</v>
      </c>
      <c r="H608" s="302">
        <v>4.376045262069095E-3</v>
      </c>
      <c r="I608" s="302">
        <v>2.1273147444797105E-2</v>
      </c>
      <c r="J608" s="302">
        <f>SUM(G608:I608)</f>
        <v>3.5007681424049669E-2</v>
      </c>
      <c r="K608" s="303"/>
      <c r="L608" s="302">
        <v>5.8063217489313333E-3</v>
      </c>
      <c r="M608" s="302">
        <v>3.420565093124692E-3</v>
      </c>
      <c r="N608" s="302">
        <v>7.7625341366501718E-3</v>
      </c>
      <c r="O608" s="302">
        <f t="shared" si="268"/>
        <v>1.6989420978706198E-2</v>
      </c>
    </row>
    <row r="609" spans="1:15" s="236" customFormat="1" x14ac:dyDescent="0.3">
      <c r="A609" s="237" t="str">
        <f>name!E$9</f>
        <v>Caring, leisure and other service occupations</v>
      </c>
      <c r="B609" s="302">
        <v>2.3121700150014635E-2</v>
      </c>
      <c r="C609" s="302">
        <v>3.3834184486074052E-2</v>
      </c>
      <c r="D609" s="302">
        <v>8.2641597379376627E-4</v>
      </c>
      <c r="E609" s="302">
        <f t="shared" si="266"/>
        <v>5.7782300609882452E-2</v>
      </c>
      <c r="F609" s="303"/>
      <c r="G609" s="302">
        <v>1.7288428146532996E-2</v>
      </c>
      <c r="H609" s="302">
        <v>1.2480419365872093E-2</v>
      </c>
      <c r="I609" s="302">
        <v>7.1579927196336081E-3</v>
      </c>
      <c r="J609" s="302">
        <f t="shared" ref="J609:J612" si="269">SUM(G609:I609)</f>
        <v>3.6926840232038696E-2</v>
      </c>
      <c r="K609" s="303"/>
      <c r="L609" s="302">
        <v>1.4315929701158959E-2</v>
      </c>
      <c r="M609" s="302">
        <v>9.187615106708371E-3</v>
      </c>
      <c r="N609" s="302">
        <v>7.9168620175627535E-3</v>
      </c>
      <c r="O609" s="302">
        <f t="shared" si="268"/>
        <v>3.1420406825430083E-2</v>
      </c>
    </row>
    <row r="610" spans="1:15" s="236" customFormat="1" x14ac:dyDescent="0.3">
      <c r="A610" s="237" t="str">
        <f>name!E$10</f>
        <v>Sales and customer service occupations</v>
      </c>
      <c r="B610" s="302">
        <v>2.7548501775031108E-2</v>
      </c>
      <c r="C610" s="302">
        <v>1.6778607410526534E-2</v>
      </c>
      <c r="D610" s="302">
        <v>5.0267005423062518E-4</v>
      </c>
      <c r="E610" s="302">
        <f t="shared" si="266"/>
        <v>4.4829779239788266E-2</v>
      </c>
      <c r="F610" s="303"/>
      <c r="G610" s="302">
        <v>2.2551217676240774E-2</v>
      </c>
      <c r="H610" s="302">
        <v>8.1576784154451451E-3</v>
      </c>
      <c r="I610" s="302">
        <v>6.7527093764805065E-3</v>
      </c>
      <c r="J610" s="302">
        <f t="shared" si="269"/>
        <v>3.7461605468166424E-2</v>
      </c>
      <c r="K610" s="303"/>
      <c r="L610" s="302">
        <v>2.1027636251421834E-2</v>
      </c>
      <c r="M610" s="302">
        <v>7.3349238670385496E-3</v>
      </c>
      <c r="N610" s="302">
        <v>5.7356496656139674E-3</v>
      </c>
      <c r="O610" s="302">
        <f t="shared" si="268"/>
        <v>3.4098209784074351E-2</v>
      </c>
    </row>
    <row r="611" spans="1:15" s="236" customFormat="1" x14ac:dyDescent="0.3">
      <c r="A611" s="237" t="str">
        <f>name!E$11</f>
        <v>Process, plant and machine operatives</v>
      </c>
      <c r="B611" s="302">
        <v>1.9413824081595758E-2</v>
      </c>
      <c r="C611" s="302">
        <v>2.6877915372065252E-2</v>
      </c>
      <c r="D611" s="302">
        <v>1.5780034930586912E-3</v>
      </c>
      <c r="E611" s="302">
        <f t="shared" si="266"/>
        <v>4.7869742946719702E-2</v>
      </c>
      <c r="F611" s="303"/>
      <c r="G611" s="302">
        <v>1.3122239950796557E-2</v>
      </c>
      <c r="H611" s="302">
        <v>1.0388319336611001E-2</v>
      </c>
      <c r="I611" s="302">
        <v>2.2553186695722569E-2</v>
      </c>
      <c r="J611" s="302">
        <f t="shared" si="269"/>
        <v>4.6063745983130122E-2</v>
      </c>
      <c r="K611" s="303"/>
      <c r="L611" s="302">
        <v>3.9802829965359058E-3</v>
      </c>
      <c r="M611" s="302">
        <v>1.1924232423915961E-2</v>
      </c>
      <c r="N611" s="302">
        <v>1.4113904039344522E-2</v>
      </c>
      <c r="O611" s="302">
        <f t="shared" si="268"/>
        <v>3.0018419459796393E-2</v>
      </c>
    </row>
    <row r="612" spans="1:15" s="236" customFormat="1" x14ac:dyDescent="0.3">
      <c r="A612" s="237" t="str">
        <f>name!E$12</f>
        <v>Elementary occupations</v>
      </c>
      <c r="B612" s="302">
        <v>3.2133619656603114E-2</v>
      </c>
      <c r="C612" s="302">
        <v>2.2729612597405063E-2</v>
      </c>
      <c r="D612" s="302">
        <v>1.8993641254159326E-3</v>
      </c>
      <c r="E612" s="302">
        <f t="shared" si="266"/>
        <v>5.6762596379424109E-2</v>
      </c>
      <c r="F612" s="303"/>
      <c r="G612" s="302">
        <v>2.0939174058010036E-2</v>
      </c>
      <c r="H612" s="302">
        <v>8.1537929267889581E-3</v>
      </c>
      <c r="I612" s="302">
        <v>1.8764513185571159E-2</v>
      </c>
      <c r="J612" s="302">
        <f t="shared" si="269"/>
        <v>4.7857480170370156E-2</v>
      </c>
      <c r="K612" s="303"/>
      <c r="L612" s="302">
        <v>1.0014827295723151E-2</v>
      </c>
      <c r="M612" s="302">
        <v>4.8418424339181703E-3</v>
      </c>
      <c r="N612" s="302">
        <v>1.4231858805499506E-2</v>
      </c>
      <c r="O612" s="302">
        <f t="shared" si="268"/>
        <v>2.908852853514083E-2</v>
      </c>
    </row>
    <row r="613" spans="1:15" s="236" customFormat="1" x14ac:dyDescent="0.3">
      <c r="A613" s="237"/>
      <c r="B613" s="302"/>
      <c r="C613" s="302"/>
      <c r="D613" s="302"/>
      <c r="E613" s="302"/>
      <c r="F613" s="303"/>
      <c r="G613" s="302"/>
      <c r="H613" s="302"/>
      <c r="I613" s="302"/>
      <c r="J613" s="302"/>
      <c r="K613" s="303"/>
      <c r="L613" s="302"/>
      <c r="M613" s="302"/>
      <c r="N613" s="302"/>
      <c r="O613" s="302"/>
    </row>
    <row r="614" spans="1:15" s="236" customFormat="1" x14ac:dyDescent="0.3">
      <c r="A614" s="244" t="s">
        <v>32</v>
      </c>
      <c r="B614" s="311">
        <f>SUM(B604:B612)</f>
        <v>0.51799999999904289</v>
      </c>
      <c r="C614" s="311">
        <f t="shared" ref="C614:E614" si="270">SUM(C604:C612)</f>
        <v>0.2670000000038778</v>
      </c>
      <c r="D614" s="311">
        <f t="shared" si="270"/>
        <v>1.8000000000354312E-2</v>
      </c>
      <c r="E614" s="311">
        <f t="shared" si="270"/>
        <v>0.80300000000327509</v>
      </c>
      <c r="F614" s="311"/>
      <c r="G614" s="311">
        <f t="shared" ref="G614:J614" si="271">SUM(G604:G612)</f>
        <v>0.47399999999910858</v>
      </c>
      <c r="H614" s="311">
        <f t="shared" si="271"/>
        <v>0.12699999999856693</v>
      </c>
      <c r="I614" s="311">
        <f t="shared" si="271"/>
        <v>0.32600000000444729</v>
      </c>
      <c r="J614" s="311">
        <f t="shared" si="271"/>
        <v>0.9270000000021229</v>
      </c>
      <c r="K614" s="311"/>
      <c r="L614" s="311">
        <f t="shared" ref="L614:O614" si="272">SUM(L604:L612)</f>
        <v>0.40599999999966169</v>
      </c>
      <c r="M614" s="311">
        <f t="shared" si="272"/>
        <v>0.10499999999855034</v>
      </c>
      <c r="N614" s="311">
        <f t="shared" si="272"/>
        <v>0.25100000000676803</v>
      </c>
      <c r="O614" s="311">
        <f t="shared" si="272"/>
        <v>0.76200000000498003</v>
      </c>
    </row>
    <row r="615" spans="1:15" s="236" customFormat="1" x14ac:dyDescent="0.3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37"/>
      <c r="M615" s="237"/>
      <c r="N615" s="240"/>
    </row>
    <row r="616" spans="1:15" s="236" customFormat="1" x14ac:dyDescent="0.3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37"/>
      <c r="M616" s="237"/>
      <c r="N616" s="240"/>
      <c r="O616" s="251" t="s">
        <v>35</v>
      </c>
    </row>
    <row r="617" spans="1:15" s="236" customFormat="1" x14ac:dyDescent="0.3">
      <c r="A617" s="242"/>
      <c r="B617" s="242"/>
      <c r="C617" s="242"/>
      <c r="D617" s="242"/>
      <c r="E617" s="242"/>
      <c r="F617" s="242"/>
      <c r="G617" s="242"/>
      <c r="H617" s="242"/>
      <c r="I617" s="242"/>
      <c r="J617" s="242"/>
      <c r="K617" s="242"/>
      <c r="L617" s="242"/>
      <c r="M617" s="242"/>
      <c r="N617" s="242"/>
      <c r="O617" s="242"/>
    </row>
    <row r="618" spans="1:15" s="236" customFormat="1" x14ac:dyDescent="0.3">
      <c r="A618" s="241" t="str">
        <f>name!A39</f>
        <v>Air transport</v>
      </c>
      <c r="B618" s="375">
        <f>$B$6</f>
        <v>2015</v>
      </c>
      <c r="C618" s="375"/>
      <c r="D618" s="375"/>
      <c r="E618" s="375"/>
      <c r="F618" s="263"/>
      <c r="G618" s="375">
        <f>$G$6</f>
        <v>2020</v>
      </c>
      <c r="H618" s="375"/>
      <c r="I618" s="375"/>
      <c r="J618" s="375"/>
      <c r="K618" s="263"/>
      <c r="L618" s="375">
        <f>$L$6</f>
        <v>2035</v>
      </c>
      <c r="M618" s="375"/>
      <c r="N618" s="375"/>
      <c r="O618" s="375"/>
    </row>
    <row r="619" spans="1:15" s="236" customFormat="1" x14ac:dyDescent="0.3">
      <c r="A619" s="254"/>
      <c r="B619" s="268" t="str">
        <f>$B$7</f>
        <v>FT</v>
      </c>
      <c r="C619" s="268" t="str">
        <f>$C$7</f>
        <v>PT</v>
      </c>
      <c r="D619" s="268" t="str">
        <f>$D$7</f>
        <v>SE</v>
      </c>
      <c r="E619" s="268" t="str">
        <f>$E$7</f>
        <v>Total</v>
      </c>
      <c r="F619" s="268"/>
      <c r="G619" s="268" t="str">
        <f>$G$7</f>
        <v>FT</v>
      </c>
      <c r="H619" s="268" t="str">
        <f>$H$7</f>
        <v>PT</v>
      </c>
      <c r="I619" s="268" t="str">
        <f>$I$7</f>
        <v>SE</v>
      </c>
      <c r="J619" s="268" t="str">
        <f>$J$7</f>
        <v>Total</v>
      </c>
      <c r="K619" s="268"/>
      <c r="L619" s="268" t="str">
        <f>$L$7</f>
        <v>FT</v>
      </c>
      <c r="M619" s="268" t="str">
        <f>$M$7</f>
        <v>PT</v>
      </c>
      <c r="N619" s="268" t="str">
        <f>$N$7</f>
        <v>SE</v>
      </c>
      <c r="O619" s="268" t="str">
        <f>$O$7</f>
        <v>Total</v>
      </c>
    </row>
    <row r="620" spans="1:15" s="236" customFormat="1" x14ac:dyDescent="0.3">
      <c r="A620" s="258"/>
      <c r="B620" s="239"/>
      <c r="C620" s="239"/>
      <c r="D620" s="239"/>
      <c r="E620" s="239"/>
      <c r="F620" s="239"/>
      <c r="G620" s="239"/>
      <c r="H620" s="239"/>
      <c r="I620" s="239"/>
      <c r="J620" s="239"/>
      <c r="K620" s="239"/>
      <c r="L620" s="239"/>
      <c r="M620" s="239"/>
      <c r="N620" s="239"/>
      <c r="O620" s="239"/>
    </row>
    <row r="621" spans="1:15" s="236" customFormat="1" x14ac:dyDescent="0.3">
      <c r="A621" s="237" t="str">
        <f>name!E$4</f>
        <v>Managers, directors and senior officials</v>
      </c>
      <c r="B621" s="302">
        <v>0.31814894695636042</v>
      </c>
      <c r="C621" s="302">
        <v>9.7989351250474602E-3</v>
      </c>
      <c r="D621" s="302">
        <v>4.0624494911050951E-3</v>
      </c>
      <c r="E621" s="302">
        <f>SUM(B621:D621)</f>
        <v>0.33201033157251297</v>
      </c>
      <c r="F621" s="303"/>
      <c r="G621" s="302">
        <v>0.38658172455308387</v>
      </c>
      <c r="H621" s="302">
        <v>2.7076854539903293E-2</v>
      </c>
      <c r="I621" s="302">
        <v>8.1902239472092145E-2</v>
      </c>
      <c r="J621" s="302">
        <f>SUM(G621:I621)</f>
        <v>0.49556081856507928</v>
      </c>
      <c r="K621" s="303"/>
      <c r="L621" s="302">
        <v>0.57595945413938776</v>
      </c>
      <c r="M621" s="302">
        <v>4.0861496903750016E-2</v>
      </c>
      <c r="N621" s="302">
        <v>0.1289836675511748</v>
      </c>
      <c r="O621" s="302">
        <f>SUM(L621:N621)</f>
        <v>0.74580461859431257</v>
      </c>
    </row>
    <row r="622" spans="1:15" s="236" customFormat="1" x14ac:dyDescent="0.3">
      <c r="A622" s="237" t="str">
        <f>name!E$5</f>
        <v>Professional occupations</v>
      </c>
      <c r="B622" s="302">
        <v>0.5232270958735642</v>
      </c>
      <c r="C622" s="302">
        <v>1.4881590594879869E-2</v>
      </c>
      <c r="D622" s="302">
        <v>3.5494726720789009E-3</v>
      </c>
      <c r="E622" s="302">
        <f t="shared" ref="E622:E629" si="273">SUM(B622:D622)</f>
        <v>0.54165815914052307</v>
      </c>
      <c r="F622" s="303"/>
      <c r="G622" s="302">
        <v>0.71668904255702193</v>
      </c>
      <c r="H622" s="302">
        <v>4.4344421746896075E-2</v>
      </c>
      <c r="I622" s="302">
        <v>6.3050749588501834E-2</v>
      </c>
      <c r="J622" s="302">
        <f t="shared" ref="J622:J624" si="274">SUM(G622:I622)</f>
        <v>0.82408421389241993</v>
      </c>
      <c r="K622" s="303"/>
      <c r="L622" s="302">
        <v>1.1588787349652343</v>
      </c>
      <c r="M622" s="302">
        <v>8.5254319035462461E-2</v>
      </c>
      <c r="N622" s="302">
        <v>8.0326613482922027E-2</v>
      </c>
      <c r="O622" s="302">
        <f t="shared" ref="O622:O629" si="275">SUM(L622:N622)</f>
        <v>1.3244596674836187</v>
      </c>
    </row>
    <row r="623" spans="1:15" s="236" customFormat="1" x14ac:dyDescent="0.3">
      <c r="A623" s="237" t="str">
        <f>name!E$6</f>
        <v>Associate professional occupations</v>
      </c>
      <c r="B623" s="302">
        <v>0.54391381794625926</v>
      </c>
      <c r="C623" s="302">
        <v>4.2333855745095732E-2</v>
      </c>
      <c r="D623" s="302">
        <v>3.6735480652818012E-3</v>
      </c>
      <c r="E623" s="302">
        <f t="shared" si="273"/>
        <v>0.58992122175663675</v>
      </c>
      <c r="F623" s="303"/>
      <c r="G623" s="302">
        <v>0.69225210563650763</v>
      </c>
      <c r="H623" s="302">
        <v>0.11087689118486398</v>
      </c>
      <c r="I623" s="302">
        <v>6.0293121257391294E-2</v>
      </c>
      <c r="J623" s="302">
        <f t="shared" si="274"/>
        <v>0.8634221180787629</v>
      </c>
      <c r="K623" s="303"/>
      <c r="L623" s="302">
        <v>0.98025259618890914</v>
      </c>
      <c r="M623" s="302">
        <v>0.17523915923940933</v>
      </c>
      <c r="N623" s="302">
        <v>9.4434652384667653E-2</v>
      </c>
      <c r="O623" s="302">
        <f t="shared" si="275"/>
        <v>1.2499264078129861</v>
      </c>
    </row>
    <row r="624" spans="1:15" s="236" customFormat="1" x14ac:dyDescent="0.3">
      <c r="A624" s="237" t="str">
        <f>name!E$7</f>
        <v>Administrative and secretarial occupations</v>
      </c>
      <c r="B624" s="302">
        <v>0.37331335039129804</v>
      </c>
      <c r="C624" s="302">
        <v>4.9653812021580139E-2</v>
      </c>
      <c r="D624" s="302">
        <v>1.2742462297601035E-3</v>
      </c>
      <c r="E624" s="302">
        <f t="shared" si="273"/>
        <v>0.42424140864263826</v>
      </c>
      <c r="F624" s="303"/>
      <c r="G624" s="302">
        <v>0.42404021671545034</v>
      </c>
      <c r="H624" s="302">
        <v>0.10422585052744736</v>
      </c>
      <c r="I624" s="302">
        <v>1.7571660987317161E-2</v>
      </c>
      <c r="J624" s="302">
        <f t="shared" si="274"/>
        <v>0.54583772823021492</v>
      </c>
      <c r="K624" s="303"/>
      <c r="L624" s="302">
        <v>0.57194114719038525</v>
      </c>
      <c r="M624" s="302">
        <v>0.12818753095324772</v>
      </c>
      <c r="N624" s="302">
        <v>2.8953449825107624E-2</v>
      </c>
      <c r="O624" s="302">
        <f t="shared" si="275"/>
        <v>0.72908212796874061</v>
      </c>
    </row>
    <row r="625" spans="1:15" s="236" customFormat="1" x14ac:dyDescent="0.3">
      <c r="A625" s="237" t="str">
        <f>name!E$8</f>
        <v>Skilled trades occupations</v>
      </c>
      <c r="B625" s="302">
        <v>0.3231178795365155</v>
      </c>
      <c r="C625" s="302">
        <v>3.1213342337038489E-2</v>
      </c>
      <c r="D625" s="302">
        <v>3.250121394555946E-3</v>
      </c>
      <c r="E625" s="302">
        <f t="shared" si="273"/>
        <v>0.35758134326810992</v>
      </c>
      <c r="F625" s="303"/>
      <c r="G625" s="302">
        <v>0.26407817678078427</v>
      </c>
      <c r="H625" s="302">
        <v>3.2745633722021321E-2</v>
      </c>
      <c r="I625" s="302">
        <v>4.5872151914967331E-2</v>
      </c>
      <c r="J625" s="302">
        <f>SUM(G625:I625)</f>
        <v>0.34269596241777295</v>
      </c>
      <c r="K625" s="303"/>
      <c r="L625" s="302">
        <v>0.33475190871777605</v>
      </c>
      <c r="M625" s="302">
        <v>5.2975096169028048E-2</v>
      </c>
      <c r="N625" s="302">
        <v>6.207891545947946E-2</v>
      </c>
      <c r="O625" s="302">
        <f t="shared" si="275"/>
        <v>0.44980592034628358</v>
      </c>
    </row>
    <row r="626" spans="1:15" s="236" customFormat="1" x14ac:dyDescent="0.3">
      <c r="A626" s="237" t="str">
        <f>name!E$9</f>
        <v>Caring, leisure and other service occupations</v>
      </c>
      <c r="B626" s="302">
        <v>1.229661318415638</v>
      </c>
      <c r="C626" s="302">
        <v>0.24221002248102222</v>
      </c>
      <c r="D626" s="302">
        <v>1.059762280757844E-3</v>
      </c>
      <c r="E626" s="302">
        <f t="shared" si="273"/>
        <v>1.4729311031774179</v>
      </c>
      <c r="F626" s="303"/>
      <c r="G626" s="302">
        <v>1.1423640211884216</v>
      </c>
      <c r="H626" s="302">
        <v>0.42077495116264874</v>
      </c>
      <c r="I626" s="302">
        <v>1.1428596253680272E-2</v>
      </c>
      <c r="J626" s="302">
        <f t="shared" ref="J626:J629" si="276">SUM(G626:I626)</f>
        <v>1.5745675686047504</v>
      </c>
      <c r="K626" s="303"/>
      <c r="L626" s="302">
        <v>1.581881229883767</v>
      </c>
      <c r="M626" s="302">
        <v>0.68289973053972164</v>
      </c>
      <c r="N626" s="302">
        <v>1.7944847137606686E-2</v>
      </c>
      <c r="O626" s="302">
        <f t="shared" si="275"/>
        <v>2.2827258075610954</v>
      </c>
    </row>
    <row r="627" spans="1:15" s="236" customFormat="1" x14ac:dyDescent="0.3">
      <c r="A627" s="237" t="str">
        <f>name!E$10</f>
        <v>Sales and customer service occupations</v>
      </c>
      <c r="B627" s="302">
        <v>0.12105852188553629</v>
      </c>
      <c r="C627" s="302">
        <v>4.7386769391214952E-2</v>
      </c>
      <c r="D627" s="302">
        <v>7.7960301933488224E-4</v>
      </c>
      <c r="E627" s="302">
        <f t="shared" si="273"/>
        <v>0.16922489429608611</v>
      </c>
      <c r="F627" s="303"/>
      <c r="G627" s="302">
        <v>0.13404613263794679</v>
      </c>
      <c r="H627" s="302">
        <v>0.10186064138053447</v>
      </c>
      <c r="I627" s="302">
        <v>8.9270608297713529E-3</v>
      </c>
      <c r="J627" s="302">
        <f t="shared" si="276"/>
        <v>0.24483383484825261</v>
      </c>
      <c r="K627" s="303"/>
      <c r="L627" s="302">
        <v>0.2141463164839901</v>
      </c>
      <c r="M627" s="302">
        <v>0.21206767472877139</v>
      </c>
      <c r="N627" s="302">
        <v>1.1805376743314736E-2</v>
      </c>
      <c r="O627" s="302">
        <f t="shared" si="275"/>
        <v>0.43801936795607621</v>
      </c>
    </row>
    <row r="628" spans="1:15" s="236" customFormat="1" x14ac:dyDescent="0.3">
      <c r="A628" s="237" t="str">
        <f>name!E$11</f>
        <v>Process, plant and machine operatives</v>
      </c>
      <c r="B628" s="302">
        <v>0.37910734675120561</v>
      </c>
      <c r="C628" s="302">
        <v>4.8417845470777945E-2</v>
      </c>
      <c r="D628" s="302">
        <v>1.5943552569433904E-3</v>
      </c>
      <c r="E628" s="302">
        <f t="shared" si="273"/>
        <v>0.42911954747892694</v>
      </c>
      <c r="F628" s="303"/>
      <c r="G628" s="302">
        <v>0.32316814625165241</v>
      </c>
      <c r="H628" s="302">
        <v>7.5114376925968118E-2</v>
      </c>
      <c r="I628" s="302">
        <v>2.8915621538832176E-2</v>
      </c>
      <c r="J628" s="302">
        <f t="shared" si="276"/>
        <v>0.42719814471645268</v>
      </c>
      <c r="K628" s="303"/>
      <c r="L628" s="302">
        <v>0.48236758523655865</v>
      </c>
      <c r="M628" s="302">
        <v>0.12862024830673449</v>
      </c>
      <c r="N628" s="302">
        <v>4.7803687635665851E-2</v>
      </c>
      <c r="O628" s="302">
        <f t="shared" si="275"/>
        <v>0.65879152117895901</v>
      </c>
    </row>
    <row r="629" spans="1:15" s="236" customFormat="1" x14ac:dyDescent="0.3">
      <c r="A629" s="237" t="str">
        <f>name!E$12</f>
        <v>Elementary occupations</v>
      </c>
      <c r="B629" s="302">
        <v>0.22445172223385085</v>
      </c>
      <c r="C629" s="302">
        <v>3.7103826841012759E-2</v>
      </c>
      <c r="D629" s="302">
        <v>1.7564415904443725E-3</v>
      </c>
      <c r="E629" s="302">
        <f t="shared" si="273"/>
        <v>0.26331199066530797</v>
      </c>
      <c r="F629" s="303"/>
      <c r="G629" s="302">
        <v>0.20978043366165816</v>
      </c>
      <c r="H629" s="302">
        <v>5.4980378808322856E-2</v>
      </c>
      <c r="I629" s="302">
        <v>1.9038798160932752E-2</v>
      </c>
      <c r="J629" s="302">
        <f t="shared" si="276"/>
        <v>0.28379961063091375</v>
      </c>
      <c r="K629" s="303"/>
      <c r="L629" s="302">
        <v>0.27582102720481994</v>
      </c>
      <c r="M629" s="302">
        <v>6.3894744114551469E-2</v>
      </c>
      <c r="N629" s="302">
        <v>2.7668789789754185E-2</v>
      </c>
      <c r="O629" s="302">
        <f t="shared" si="275"/>
        <v>0.3673845611091256</v>
      </c>
    </row>
    <row r="630" spans="1:15" s="236" customFormat="1" x14ac:dyDescent="0.3">
      <c r="A630" s="237"/>
      <c r="B630" s="302"/>
      <c r="C630" s="302"/>
      <c r="D630" s="302"/>
      <c r="E630" s="302"/>
      <c r="F630" s="303"/>
      <c r="G630" s="302"/>
      <c r="H630" s="302"/>
      <c r="I630" s="302"/>
      <c r="J630" s="302"/>
      <c r="K630" s="303"/>
      <c r="L630" s="302"/>
      <c r="M630" s="302"/>
      <c r="N630" s="302"/>
      <c r="O630" s="302"/>
    </row>
    <row r="631" spans="1:15" s="236" customFormat="1" x14ac:dyDescent="0.3">
      <c r="A631" s="244" t="s">
        <v>32</v>
      </c>
      <c r="B631" s="311">
        <f>SUM(B621:B629)</f>
        <v>4.0359999999902278</v>
      </c>
      <c r="C631" s="311">
        <f t="shared" ref="C631:E631" si="277">SUM(C621:C629)</f>
        <v>0.52300000000766955</v>
      </c>
      <c r="D631" s="311">
        <f t="shared" si="277"/>
        <v>2.100000000026233E-2</v>
      </c>
      <c r="E631" s="311">
        <f t="shared" si="277"/>
        <v>4.5799999999981598</v>
      </c>
      <c r="F631" s="311"/>
      <c r="G631" s="311">
        <f t="shared" ref="G631:J631" si="278">SUM(G621:G629)</f>
        <v>4.292999999982527</v>
      </c>
      <c r="H631" s="311">
        <f t="shared" si="278"/>
        <v>0.97199999999860631</v>
      </c>
      <c r="I631" s="311">
        <f t="shared" si="278"/>
        <v>0.33700000000348634</v>
      </c>
      <c r="J631" s="311">
        <f t="shared" si="278"/>
        <v>5.6019999999846197</v>
      </c>
      <c r="K631" s="311"/>
      <c r="L631" s="311">
        <f t="shared" ref="L631:O631" si="279">SUM(L621:L629)</f>
        <v>6.1760000000108288</v>
      </c>
      <c r="M631" s="311">
        <f t="shared" si="279"/>
        <v>1.5699999999906764</v>
      </c>
      <c r="N631" s="311">
        <f t="shared" si="279"/>
        <v>0.50000000000969302</v>
      </c>
      <c r="O631" s="311">
        <f t="shared" si="279"/>
        <v>8.2460000000111968</v>
      </c>
    </row>
    <row r="632" spans="1:15" s="236" customFormat="1" x14ac:dyDescent="0.3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40"/>
    </row>
    <row r="633" spans="1:15" s="236" customFormat="1" x14ac:dyDescent="0.3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37"/>
      <c r="M633" s="237"/>
      <c r="N633" s="240"/>
      <c r="O633" s="251" t="s">
        <v>35</v>
      </c>
    </row>
    <row r="634" spans="1:15" s="236" customFormat="1" x14ac:dyDescent="0.3">
      <c r="A634" s="242"/>
      <c r="B634" s="242"/>
      <c r="C634" s="242"/>
      <c r="D634" s="242"/>
      <c r="E634" s="242"/>
      <c r="F634" s="242"/>
      <c r="G634" s="242"/>
      <c r="H634" s="242"/>
      <c r="I634" s="242"/>
      <c r="J634" s="242"/>
      <c r="K634" s="242"/>
      <c r="L634" s="242"/>
      <c r="M634" s="242"/>
      <c r="N634" s="242"/>
      <c r="O634" s="242"/>
    </row>
    <row r="635" spans="1:15" s="236" customFormat="1" x14ac:dyDescent="0.3">
      <c r="A635" s="241" t="str">
        <f>name!A40</f>
        <v>Warehousing, etc</v>
      </c>
      <c r="B635" s="375">
        <f>$B$6</f>
        <v>2015</v>
      </c>
      <c r="C635" s="375"/>
      <c r="D635" s="375"/>
      <c r="E635" s="375"/>
      <c r="F635" s="263"/>
      <c r="G635" s="375">
        <f>$G$6</f>
        <v>2020</v>
      </c>
      <c r="H635" s="375"/>
      <c r="I635" s="375"/>
      <c r="J635" s="375"/>
      <c r="K635" s="263"/>
      <c r="L635" s="375">
        <f>$L$6</f>
        <v>2035</v>
      </c>
      <c r="M635" s="375"/>
      <c r="N635" s="375"/>
      <c r="O635" s="375"/>
    </row>
    <row r="636" spans="1:15" s="236" customFormat="1" x14ac:dyDescent="0.3">
      <c r="A636" s="254"/>
      <c r="B636" s="268" t="str">
        <f>$B$7</f>
        <v>FT</v>
      </c>
      <c r="C636" s="268" t="str">
        <f>$C$7</f>
        <v>PT</v>
      </c>
      <c r="D636" s="268" t="str">
        <f>$D$7</f>
        <v>SE</v>
      </c>
      <c r="E636" s="268" t="str">
        <f>$E$7</f>
        <v>Total</v>
      </c>
      <c r="F636" s="268"/>
      <c r="G636" s="268" t="str">
        <f>$G$7</f>
        <v>FT</v>
      </c>
      <c r="H636" s="268" t="str">
        <f>$H$7</f>
        <v>PT</v>
      </c>
      <c r="I636" s="268" t="str">
        <f>$I$7</f>
        <v>SE</v>
      </c>
      <c r="J636" s="268" t="str">
        <f>$J$7</f>
        <v>Total</v>
      </c>
      <c r="K636" s="268"/>
      <c r="L636" s="268" t="str">
        <f>$L$7</f>
        <v>FT</v>
      </c>
      <c r="M636" s="268" t="str">
        <f>$M$7</f>
        <v>PT</v>
      </c>
      <c r="N636" s="268" t="str">
        <f>$N$7</f>
        <v>SE</v>
      </c>
      <c r="O636" s="268" t="str">
        <f>$O$7</f>
        <v>Total</v>
      </c>
    </row>
    <row r="637" spans="1:15" s="236" customFormat="1" x14ac:dyDescent="0.3">
      <c r="A637" s="258"/>
      <c r="B637" s="239"/>
      <c r="C637" s="239"/>
      <c r="D637" s="239"/>
      <c r="E637" s="239"/>
      <c r="F637" s="239"/>
      <c r="G637" s="239"/>
      <c r="H637" s="239"/>
      <c r="I637" s="239"/>
      <c r="J637" s="239"/>
      <c r="K637" s="239"/>
      <c r="L637" s="239"/>
      <c r="M637" s="239"/>
      <c r="N637" s="239"/>
      <c r="O637" s="239"/>
    </row>
    <row r="638" spans="1:15" s="236" customFormat="1" x14ac:dyDescent="0.3">
      <c r="A638" s="237" t="str">
        <f>name!E$4</f>
        <v>Managers, directors and senior officials</v>
      </c>
      <c r="B638" s="302">
        <v>4.2821610399021557</v>
      </c>
      <c r="C638" s="302">
        <v>0.29044431666907466</v>
      </c>
      <c r="D638" s="302">
        <v>0.72661131113450705</v>
      </c>
      <c r="E638" s="302">
        <f>SUM(B638:D638)</f>
        <v>5.2992166677057373</v>
      </c>
      <c r="F638" s="303"/>
      <c r="G638" s="302">
        <v>6.1160566518897248</v>
      </c>
      <c r="H638" s="302">
        <v>0.56578790058664841</v>
      </c>
      <c r="I638" s="302">
        <v>1.5038932619946059</v>
      </c>
      <c r="J638" s="302">
        <f>SUM(G638:I638)</f>
        <v>8.1857378144709791</v>
      </c>
      <c r="K638" s="303"/>
      <c r="L638" s="302">
        <v>6.6758495381108034</v>
      </c>
      <c r="M638" s="302">
        <v>0.70468954069060608</v>
      </c>
      <c r="N638" s="302">
        <v>1.3974238292931063</v>
      </c>
      <c r="O638" s="302">
        <f>SUM(L638:N638)</f>
        <v>8.7779629080945156</v>
      </c>
    </row>
    <row r="639" spans="1:15" s="236" customFormat="1" x14ac:dyDescent="0.3">
      <c r="A639" s="237" t="str">
        <f>name!E$5</f>
        <v>Professional occupations</v>
      </c>
      <c r="B639" s="302">
        <v>3.3530634227549863</v>
      </c>
      <c r="C639" s="302">
        <v>0.21874257703511144</v>
      </c>
      <c r="D639" s="302">
        <v>0.22601197271164461</v>
      </c>
      <c r="E639" s="302">
        <f t="shared" ref="E639:E646" si="280">SUM(B639:D639)</f>
        <v>3.7978179725017425</v>
      </c>
      <c r="F639" s="303"/>
      <c r="G639" s="302">
        <v>5.4932262895182342</v>
      </c>
      <c r="H639" s="302">
        <v>0.4594932998464854</v>
      </c>
      <c r="I639" s="302">
        <v>0.40441392548386512</v>
      </c>
      <c r="J639" s="302">
        <f t="shared" ref="J639:J641" si="281">SUM(G639:I639)</f>
        <v>6.3571335148485852</v>
      </c>
      <c r="K639" s="303"/>
      <c r="L639" s="302">
        <v>7.3235649219516779</v>
      </c>
      <c r="M639" s="302">
        <v>0.71709288182208708</v>
      </c>
      <c r="N639" s="302">
        <v>0.27736419826486131</v>
      </c>
      <c r="O639" s="302">
        <f t="shared" ref="O639:O646" si="282">SUM(L639:N639)</f>
        <v>8.3180220020386262</v>
      </c>
    </row>
    <row r="640" spans="1:15" s="236" customFormat="1" x14ac:dyDescent="0.3">
      <c r="A640" s="237" t="str">
        <f>name!E$6</f>
        <v>Associate professional occupations</v>
      </c>
      <c r="B640" s="302">
        <v>2.7315116328314586</v>
      </c>
      <c r="C640" s="302">
        <v>0.2762933833167367</v>
      </c>
      <c r="D640" s="302">
        <v>0.19877030672743379</v>
      </c>
      <c r="E640" s="302">
        <f t="shared" si="280"/>
        <v>3.2065753228756289</v>
      </c>
      <c r="F640" s="303"/>
      <c r="G640" s="302">
        <v>4.1303350899320881</v>
      </c>
      <c r="H640" s="302">
        <v>0.49090657366506696</v>
      </c>
      <c r="I640" s="302">
        <v>0.34580831197900141</v>
      </c>
      <c r="J640" s="302">
        <f t="shared" si="281"/>
        <v>4.967049975576157</v>
      </c>
      <c r="K640" s="303"/>
      <c r="L640" s="302">
        <v>4.4494596692677062</v>
      </c>
      <c r="M640" s="302">
        <v>0.59829643237796992</v>
      </c>
      <c r="N640" s="302">
        <v>0.2544985985266367</v>
      </c>
      <c r="O640" s="302">
        <f t="shared" si="282"/>
        <v>5.3022547001723135</v>
      </c>
    </row>
    <row r="641" spans="1:15" s="236" customFormat="1" x14ac:dyDescent="0.3">
      <c r="A641" s="237" t="str">
        <f>name!E$7</f>
        <v>Administrative and secretarial occupations</v>
      </c>
      <c r="B641" s="302">
        <v>3.428185616571823</v>
      </c>
      <c r="C641" s="302">
        <v>0.88889891185777747</v>
      </c>
      <c r="D641" s="302">
        <v>0.12118155013957375</v>
      </c>
      <c r="E641" s="302">
        <f t="shared" si="280"/>
        <v>4.4382660785691739</v>
      </c>
      <c r="F641" s="303"/>
      <c r="G641" s="302">
        <v>5.0184198202062671</v>
      </c>
      <c r="H641" s="302">
        <v>1.1943622893234225</v>
      </c>
      <c r="I641" s="302">
        <v>0.18062269397415931</v>
      </c>
      <c r="J641" s="302">
        <f t="shared" si="281"/>
        <v>6.3934048035038487</v>
      </c>
      <c r="K641" s="303"/>
      <c r="L641" s="302">
        <v>5.1407440745050934</v>
      </c>
      <c r="M641" s="302">
        <v>1.0205051947536776</v>
      </c>
      <c r="N641" s="302">
        <v>0.16304307521418157</v>
      </c>
      <c r="O641" s="302">
        <f t="shared" si="282"/>
        <v>6.3242923444729531</v>
      </c>
    </row>
    <row r="642" spans="1:15" s="236" customFormat="1" x14ac:dyDescent="0.3">
      <c r="A642" s="237" t="str">
        <f>name!E$8</f>
        <v>Skilled trades occupations</v>
      </c>
      <c r="B642" s="302">
        <v>1.0983526952248073</v>
      </c>
      <c r="C642" s="302">
        <v>0.25616334932531742</v>
      </c>
      <c r="D642" s="302">
        <v>0.17504948814397106</v>
      </c>
      <c r="E642" s="302">
        <f t="shared" si="280"/>
        <v>1.5295655326940958</v>
      </c>
      <c r="F642" s="303"/>
      <c r="G642" s="302">
        <v>1.1232179470211354</v>
      </c>
      <c r="H642" s="302">
        <v>0.25898632841780078</v>
      </c>
      <c r="I642" s="302">
        <v>0.26929845309098804</v>
      </c>
      <c r="J642" s="302">
        <f>SUM(G642:I642)</f>
        <v>1.6515027285299244</v>
      </c>
      <c r="K642" s="303"/>
      <c r="L642" s="302">
        <v>1.1592872899904971</v>
      </c>
      <c r="M642" s="302">
        <v>0.4272859084272625</v>
      </c>
      <c r="N642" s="302">
        <v>0.21443694905065541</v>
      </c>
      <c r="O642" s="302">
        <f t="shared" si="282"/>
        <v>1.801010147468415</v>
      </c>
    </row>
    <row r="643" spans="1:15" s="236" customFormat="1" x14ac:dyDescent="0.3">
      <c r="A643" s="237" t="str">
        <f>name!E$9</f>
        <v>Caring, leisure and other service occupations</v>
      </c>
      <c r="B643" s="302">
        <v>2.1975548696077034</v>
      </c>
      <c r="C643" s="302">
        <v>1.685582715937501</v>
      </c>
      <c r="D643" s="302">
        <v>0.47375397904547023</v>
      </c>
      <c r="E643" s="302">
        <f t="shared" si="280"/>
        <v>4.3568915645906747</v>
      </c>
      <c r="F643" s="303"/>
      <c r="G643" s="302">
        <v>2.8974792344722298</v>
      </c>
      <c r="H643" s="302">
        <v>1.7041191153188906</v>
      </c>
      <c r="I643" s="302">
        <v>0.79418829862266638</v>
      </c>
      <c r="J643" s="302">
        <f t="shared" ref="J643:J646" si="283">SUM(G643:I643)</f>
        <v>5.3957866484137869</v>
      </c>
      <c r="K643" s="303"/>
      <c r="L643" s="302">
        <v>3.035143863933528</v>
      </c>
      <c r="M643" s="302">
        <v>1.8342138983651552</v>
      </c>
      <c r="N643" s="302">
        <v>0.97696299382609531</v>
      </c>
      <c r="O643" s="302">
        <f t="shared" si="282"/>
        <v>5.8463207561247792</v>
      </c>
    </row>
    <row r="644" spans="1:15" s="236" customFormat="1" x14ac:dyDescent="0.3">
      <c r="A644" s="237" t="str">
        <f>name!E$10</f>
        <v>Sales and customer service occupations</v>
      </c>
      <c r="B644" s="302">
        <v>1.6427772915855239</v>
      </c>
      <c r="C644" s="302">
        <v>0.35493469300453317</v>
      </c>
      <c r="D644" s="302">
        <v>0.1365160870649699</v>
      </c>
      <c r="E644" s="302">
        <f t="shared" si="280"/>
        <v>2.134228071655027</v>
      </c>
      <c r="F644" s="303"/>
      <c r="G644" s="302">
        <v>2.1701563254864094</v>
      </c>
      <c r="H644" s="302">
        <v>0.49779947792156587</v>
      </c>
      <c r="I644" s="302">
        <v>0.20811906854780585</v>
      </c>
      <c r="J644" s="302">
        <f t="shared" si="283"/>
        <v>2.8760748719557814</v>
      </c>
      <c r="K644" s="303"/>
      <c r="L644" s="302">
        <v>2.5521121766372397</v>
      </c>
      <c r="M644" s="302">
        <v>0.71811235087303593</v>
      </c>
      <c r="N644" s="302">
        <v>0.16102647864749139</v>
      </c>
      <c r="O644" s="302">
        <f t="shared" si="282"/>
        <v>3.4312510061577672</v>
      </c>
    </row>
    <row r="645" spans="1:15" s="236" customFormat="1" x14ac:dyDescent="0.3">
      <c r="A645" s="237" t="str">
        <f>name!E$11</f>
        <v>Process, plant and machine operatives</v>
      </c>
      <c r="B645" s="302">
        <v>7.6731588347372917</v>
      </c>
      <c r="C645" s="302">
        <v>1.0025779480340204</v>
      </c>
      <c r="D645" s="302">
        <v>0.22958012965763783</v>
      </c>
      <c r="E645" s="302">
        <f t="shared" si="280"/>
        <v>8.9053169124289493</v>
      </c>
      <c r="F645" s="303"/>
      <c r="G645" s="302">
        <v>8.0977592143996198</v>
      </c>
      <c r="H645" s="302">
        <v>1.4736811865362376</v>
      </c>
      <c r="I645" s="302">
        <v>0.53884254905563933</v>
      </c>
      <c r="J645" s="302">
        <f t="shared" si="283"/>
        <v>10.110282949991497</v>
      </c>
      <c r="K645" s="303"/>
      <c r="L645" s="302">
        <v>8.9778483809926914</v>
      </c>
      <c r="M645" s="302">
        <v>1.9339755828491036</v>
      </c>
      <c r="N645" s="302">
        <v>0.56033039947192576</v>
      </c>
      <c r="O645" s="302">
        <f t="shared" si="282"/>
        <v>11.472154363313722</v>
      </c>
    </row>
    <row r="646" spans="1:15" s="236" customFormat="1" x14ac:dyDescent="0.3">
      <c r="A646" s="237" t="str">
        <f>name!E$12</f>
        <v>Elementary occupations</v>
      </c>
      <c r="B646" s="302">
        <v>8.5932345968183768</v>
      </c>
      <c r="C646" s="302">
        <v>1.313362104917756</v>
      </c>
      <c r="D646" s="302">
        <v>0.11552517541731307</v>
      </c>
      <c r="E646" s="302">
        <f t="shared" si="280"/>
        <v>10.022121877153445</v>
      </c>
      <c r="F646" s="303"/>
      <c r="G646" s="302">
        <v>8.3283494272067955</v>
      </c>
      <c r="H646" s="302">
        <v>1.4058638283950067</v>
      </c>
      <c r="I646" s="302">
        <v>0.17581343732877475</v>
      </c>
      <c r="J646" s="302">
        <f t="shared" si="283"/>
        <v>9.9100266929305754</v>
      </c>
      <c r="K646" s="303"/>
      <c r="L646" s="302">
        <v>6.202990085052253</v>
      </c>
      <c r="M646" s="302">
        <v>1.0468282098582931</v>
      </c>
      <c r="N646" s="302">
        <v>0.17291347785694247</v>
      </c>
      <c r="O646" s="302">
        <f t="shared" si="282"/>
        <v>7.4227317727674889</v>
      </c>
    </row>
    <row r="647" spans="1:15" s="236" customFormat="1" x14ac:dyDescent="0.3">
      <c r="A647" s="237"/>
      <c r="B647" s="302"/>
      <c r="C647" s="302"/>
      <c r="D647" s="302"/>
      <c r="E647" s="302"/>
      <c r="F647" s="303"/>
      <c r="G647" s="302"/>
      <c r="H647" s="302"/>
      <c r="I647" s="302"/>
      <c r="J647" s="302"/>
      <c r="K647" s="303"/>
      <c r="L647" s="302"/>
      <c r="M647" s="302"/>
      <c r="N647" s="302"/>
      <c r="O647" s="302"/>
    </row>
    <row r="648" spans="1:15" s="236" customFormat="1" x14ac:dyDescent="0.3">
      <c r="A648" s="244" t="s">
        <v>32</v>
      </c>
      <c r="B648" s="311">
        <f>SUM(B638:B646)</f>
        <v>35.000000000034127</v>
      </c>
      <c r="C648" s="311">
        <f t="shared" ref="C648:E648" si="284">SUM(C638:C646)</f>
        <v>6.2870000000978283</v>
      </c>
      <c r="D648" s="311">
        <f t="shared" si="284"/>
        <v>2.4030000000425211</v>
      </c>
      <c r="E648" s="311">
        <f t="shared" si="284"/>
        <v>43.690000000174479</v>
      </c>
      <c r="F648" s="311"/>
      <c r="G648" s="311">
        <f t="shared" ref="G648:J648" si="285">SUM(G638:G646)</f>
        <v>43.375000000132502</v>
      </c>
      <c r="H648" s="311">
        <f t="shared" si="285"/>
        <v>8.0510000000111237</v>
      </c>
      <c r="I648" s="311">
        <f t="shared" si="285"/>
        <v>4.4210000000775063</v>
      </c>
      <c r="J648" s="311">
        <f t="shared" si="285"/>
        <v>55.847000000221129</v>
      </c>
      <c r="K648" s="311"/>
      <c r="L648" s="311">
        <f t="shared" ref="L648:O648" si="286">SUM(L638:L646)</f>
        <v>45.517000000441499</v>
      </c>
      <c r="M648" s="311">
        <f t="shared" si="286"/>
        <v>9.001000000017191</v>
      </c>
      <c r="N648" s="311">
        <f t="shared" si="286"/>
        <v>4.1780000001518971</v>
      </c>
      <c r="O648" s="311">
        <f t="shared" si="286"/>
        <v>58.696000000610574</v>
      </c>
    </row>
    <row r="649" spans="1:15" s="236" customFormat="1" x14ac:dyDescent="0.3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37"/>
      <c r="M649" s="237"/>
      <c r="N649" s="240"/>
    </row>
    <row r="650" spans="1:15" s="236" customFormat="1" x14ac:dyDescent="0.3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37"/>
      <c r="M650" s="237"/>
      <c r="N650" s="240"/>
      <c r="O650" s="251" t="s">
        <v>35</v>
      </c>
    </row>
    <row r="651" spans="1:15" s="236" customFormat="1" x14ac:dyDescent="0.3">
      <c r="A651" s="242"/>
      <c r="B651" s="242"/>
      <c r="C651" s="242"/>
      <c r="D651" s="242"/>
      <c r="E651" s="242"/>
      <c r="F651" s="242"/>
      <c r="G651" s="242"/>
      <c r="H651" s="242"/>
      <c r="I651" s="242"/>
      <c r="J651" s="242"/>
      <c r="K651" s="242"/>
      <c r="L651" s="242"/>
      <c r="M651" s="242"/>
      <c r="N651" s="242"/>
      <c r="O651" s="242"/>
    </row>
    <row r="652" spans="1:15" s="236" customFormat="1" x14ac:dyDescent="0.3">
      <c r="A652" s="241" t="str">
        <f>name!A41</f>
        <v>Postal and courier</v>
      </c>
      <c r="B652" s="375">
        <f>$B$6</f>
        <v>2015</v>
      </c>
      <c r="C652" s="375"/>
      <c r="D652" s="375"/>
      <c r="E652" s="375"/>
      <c r="F652" s="263"/>
      <c r="G652" s="375">
        <f>$G$6</f>
        <v>2020</v>
      </c>
      <c r="H652" s="375"/>
      <c r="I652" s="375"/>
      <c r="J652" s="375"/>
      <c r="K652" s="263"/>
      <c r="L652" s="375">
        <f>$L$6</f>
        <v>2035</v>
      </c>
      <c r="M652" s="375"/>
      <c r="N652" s="375"/>
      <c r="O652" s="375"/>
    </row>
    <row r="653" spans="1:15" s="236" customFormat="1" x14ac:dyDescent="0.3">
      <c r="A653" s="254"/>
      <c r="B653" s="268" t="str">
        <f>$B$7</f>
        <v>FT</v>
      </c>
      <c r="C653" s="268" t="str">
        <f>$C$7</f>
        <v>PT</v>
      </c>
      <c r="D653" s="268" t="str">
        <f>$D$7</f>
        <v>SE</v>
      </c>
      <c r="E653" s="268" t="str">
        <f>$E$7</f>
        <v>Total</v>
      </c>
      <c r="F653" s="268"/>
      <c r="G653" s="268" t="str">
        <f>$G$7</f>
        <v>FT</v>
      </c>
      <c r="H653" s="268" t="str">
        <f>$H$7</f>
        <v>PT</v>
      </c>
      <c r="I653" s="268" t="str">
        <f>$I$7</f>
        <v>SE</v>
      </c>
      <c r="J653" s="268" t="str">
        <f>$J$7</f>
        <v>Total</v>
      </c>
      <c r="K653" s="268"/>
      <c r="L653" s="268" t="str">
        <f>$L$7</f>
        <v>FT</v>
      </c>
      <c r="M653" s="268" t="str">
        <f>$M$7</f>
        <v>PT</v>
      </c>
      <c r="N653" s="268" t="str">
        <f>$N$7</f>
        <v>SE</v>
      </c>
      <c r="O653" s="268" t="str">
        <f>$O$7</f>
        <v>Total</v>
      </c>
    </row>
    <row r="654" spans="1:15" s="236" customFormat="1" x14ac:dyDescent="0.3">
      <c r="A654" s="258"/>
      <c r="B654" s="239"/>
      <c r="C654" s="239"/>
      <c r="D654" s="239"/>
      <c r="E654" s="239"/>
      <c r="F654" s="239"/>
      <c r="G654" s="239"/>
      <c r="H654" s="239"/>
      <c r="I654" s="239"/>
      <c r="J654" s="239"/>
      <c r="K654" s="239"/>
      <c r="L654" s="239"/>
      <c r="M654" s="239"/>
      <c r="N654" s="239"/>
      <c r="O654" s="239"/>
    </row>
    <row r="655" spans="1:15" s="236" customFormat="1" x14ac:dyDescent="0.3">
      <c r="A655" s="237" t="str">
        <f>name!E$4</f>
        <v>Managers, directors and senior officials</v>
      </c>
      <c r="B655" s="302">
        <v>1.6587668493795371</v>
      </c>
      <c r="C655" s="302">
        <v>9.5545037669534011E-2</v>
      </c>
      <c r="D655" s="302">
        <v>0.16660886116718654</v>
      </c>
      <c r="E655" s="302">
        <f>SUM(B655:D655)</f>
        <v>1.9209207482162576</v>
      </c>
      <c r="F655" s="303"/>
      <c r="G655" s="302">
        <v>2.0600071805003735</v>
      </c>
      <c r="H655" s="302">
        <v>0.14983343436166072</v>
      </c>
      <c r="I655" s="302">
        <v>0.65220840534496571</v>
      </c>
      <c r="J655" s="302">
        <f>SUM(G655:I655)</f>
        <v>2.8620490202069995</v>
      </c>
      <c r="K655" s="303"/>
      <c r="L655" s="302">
        <v>2.5075620033410613</v>
      </c>
      <c r="M655" s="302">
        <v>0.22980464806572951</v>
      </c>
      <c r="N655" s="302">
        <v>0.50233994580938457</v>
      </c>
      <c r="O655" s="302">
        <f>SUM(L655:N655)</f>
        <v>3.2397065972161756</v>
      </c>
    </row>
    <row r="656" spans="1:15" s="236" customFormat="1" x14ac:dyDescent="0.3">
      <c r="A656" s="237" t="str">
        <f>name!E$5</f>
        <v>Professional occupations</v>
      </c>
      <c r="B656" s="302">
        <v>0.99614950732692442</v>
      </c>
      <c r="C656" s="302">
        <v>8.6586047311141986E-2</v>
      </c>
      <c r="D656" s="302">
        <v>6.3724735264687804E-2</v>
      </c>
      <c r="E656" s="302">
        <f t="shared" ref="E656:E663" si="287">SUM(B656:D656)</f>
        <v>1.1464602899027541</v>
      </c>
      <c r="F656" s="303"/>
      <c r="G656" s="302">
        <v>1.450881647421945</v>
      </c>
      <c r="H656" s="302">
        <v>0.13356133328631084</v>
      </c>
      <c r="I656" s="302">
        <v>0.16754730884404789</v>
      </c>
      <c r="J656" s="302">
        <f t="shared" ref="J656:J658" si="288">SUM(G656:I656)</f>
        <v>1.7519902895523036</v>
      </c>
      <c r="K656" s="303"/>
      <c r="L656" s="302">
        <v>1.814493866371701</v>
      </c>
      <c r="M656" s="302">
        <v>0.21674772401084488</v>
      </c>
      <c r="N656" s="302">
        <v>0.12671979665664362</v>
      </c>
      <c r="O656" s="302">
        <f t="shared" ref="O656:O663" si="289">SUM(L656:N656)</f>
        <v>2.1579613870391898</v>
      </c>
    </row>
    <row r="657" spans="1:15" s="236" customFormat="1" x14ac:dyDescent="0.3">
      <c r="A657" s="237" t="str">
        <f>name!E$6</f>
        <v>Associate professional occupations</v>
      </c>
      <c r="B657" s="302">
        <v>1.1785055644554741</v>
      </c>
      <c r="C657" s="302">
        <v>0.16113233510435823</v>
      </c>
      <c r="D657" s="302">
        <v>3.7375927236503105E-2</v>
      </c>
      <c r="E657" s="302">
        <f t="shared" si="287"/>
        <v>1.3770138267963354</v>
      </c>
      <c r="F657" s="303"/>
      <c r="G657" s="302">
        <v>1.4648051554410195</v>
      </c>
      <c r="H657" s="302">
        <v>0.18318591154911604</v>
      </c>
      <c r="I657" s="302">
        <v>0.12120622213179696</v>
      </c>
      <c r="J657" s="302">
        <f t="shared" si="288"/>
        <v>1.7691972891219325</v>
      </c>
      <c r="K657" s="303"/>
      <c r="L657" s="302">
        <v>1.580447137747605</v>
      </c>
      <c r="M657" s="302">
        <v>0.25430505934086439</v>
      </c>
      <c r="N657" s="302">
        <v>9.8043655564009416E-2</v>
      </c>
      <c r="O657" s="302">
        <f t="shared" si="289"/>
        <v>1.9327958526524789</v>
      </c>
    </row>
    <row r="658" spans="1:15" s="236" customFormat="1" x14ac:dyDescent="0.3">
      <c r="A658" s="237" t="str">
        <f>name!E$7</f>
        <v>Administrative and secretarial occupations</v>
      </c>
      <c r="B658" s="302">
        <v>2.3969888980723</v>
      </c>
      <c r="C658" s="302">
        <v>1.4908942919414898</v>
      </c>
      <c r="D658" s="302">
        <v>2.2590901867606511E-2</v>
      </c>
      <c r="E658" s="302">
        <f t="shared" si="287"/>
        <v>3.9104740918813965</v>
      </c>
      <c r="F658" s="303"/>
      <c r="G658" s="302">
        <v>2.6769862858738658</v>
      </c>
      <c r="H658" s="302">
        <v>1.388492765491308</v>
      </c>
      <c r="I658" s="302">
        <v>8.4753132843254711E-2</v>
      </c>
      <c r="J658" s="302">
        <f t="shared" si="288"/>
        <v>4.150232184208428</v>
      </c>
      <c r="K658" s="303"/>
      <c r="L658" s="302">
        <v>2.5376061018223783</v>
      </c>
      <c r="M658" s="302">
        <v>1.3990214480859622</v>
      </c>
      <c r="N658" s="302">
        <v>7.2486338570919587E-2</v>
      </c>
      <c r="O658" s="302">
        <f t="shared" si="289"/>
        <v>4.0091138884792601</v>
      </c>
    </row>
    <row r="659" spans="1:15" s="236" customFormat="1" x14ac:dyDescent="0.3">
      <c r="A659" s="237" t="str">
        <f>name!E$8</f>
        <v>Skilled trades occupations</v>
      </c>
      <c r="B659" s="302">
        <v>0.41655932696934589</v>
      </c>
      <c r="C659" s="302">
        <v>0.38660197554444209</v>
      </c>
      <c r="D659" s="302">
        <v>0.28594973850031802</v>
      </c>
      <c r="E659" s="302">
        <f t="shared" si="287"/>
        <v>1.0891110410141061</v>
      </c>
      <c r="F659" s="303"/>
      <c r="G659" s="302">
        <v>0.34533863431656642</v>
      </c>
      <c r="H659" s="302">
        <v>0.36674447707580865</v>
      </c>
      <c r="I659" s="302">
        <v>0.38027078746284099</v>
      </c>
      <c r="J659" s="302">
        <f>SUM(G659:I659)</f>
        <v>1.0923538988552162</v>
      </c>
      <c r="K659" s="303"/>
      <c r="L659" s="302">
        <v>0.46493513577460022</v>
      </c>
      <c r="M659" s="302">
        <v>0.44008651538572541</v>
      </c>
      <c r="N659" s="302">
        <v>0.30668058386618313</v>
      </c>
      <c r="O659" s="302">
        <f t="shared" si="289"/>
        <v>1.2117022350265088</v>
      </c>
    </row>
    <row r="660" spans="1:15" s="236" customFormat="1" x14ac:dyDescent="0.3">
      <c r="A660" s="237" t="str">
        <f>name!E$9</f>
        <v>Caring, leisure and other service occupations</v>
      </c>
      <c r="B660" s="302">
        <v>0.47646423426371182</v>
      </c>
      <c r="C660" s="302">
        <v>0.25283808446685335</v>
      </c>
      <c r="D660" s="302">
        <v>1.8741177574061435E-2</v>
      </c>
      <c r="E660" s="302">
        <f t="shared" si="287"/>
        <v>0.74804349630462663</v>
      </c>
      <c r="F660" s="303"/>
      <c r="G660" s="302">
        <v>0.4694219688136122</v>
      </c>
      <c r="H660" s="302">
        <v>0.22948645592963601</v>
      </c>
      <c r="I660" s="302">
        <v>0.16226238311193805</v>
      </c>
      <c r="J660" s="302">
        <f t="shared" ref="J660:J663" si="290">SUM(G660:I660)</f>
        <v>0.86117080785518629</v>
      </c>
      <c r="K660" s="303"/>
      <c r="L660" s="302">
        <v>0.61941437560988133</v>
      </c>
      <c r="M660" s="302">
        <v>0.27157297855517998</v>
      </c>
      <c r="N660" s="302">
        <v>0.16065700570523495</v>
      </c>
      <c r="O660" s="302">
        <f t="shared" si="289"/>
        <v>1.0516443598702963</v>
      </c>
    </row>
    <row r="661" spans="1:15" s="236" customFormat="1" x14ac:dyDescent="0.3">
      <c r="A661" s="237" t="str">
        <f>name!E$10</f>
        <v>Sales and customer service occupations</v>
      </c>
      <c r="B661" s="302">
        <v>0.91456485165498635</v>
      </c>
      <c r="C661" s="302">
        <v>0.43790425337176841</v>
      </c>
      <c r="D661" s="302">
        <v>2.6332782149420156E-2</v>
      </c>
      <c r="E661" s="302">
        <f t="shared" si="287"/>
        <v>1.3788018871761749</v>
      </c>
      <c r="F661" s="303"/>
      <c r="G661" s="302">
        <v>1.0039108788118811</v>
      </c>
      <c r="H661" s="302">
        <v>0.40713294006541462</v>
      </c>
      <c r="I661" s="302">
        <v>5.8718657015691386E-2</v>
      </c>
      <c r="J661" s="302">
        <f t="shared" si="290"/>
        <v>1.4697624758929873</v>
      </c>
      <c r="K661" s="303"/>
      <c r="L661" s="302">
        <v>1.1601500330233241</v>
      </c>
      <c r="M661" s="302">
        <v>0.59977640440656954</v>
      </c>
      <c r="N661" s="302">
        <v>5.1364106817100519E-2</v>
      </c>
      <c r="O661" s="302">
        <f t="shared" si="289"/>
        <v>1.8112905442469942</v>
      </c>
    </row>
    <row r="662" spans="1:15" s="236" customFormat="1" x14ac:dyDescent="0.3">
      <c r="A662" s="237" t="str">
        <f>name!E$11</f>
        <v>Process, plant and machine operatives</v>
      </c>
      <c r="B662" s="302">
        <v>2.4948459343422646</v>
      </c>
      <c r="C662" s="302">
        <v>0.22880537696719161</v>
      </c>
      <c r="D662" s="302">
        <v>0.37276909500463429</v>
      </c>
      <c r="E662" s="302">
        <f t="shared" si="287"/>
        <v>3.0964204063140905</v>
      </c>
      <c r="F662" s="303"/>
      <c r="G662" s="302">
        <v>2.0439524006350536</v>
      </c>
      <c r="H662" s="302">
        <v>0.26598326211321044</v>
      </c>
      <c r="I662" s="302">
        <v>0.83886145880417284</v>
      </c>
      <c r="J662" s="302">
        <f t="shared" si="290"/>
        <v>3.1487971215524371</v>
      </c>
      <c r="K662" s="303"/>
      <c r="L662" s="302">
        <v>2.304190111117292</v>
      </c>
      <c r="M662" s="302">
        <v>0.44598761299247125</v>
      </c>
      <c r="N662" s="302">
        <v>0.85630581655547011</v>
      </c>
      <c r="O662" s="302">
        <f t="shared" si="289"/>
        <v>3.6064835406652334</v>
      </c>
    </row>
    <row r="663" spans="1:15" s="236" customFormat="1" x14ac:dyDescent="0.3">
      <c r="A663" s="237" t="str">
        <f>name!E$12</f>
        <v>Elementary occupations</v>
      </c>
      <c r="B663" s="302">
        <v>7.8771548335825141</v>
      </c>
      <c r="C663" s="302">
        <v>2.0746925977457646</v>
      </c>
      <c r="D663" s="302">
        <v>0.17890678124202944</v>
      </c>
      <c r="E663" s="302">
        <f t="shared" si="287"/>
        <v>10.130754212570308</v>
      </c>
      <c r="F663" s="303"/>
      <c r="G663" s="302">
        <v>7.0336958481115506</v>
      </c>
      <c r="H663" s="302">
        <v>1.8175794201184154</v>
      </c>
      <c r="I663" s="302">
        <v>0.3171716444377764</v>
      </c>
      <c r="J663" s="302">
        <f t="shared" si="290"/>
        <v>9.1684469126677417</v>
      </c>
      <c r="K663" s="303"/>
      <c r="L663" s="302">
        <v>6.9052012353309715</v>
      </c>
      <c r="M663" s="302">
        <v>1.8216976091336328</v>
      </c>
      <c r="N663" s="302">
        <v>0.34140275050359287</v>
      </c>
      <c r="O663" s="302">
        <f t="shared" si="289"/>
        <v>9.0683015949681955</v>
      </c>
    </row>
    <row r="664" spans="1:15" s="236" customFormat="1" x14ac:dyDescent="0.3">
      <c r="A664" s="237"/>
      <c r="B664" s="302"/>
      <c r="C664" s="302"/>
      <c r="D664" s="302"/>
      <c r="E664" s="302"/>
      <c r="F664" s="303"/>
      <c r="G664" s="302"/>
      <c r="H664" s="302"/>
      <c r="I664" s="302"/>
      <c r="J664" s="302"/>
      <c r="K664" s="303"/>
      <c r="L664" s="302"/>
      <c r="M664" s="302"/>
      <c r="N664" s="302"/>
      <c r="O664" s="302"/>
    </row>
    <row r="665" spans="1:15" s="236" customFormat="1" x14ac:dyDescent="0.3">
      <c r="A665" s="244" t="s">
        <v>32</v>
      </c>
      <c r="B665" s="311">
        <f>SUM(B655:B663)</f>
        <v>18.410000000047056</v>
      </c>
      <c r="C665" s="311">
        <f t="shared" ref="C665:E665" si="291">SUM(C655:C663)</f>
        <v>5.2150000001225436</v>
      </c>
      <c r="D665" s="311">
        <f t="shared" si="291"/>
        <v>1.1730000000064473</v>
      </c>
      <c r="E665" s="311">
        <f t="shared" si="291"/>
        <v>24.798000000176049</v>
      </c>
      <c r="F665" s="311"/>
      <c r="G665" s="311">
        <f t="shared" ref="G665:J665" si="292">SUM(G655:G663)</f>
        <v>18.548999999925869</v>
      </c>
      <c r="H665" s="311">
        <f t="shared" si="292"/>
        <v>4.9419999999908804</v>
      </c>
      <c r="I665" s="311">
        <f t="shared" si="292"/>
        <v>2.7829999999964854</v>
      </c>
      <c r="J665" s="311">
        <f t="shared" si="292"/>
        <v>26.273999999913229</v>
      </c>
      <c r="K665" s="311"/>
      <c r="L665" s="311">
        <f t="shared" ref="L665:O665" si="293">SUM(L655:L663)</f>
        <v>19.894000000138814</v>
      </c>
      <c r="M665" s="311">
        <f t="shared" si="293"/>
        <v>5.6789999999769796</v>
      </c>
      <c r="N665" s="311">
        <f t="shared" si="293"/>
        <v>2.516000000048539</v>
      </c>
      <c r="O665" s="311">
        <f t="shared" si="293"/>
        <v>28.089000000164333</v>
      </c>
    </row>
    <row r="666" spans="1:15" s="236" customFormat="1" x14ac:dyDescent="0.3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37"/>
      <c r="M666" s="237"/>
      <c r="N666" s="240"/>
    </row>
    <row r="667" spans="1:15" s="236" customFormat="1" x14ac:dyDescent="0.3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37"/>
      <c r="M667" s="237"/>
      <c r="N667" s="240"/>
      <c r="O667" s="251" t="s">
        <v>35</v>
      </c>
    </row>
    <row r="668" spans="1:15" s="236" customFormat="1" x14ac:dyDescent="0.3">
      <c r="A668" s="242"/>
      <c r="B668" s="242"/>
      <c r="C668" s="242"/>
      <c r="D668" s="242"/>
      <c r="E668" s="242"/>
      <c r="F668" s="242"/>
      <c r="G668" s="242"/>
      <c r="H668" s="242"/>
      <c r="I668" s="242"/>
      <c r="J668" s="242"/>
      <c r="K668" s="242"/>
      <c r="L668" s="242"/>
      <c r="M668" s="242"/>
      <c r="N668" s="242"/>
      <c r="O668" s="242"/>
    </row>
    <row r="669" spans="1:15" s="236" customFormat="1" x14ac:dyDescent="0.3">
      <c r="A669" s="241" t="str">
        <f>name!A42</f>
        <v>Accommodation</v>
      </c>
      <c r="B669" s="375">
        <f>$B$6</f>
        <v>2015</v>
      </c>
      <c r="C669" s="375"/>
      <c r="D669" s="375"/>
      <c r="E669" s="375"/>
      <c r="F669" s="263"/>
      <c r="G669" s="375">
        <f>$G$6</f>
        <v>2020</v>
      </c>
      <c r="H669" s="375"/>
      <c r="I669" s="375"/>
      <c r="J669" s="375"/>
      <c r="K669" s="263"/>
      <c r="L669" s="375">
        <f>$L$6</f>
        <v>2035</v>
      </c>
      <c r="M669" s="375"/>
      <c r="N669" s="375"/>
      <c r="O669" s="375"/>
    </row>
    <row r="670" spans="1:15" s="236" customFormat="1" x14ac:dyDescent="0.3">
      <c r="A670" s="254"/>
      <c r="B670" s="268" t="str">
        <f>$B$7</f>
        <v>FT</v>
      </c>
      <c r="C670" s="268" t="str">
        <f>$C$7</f>
        <v>PT</v>
      </c>
      <c r="D670" s="268" t="str">
        <f>$D$7</f>
        <v>SE</v>
      </c>
      <c r="E670" s="268" t="str">
        <f>$E$7</f>
        <v>Total</v>
      </c>
      <c r="F670" s="268"/>
      <c r="G670" s="268" t="str">
        <f>$G$7</f>
        <v>FT</v>
      </c>
      <c r="H670" s="268" t="str">
        <f>$H$7</f>
        <v>PT</v>
      </c>
      <c r="I670" s="268" t="str">
        <f>$I$7</f>
        <v>SE</v>
      </c>
      <c r="J670" s="268" t="str">
        <f>$J$7</f>
        <v>Total</v>
      </c>
      <c r="K670" s="268"/>
      <c r="L670" s="268" t="str">
        <f>$L$7</f>
        <v>FT</v>
      </c>
      <c r="M670" s="268" t="str">
        <f>$M$7</f>
        <v>PT</v>
      </c>
      <c r="N670" s="268" t="str">
        <f>$N$7</f>
        <v>SE</v>
      </c>
      <c r="O670" s="268" t="str">
        <f>$O$7</f>
        <v>Total</v>
      </c>
    </row>
    <row r="671" spans="1:15" s="236" customFormat="1" x14ac:dyDescent="0.3">
      <c r="A671" s="258"/>
      <c r="B671" s="239"/>
      <c r="C671" s="239"/>
      <c r="D671" s="239"/>
      <c r="E671" s="239"/>
      <c r="F671" s="239"/>
      <c r="G671" s="239"/>
      <c r="H671" s="239"/>
      <c r="I671" s="239"/>
      <c r="J671" s="239"/>
      <c r="K671" s="239"/>
      <c r="L671" s="239"/>
      <c r="M671" s="239"/>
      <c r="N671" s="239"/>
      <c r="O671" s="239"/>
    </row>
    <row r="672" spans="1:15" s="236" customFormat="1" x14ac:dyDescent="0.3">
      <c r="A672" s="237" t="str">
        <f>name!E$4</f>
        <v>Managers, directors and senior officials</v>
      </c>
      <c r="B672" s="302">
        <v>2.2160308638516697</v>
      </c>
      <c r="C672" s="302">
        <v>0.17504609289450523</v>
      </c>
      <c r="D672" s="302">
        <v>0.99869579510450734</v>
      </c>
      <c r="E672" s="302">
        <f>SUM(B672:D672)</f>
        <v>3.3897727518506819</v>
      </c>
      <c r="F672" s="303"/>
      <c r="G672" s="302">
        <v>1.8409941053216714</v>
      </c>
      <c r="H672" s="302">
        <v>0.42571585386850014</v>
      </c>
      <c r="I672" s="302">
        <v>2.2722199096284186</v>
      </c>
      <c r="J672" s="302">
        <f>SUM(G672:I672)</f>
        <v>4.53892986881859</v>
      </c>
      <c r="K672" s="303"/>
      <c r="L672" s="302">
        <v>2.4887974573880811</v>
      </c>
      <c r="M672" s="302">
        <v>0.72449600614495746</v>
      </c>
      <c r="N672" s="302">
        <v>3.1946359244465121</v>
      </c>
      <c r="O672" s="302">
        <f>SUM(L672:N672)</f>
        <v>6.4079293879795509</v>
      </c>
    </row>
    <row r="673" spans="1:15" s="236" customFormat="1" x14ac:dyDescent="0.3">
      <c r="A673" s="237" t="str">
        <f>name!E$5</f>
        <v>Professional occupations</v>
      </c>
      <c r="B673" s="302">
        <v>0.79419650382937101</v>
      </c>
      <c r="C673" s="302">
        <v>9.675197391477719E-2</v>
      </c>
      <c r="D673" s="302">
        <v>7.8411360051393098E-2</v>
      </c>
      <c r="E673" s="302">
        <f t="shared" ref="E673:E680" si="294">SUM(B673:D673)</f>
        <v>0.96935983779554125</v>
      </c>
      <c r="F673" s="303"/>
      <c r="G673" s="302">
        <v>0.79030576068401148</v>
      </c>
      <c r="H673" s="302">
        <v>0.2341555161166739</v>
      </c>
      <c r="I673" s="302">
        <v>0.17467912891202367</v>
      </c>
      <c r="J673" s="302">
        <f t="shared" ref="J673:J675" si="295">SUM(G673:I673)</f>
        <v>1.1991404057127091</v>
      </c>
      <c r="K673" s="303"/>
      <c r="L673" s="302">
        <v>1.0332179061801106</v>
      </c>
      <c r="M673" s="302">
        <v>0.36088975132928819</v>
      </c>
      <c r="N673" s="302">
        <v>0.12662111641643217</v>
      </c>
      <c r="O673" s="302">
        <f t="shared" ref="O673:O680" si="296">SUM(L673:N673)</f>
        <v>1.5207287739258308</v>
      </c>
    </row>
    <row r="674" spans="1:15" s="236" customFormat="1" x14ac:dyDescent="0.3">
      <c r="A674" s="237" t="str">
        <f>name!E$6</f>
        <v>Associate professional occupations</v>
      </c>
      <c r="B674" s="302">
        <v>0.77736356217001046</v>
      </c>
      <c r="C674" s="302">
        <v>0.2804602152674488</v>
      </c>
      <c r="D674" s="302">
        <v>4.4475946314385964E-2</v>
      </c>
      <c r="E674" s="302">
        <f t="shared" si="294"/>
        <v>1.1022997237518453</v>
      </c>
      <c r="F674" s="303"/>
      <c r="G674" s="302">
        <v>0.69889741681794104</v>
      </c>
      <c r="H674" s="302">
        <v>0.51487762925230096</v>
      </c>
      <c r="I674" s="302">
        <v>9.2569393624096344E-2</v>
      </c>
      <c r="J674" s="302">
        <f t="shared" si="295"/>
        <v>1.3063444396943382</v>
      </c>
      <c r="K674" s="303"/>
      <c r="L674" s="302">
        <v>0.83615720620351297</v>
      </c>
      <c r="M674" s="302">
        <v>0.76815578525539541</v>
      </c>
      <c r="N674" s="302">
        <v>7.5546631087649641E-2</v>
      </c>
      <c r="O674" s="302">
        <f t="shared" si="296"/>
        <v>1.6798596225465581</v>
      </c>
    </row>
    <row r="675" spans="1:15" s="236" customFormat="1" x14ac:dyDescent="0.3">
      <c r="A675" s="237" t="str">
        <f>name!E$7</f>
        <v>Administrative and secretarial occupations</v>
      </c>
      <c r="B675" s="302">
        <v>1.6101111546510047</v>
      </c>
      <c r="C675" s="302">
        <v>0.33312656584840084</v>
      </c>
      <c r="D675" s="302">
        <v>1.3279664688538069E-2</v>
      </c>
      <c r="E675" s="302">
        <f t="shared" si="294"/>
        <v>1.9565173851879436</v>
      </c>
      <c r="F675" s="303"/>
      <c r="G675" s="302">
        <v>1.1714383240992539</v>
      </c>
      <c r="H675" s="302">
        <v>0.58622816467151284</v>
      </c>
      <c r="I675" s="302">
        <v>3.477995130126068E-2</v>
      </c>
      <c r="J675" s="302">
        <f t="shared" si="295"/>
        <v>1.7924464400720275</v>
      </c>
      <c r="K675" s="303"/>
      <c r="L675" s="302">
        <v>1.4114634579837588</v>
      </c>
      <c r="M675" s="302">
        <v>0.69127325972694886</v>
      </c>
      <c r="N675" s="302">
        <v>2.7212308890069082E-2</v>
      </c>
      <c r="O675" s="302">
        <f t="shared" si="296"/>
        <v>2.129949026600777</v>
      </c>
    </row>
    <row r="676" spans="1:15" s="236" customFormat="1" x14ac:dyDescent="0.3">
      <c r="A676" s="237" t="str">
        <f>name!E$8</f>
        <v>Skilled trades occupations</v>
      </c>
      <c r="B676" s="302">
        <v>5.5022399702268912</v>
      </c>
      <c r="C676" s="302">
        <v>0.93356118439811697</v>
      </c>
      <c r="D676" s="302">
        <v>0.40716830790953557</v>
      </c>
      <c r="E676" s="302">
        <f t="shared" si="294"/>
        <v>6.8429694625345441</v>
      </c>
      <c r="F676" s="303"/>
      <c r="G676" s="302">
        <v>2.9636266317016209</v>
      </c>
      <c r="H676" s="302">
        <v>1.1733038197264509</v>
      </c>
      <c r="I676" s="302">
        <v>1.0116663719592893</v>
      </c>
      <c r="J676" s="302">
        <f>SUM(G676:I676)</f>
        <v>5.1485968233873605</v>
      </c>
      <c r="K676" s="303"/>
      <c r="L676" s="302">
        <v>2.7703195763367616</v>
      </c>
      <c r="M676" s="302">
        <v>1.3016266330270334</v>
      </c>
      <c r="N676" s="302">
        <v>1.0995911347604126</v>
      </c>
      <c r="O676" s="302">
        <f t="shared" si="296"/>
        <v>5.1715373441242081</v>
      </c>
    </row>
    <row r="677" spans="1:15" s="236" customFormat="1" x14ac:dyDescent="0.3">
      <c r="A677" s="237" t="str">
        <f>name!E$9</f>
        <v>Caring, leisure and other service occupations</v>
      </c>
      <c r="B677" s="302">
        <v>0.94197108462173662</v>
      </c>
      <c r="C677" s="302">
        <v>0.63535938448832208</v>
      </c>
      <c r="D677" s="302">
        <v>5.8969581577756516E-2</v>
      </c>
      <c r="E677" s="302">
        <f t="shared" si="294"/>
        <v>1.6363000506878151</v>
      </c>
      <c r="F677" s="303"/>
      <c r="G677" s="302">
        <v>0.64842166242829458</v>
      </c>
      <c r="H677" s="302">
        <v>0.88853789099939751</v>
      </c>
      <c r="I677" s="302">
        <v>0.2061779629658356</v>
      </c>
      <c r="J677" s="302">
        <f t="shared" ref="J677:J680" si="297">SUM(G677:I677)</f>
        <v>1.7431375163935277</v>
      </c>
      <c r="K677" s="303"/>
      <c r="L677" s="302">
        <v>0.77219368457275028</v>
      </c>
      <c r="M677" s="302">
        <v>1.0952822980467094</v>
      </c>
      <c r="N677" s="302">
        <v>0.33378369382299189</v>
      </c>
      <c r="O677" s="302">
        <f t="shared" si="296"/>
        <v>2.2012596764424517</v>
      </c>
    </row>
    <row r="678" spans="1:15" s="236" customFormat="1" x14ac:dyDescent="0.3">
      <c r="A678" s="237" t="str">
        <f>name!E$10</f>
        <v>Sales and customer service occupations</v>
      </c>
      <c r="B678" s="302">
        <v>0.68603279630749348</v>
      </c>
      <c r="C678" s="302">
        <v>1.1199035414583844</v>
      </c>
      <c r="D678" s="302">
        <v>0.36056442564537428</v>
      </c>
      <c r="E678" s="302">
        <f t="shared" si="294"/>
        <v>2.1665007634112521</v>
      </c>
      <c r="F678" s="303"/>
      <c r="G678" s="302">
        <v>0.48286892670362525</v>
      </c>
      <c r="H678" s="302">
        <v>1.7704361833976976</v>
      </c>
      <c r="I678" s="302">
        <v>0.63574302898612023</v>
      </c>
      <c r="J678" s="302">
        <f t="shared" si="297"/>
        <v>2.8890481390874432</v>
      </c>
      <c r="K678" s="303"/>
      <c r="L678" s="302">
        <v>0.58772776160590556</v>
      </c>
      <c r="M678" s="302">
        <v>2.583631983623905</v>
      </c>
      <c r="N678" s="302">
        <v>0.55049374146752528</v>
      </c>
      <c r="O678" s="302">
        <f t="shared" si="296"/>
        <v>3.7218534866973361</v>
      </c>
    </row>
    <row r="679" spans="1:15" s="236" customFormat="1" x14ac:dyDescent="0.3">
      <c r="A679" s="237" t="str">
        <f>name!E$11</f>
        <v>Process, plant and machine operatives</v>
      </c>
      <c r="B679" s="302">
        <v>0.56868502864957637</v>
      </c>
      <c r="C679" s="302">
        <v>0.29429946038692195</v>
      </c>
      <c r="D679" s="302">
        <v>5.0539153617541799E-2</v>
      </c>
      <c r="E679" s="302">
        <f t="shared" si="294"/>
        <v>0.91352364265404018</v>
      </c>
      <c r="F679" s="303"/>
      <c r="G679" s="302">
        <v>0.32503442403399241</v>
      </c>
      <c r="H679" s="302">
        <v>0.49420624058557538</v>
      </c>
      <c r="I679" s="302">
        <v>0.11439057354181729</v>
      </c>
      <c r="J679" s="302">
        <f t="shared" si="297"/>
        <v>0.93363123816138505</v>
      </c>
      <c r="K679" s="303"/>
      <c r="L679" s="302">
        <v>0.42754738906479428</v>
      </c>
      <c r="M679" s="302">
        <v>0.88126761640304796</v>
      </c>
      <c r="N679" s="302">
        <v>0.15509291285502175</v>
      </c>
      <c r="O679" s="302">
        <f t="shared" si="296"/>
        <v>1.463907918322864</v>
      </c>
    </row>
    <row r="680" spans="1:15" s="236" customFormat="1" x14ac:dyDescent="0.3">
      <c r="A680" s="237" t="str">
        <f>name!E$12</f>
        <v>Elementary occupations</v>
      </c>
      <c r="B680" s="302">
        <v>5.9533690357215239</v>
      </c>
      <c r="C680" s="302">
        <v>11.163491581797105</v>
      </c>
      <c r="D680" s="302">
        <v>0.10189576513990639</v>
      </c>
      <c r="E680" s="302">
        <f t="shared" si="294"/>
        <v>17.218756382658537</v>
      </c>
      <c r="F680" s="303"/>
      <c r="G680" s="302">
        <v>3.9474127480729844</v>
      </c>
      <c r="H680" s="302">
        <v>14.87753870145642</v>
      </c>
      <c r="I680" s="302">
        <v>0.21177367901916244</v>
      </c>
      <c r="J680" s="302">
        <f t="shared" si="297"/>
        <v>19.036725128548568</v>
      </c>
      <c r="K680" s="303"/>
      <c r="L680" s="302">
        <v>4.5625755606279323</v>
      </c>
      <c r="M680" s="302">
        <v>18.001376666157483</v>
      </c>
      <c r="N680" s="302">
        <v>0.27702253625595236</v>
      </c>
      <c r="O680" s="302">
        <f t="shared" si="296"/>
        <v>22.84097476304137</v>
      </c>
    </row>
    <row r="681" spans="1:15" s="236" customFormat="1" x14ac:dyDescent="0.3">
      <c r="A681" s="237"/>
      <c r="B681" s="302"/>
      <c r="C681" s="302"/>
      <c r="D681" s="302"/>
      <c r="E681" s="302"/>
      <c r="F681" s="303"/>
      <c r="G681" s="302"/>
      <c r="H681" s="302"/>
      <c r="I681" s="302"/>
      <c r="J681" s="302"/>
      <c r="K681" s="303"/>
      <c r="L681" s="302"/>
      <c r="M681" s="302"/>
      <c r="N681" s="302"/>
      <c r="O681" s="302"/>
    </row>
    <row r="682" spans="1:15" s="236" customFormat="1" x14ac:dyDescent="0.3">
      <c r="A682" s="244" t="s">
        <v>32</v>
      </c>
      <c r="B682" s="311">
        <f>SUM(B672:B680)</f>
        <v>19.050000000029279</v>
      </c>
      <c r="C682" s="311">
        <f t="shared" ref="C682:E682" si="298">SUM(C672:C680)</f>
        <v>15.032000000453984</v>
      </c>
      <c r="D682" s="311">
        <f t="shared" si="298"/>
        <v>2.114000000048939</v>
      </c>
      <c r="E682" s="311">
        <f t="shared" si="298"/>
        <v>36.196000000532202</v>
      </c>
      <c r="F682" s="311"/>
      <c r="G682" s="311">
        <f t="shared" ref="G682:J682" si="299">SUM(G672:G680)</f>
        <v>12.868999999863396</v>
      </c>
      <c r="H682" s="311">
        <f t="shared" si="299"/>
        <v>20.965000000074529</v>
      </c>
      <c r="I682" s="311">
        <f t="shared" si="299"/>
        <v>4.7539999999380242</v>
      </c>
      <c r="J682" s="311">
        <f t="shared" si="299"/>
        <v>38.587999999875947</v>
      </c>
      <c r="K682" s="311"/>
      <c r="L682" s="311">
        <f t="shared" ref="L682:O682" si="300">SUM(L672:L680)</f>
        <v>14.889999999963608</v>
      </c>
      <c r="M682" s="311">
        <f t="shared" si="300"/>
        <v>26.407999999714768</v>
      </c>
      <c r="N682" s="311">
        <f t="shared" si="300"/>
        <v>5.8400000000025667</v>
      </c>
      <c r="O682" s="311">
        <f t="shared" si="300"/>
        <v>47.137999999680943</v>
      </c>
    </row>
    <row r="683" spans="1:15" s="236" customFormat="1" x14ac:dyDescent="0.3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37"/>
      <c r="M683" s="237"/>
      <c r="N683" s="240"/>
    </row>
    <row r="684" spans="1:15" s="236" customFormat="1" x14ac:dyDescent="0.3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37"/>
      <c r="M684" s="237"/>
      <c r="N684" s="240"/>
      <c r="O684" s="251" t="s">
        <v>35</v>
      </c>
    </row>
    <row r="685" spans="1:15" s="236" customFormat="1" x14ac:dyDescent="0.3">
      <c r="A685" s="242"/>
      <c r="B685" s="242"/>
      <c r="C685" s="242"/>
      <c r="D685" s="242"/>
      <c r="E685" s="242"/>
      <c r="F685" s="242"/>
      <c r="G685" s="242"/>
      <c r="H685" s="242"/>
      <c r="I685" s="242"/>
      <c r="J685" s="242"/>
      <c r="K685" s="242"/>
      <c r="L685" s="242"/>
      <c r="M685" s="242"/>
      <c r="N685" s="242"/>
      <c r="O685" s="242"/>
    </row>
    <row r="686" spans="1:15" s="236" customFormat="1" x14ac:dyDescent="0.3">
      <c r="A686" s="241" t="str">
        <f>name!A43</f>
        <v>Food and beverage services</v>
      </c>
      <c r="B686" s="375">
        <f>$B$6</f>
        <v>2015</v>
      </c>
      <c r="C686" s="375"/>
      <c r="D686" s="375"/>
      <c r="E686" s="375"/>
      <c r="F686" s="263"/>
      <c r="G686" s="375">
        <f>$G$6</f>
        <v>2020</v>
      </c>
      <c r="H686" s="375"/>
      <c r="I686" s="375"/>
      <c r="J686" s="375"/>
      <c r="K686" s="263"/>
      <c r="L686" s="375">
        <f>$L$6</f>
        <v>2035</v>
      </c>
      <c r="M686" s="375"/>
      <c r="N686" s="375"/>
      <c r="O686" s="375"/>
    </row>
    <row r="687" spans="1:15" s="236" customFormat="1" x14ac:dyDescent="0.3">
      <c r="A687" s="254"/>
      <c r="B687" s="268" t="str">
        <f>$B$7</f>
        <v>FT</v>
      </c>
      <c r="C687" s="268" t="str">
        <f>$C$7</f>
        <v>PT</v>
      </c>
      <c r="D687" s="268" t="str">
        <f>$D$7</f>
        <v>SE</v>
      </c>
      <c r="E687" s="268" t="str">
        <f>$E$7</f>
        <v>Total</v>
      </c>
      <c r="F687" s="268"/>
      <c r="G687" s="268" t="str">
        <f>$G$7</f>
        <v>FT</v>
      </c>
      <c r="H687" s="268" t="str">
        <f>$H$7</f>
        <v>PT</v>
      </c>
      <c r="I687" s="268" t="str">
        <f>$I$7</f>
        <v>SE</v>
      </c>
      <c r="J687" s="268" t="str">
        <f>$J$7</f>
        <v>Total</v>
      </c>
      <c r="K687" s="268"/>
      <c r="L687" s="268" t="str">
        <f>$L$7</f>
        <v>FT</v>
      </c>
      <c r="M687" s="268" t="str">
        <f>$M$7</f>
        <v>PT</v>
      </c>
      <c r="N687" s="268" t="str">
        <f>$N$7</f>
        <v>SE</v>
      </c>
      <c r="O687" s="268" t="str">
        <f>$O$7</f>
        <v>Total</v>
      </c>
    </row>
    <row r="688" spans="1:15" s="236" customFormat="1" x14ac:dyDescent="0.3">
      <c r="A688" s="258"/>
      <c r="B688" s="239"/>
      <c r="C688" s="239"/>
      <c r="D688" s="239"/>
      <c r="E688" s="239"/>
      <c r="F688" s="239"/>
      <c r="G688" s="239"/>
      <c r="H688" s="239"/>
      <c r="I688" s="239"/>
      <c r="J688" s="239"/>
      <c r="K688" s="239"/>
      <c r="L688" s="239"/>
      <c r="M688" s="239"/>
      <c r="N688" s="239"/>
      <c r="O688" s="239"/>
    </row>
    <row r="689" spans="1:15" s="236" customFormat="1" x14ac:dyDescent="0.3">
      <c r="A689" s="237" t="str">
        <f>name!E$4</f>
        <v>Managers, directors and senior officials</v>
      </c>
      <c r="B689" s="302">
        <v>6.6317832036731286</v>
      </c>
      <c r="C689" s="302">
        <v>1.0561688814959613</v>
      </c>
      <c r="D689" s="302">
        <v>3.4934227696335634</v>
      </c>
      <c r="E689" s="302">
        <f>SUM(B689:D689)</f>
        <v>11.181374854802653</v>
      </c>
      <c r="F689" s="303"/>
      <c r="G689" s="302">
        <v>8.0432653105613809</v>
      </c>
      <c r="H689" s="302">
        <v>2.0662901085837175</v>
      </c>
      <c r="I689" s="302">
        <v>4.4962263322118554</v>
      </c>
      <c r="J689" s="302">
        <f>SUM(G689:I689)</f>
        <v>14.605781751356954</v>
      </c>
      <c r="K689" s="303"/>
      <c r="L689" s="302">
        <v>11.072522662213018</v>
      </c>
      <c r="M689" s="302">
        <v>3.2568377468950573</v>
      </c>
      <c r="N689" s="302">
        <v>5.9973749455545846</v>
      </c>
      <c r="O689" s="302">
        <f>SUM(L689:N689)</f>
        <v>20.326735354662659</v>
      </c>
    </row>
    <row r="690" spans="1:15" s="236" customFormat="1" x14ac:dyDescent="0.3">
      <c r="A690" s="237" t="str">
        <f>name!E$5</f>
        <v>Professional occupations</v>
      </c>
      <c r="B690" s="302">
        <v>2.3161188831029147</v>
      </c>
      <c r="C690" s="302">
        <v>0.53439735887625561</v>
      </c>
      <c r="D690" s="302">
        <v>0.28753355106706019</v>
      </c>
      <c r="E690" s="302">
        <f t="shared" ref="E690:E697" si="301">SUM(B690:D690)</f>
        <v>3.1380497930462306</v>
      </c>
      <c r="F690" s="303"/>
      <c r="G690" s="302">
        <v>3.4097934016674882</v>
      </c>
      <c r="H690" s="302">
        <v>1.0819561354267255</v>
      </c>
      <c r="I690" s="302">
        <v>0.35579904682737584</v>
      </c>
      <c r="J690" s="302">
        <f t="shared" ref="J690:J692" si="302">SUM(G690:I690)</f>
        <v>4.8475485839215899</v>
      </c>
      <c r="K690" s="303"/>
      <c r="L690" s="302">
        <v>4.5130409007302266</v>
      </c>
      <c r="M690" s="302">
        <v>1.4717657509431872</v>
      </c>
      <c r="N690" s="302">
        <v>0.24918643649289376</v>
      </c>
      <c r="O690" s="302">
        <f t="shared" ref="O690:O697" si="303">SUM(L690:N690)</f>
        <v>6.2339930881663079</v>
      </c>
    </row>
    <row r="691" spans="1:15" s="236" customFormat="1" x14ac:dyDescent="0.3">
      <c r="A691" s="237" t="str">
        <f>name!E$6</f>
        <v>Associate professional occupations</v>
      </c>
      <c r="B691" s="302">
        <v>2.2242776973204235</v>
      </c>
      <c r="C691" s="302">
        <v>1.55605781864365</v>
      </c>
      <c r="D691" s="302">
        <v>0.14858936749304061</v>
      </c>
      <c r="E691" s="302">
        <f t="shared" si="301"/>
        <v>3.928924883457114</v>
      </c>
      <c r="F691" s="303"/>
      <c r="G691" s="302">
        <v>2.9906602655212953</v>
      </c>
      <c r="H691" s="302">
        <v>2.3294656435487022</v>
      </c>
      <c r="I691" s="302">
        <v>0.18295421357474995</v>
      </c>
      <c r="J691" s="302">
        <f t="shared" si="302"/>
        <v>5.5030801226447466</v>
      </c>
      <c r="K691" s="303"/>
      <c r="L691" s="302">
        <v>3.5921478439800287</v>
      </c>
      <c r="M691" s="302">
        <v>3.0379857187550003</v>
      </c>
      <c r="N691" s="302">
        <v>0.13933755550338242</v>
      </c>
      <c r="O691" s="302">
        <f t="shared" si="303"/>
        <v>6.7694711182384113</v>
      </c>
    </row>
    <row r="692" spans="1:15" s="236" customFormat="1" x14ac:dyDescent="0.3">
      <c r="A692" s="237" t="str">
        <f>name!E$7</f>
        <v>Administrative and secretarial occupations</v>
      </c>
      <c r="B692" s="302">
        <v>4.3615158556040337</v>
      </c>
      <c r="C692" s="302">
        <v>1.9172501661859624</v>
      </c>
      <c r="D692" s="302">
        <v>3.613334677416255E-2</v>
      </c>
      <c r="E692" s="302">
        <f t="shared" si="301"/>
        <v>6.3148993685641592</v>
      </c>
      <c r="F692" s="303"/>
      <c r="G692" s="302">
        <v>4.9113282949262649</v>
      </c>
      <c r="H692" s="302">
        <v>2.7939528099322817</v>
      </c>
      <c r="I692" s="302">
        <v>6.4139087394551153E-2</v>
      </c>
      <c r="J692" s="302">
        <f t="shared" si="302"/>
        <v>7.7694201922530972</v>
      </c>
      <c r="K692" s="303"/>
      <c r="L692" s="302">
        <v>5.954768531041065</v>
      </c>
      <c r="M692" s="302">
        <v>2.9999916867879395</v>
      </c>
      <c r="N692" s="302">
        <v>4.9056327769071567E-2</v>
      </c>
      <c r="O692" s="302">
        <f t="shared" si="303"/>
        <v>9.0038165455980756</v>
      </c>
    </row>
    <row r="693" spans="1:15" s="236" customFormat="1" x14ac:dyDescent="0.3">
      <c r="A693" s="237" t="str">
        <f>name!E$8</f>
        <v>Skilled trades occupations</v>
      </c>
      <c r="B693" s="302">
        <v>16.743043939278383</v>
      </c>
      <c r="C693" s="302">
        <v>6.5650290290055171</v>
      </c>
      <c r="D693" s="302">
        <v>1.2703595931977756</v>
      </c>
      <c r="E693" s="302">
        <f t="shared" si="301"/>
        <v>24.578432561481677</v>
      </c>
      <c r="F693" s="303"/>
      <c r="G693" s="302">
        <v>12.996919926171259</v>
      </c>
      <c r="H693" s="302">
        <v>6.3633301126069997</v>
      </c>
      <c r="I693" s="302">
        <v>1.9539905315352855</v>
      </c>
      <c r="J693" s="302">
        <f>SUM(G693:I693)</f>
        <v>21.314240570313544</v>
      </c>
      <c r="K693" s="303"/>
      <c r="L693" s="302">
        <v>12.437506225331916</v>
      </c>
      <c r="M693" s="302">
        <v>6.4610549696342128</v>
      </c>
      <c r="N693" s="302">
        <v>1.9943720185113702</v>
      </c>
      <c r="O693" s="302">
        <f t="shared" si="303"/>
        <v>20.892933213477498</v>
      </c>
    </row>
    <row r="694" spans="1:15" s="236" customFormat="1" x14ac:dyDescent="0.3">
      <c r="A694" s="237" t="str">
        <f>name!E$9</f>
        <v>Caring, leisure and other service occupations</v>
      </c>
      <c r="B694" s="302">
        <v>2.5504842119208693</v>
      </c>
      <c r="C694" s="302">
        <v>3.3519740856292337</v>
      </c>
      <c r="D694" s="302">
        <v>0.15646254495837272</v>
      </c>
      <c r="E694" s="302">
        <f t="shared" si="301"/>
        <v>6.058920842508476</v>
      </c>
      <c r="F694" s="303"/>
      <c r="G694" s="302">
        <v>2.7233400763372324</v>
      </c>
      <c r="H694" s="302">
        <v>3.8724701394201482</v>
      </c>
      <c r="I694" s="302">
        <v>0.37931461303866981</v>
      </c>
      <c r="J694" s="302">
        <f t="shared" ref="J694:J697" si="304">SUM(G694:I694)</f>
        <v>6.9751248287960497</v>
      </c>
      <c r="K694" s="303"/>
      <c r="L694" s="302">
        <v>3.2503339820138017</v>
      </c>
      <c r="M694" s="302">
        <v>4.1912670672752688</v>
      </c>
      <c r="N694" s="302">
        <v>0.581947283195692</v>
      </c>
      <c r="O694" s="302">
        <f t="shared" si="303"/>
        <v>8.0235483324847632</v>
      </c>
    </row>
    <row r="695" spans="1:15" s="236" customFormat="1" x14ac:dyDescent="0.3">
      <c r="A695" s="237" t="str">
        <f>name!E$10</f>
        <v>Sales and customer service occupations</v>
      </c>
      <c r="B695" s="302">
        <v>1.9558678906454952</v>
      </c>
      <c r="C695" s="302">
        <v>6.8663800596662528</v>
      </c>
      <c r="D695" s="302">
        <v>1.2240689441654629</v>
      </c>
      <c r="E695" s="302">
        <f t="shared" si="301"/>
        <v>10.046316894477211</v>
      </c>
      <c r="F695" s="303"/>
      <c r="G695" s="302">
        <v>2.0714473894733247</v>
      </c>
      <c r="H695" s="302">
        <v>8.7099887827964633</v>
      </c>
      <c r="I695" s="302">
        <v>1.2740339266675009</v>
      </c>
      <c r="J695" s="302">
        <f t="shared" si="304"/>
        <v>12.05547009893729</v>
      </c>
      <c r="K695" s="303"/>
      <c r="L695" s="302">
        <v>2.5709973287759729</v>
      </c>
      <c r="M695" s="302">
        <v>11.049676957287049</v>
      </c>
      <c r="N695" s="302">
        <v>1.0459932104668486</v>
      </c>
      <c r="O695" s="302">
        <f t="shared" si="303"/>
        <v>14.66666749652987</v>
      </c>
    </row>
    <row r="696" spans="1:15" s="236" customFormat="1" x14ac:dyDescent="0.3">
      <c r="A696" s="237" t="str">
        <f>name!E$11</f>
        <v>Process, plant and machine operatives</v>
      </c>
      <c r="B696" s="302">
        <v>1.704321715525571</v>
      </c>
      <c r="C696" s="302">
        <v>2.324900540459907</v>
      </c>
      <c r="D696" s="302">
        <v>0.19813127387270613</v>
      </c>
      <c r="E696" s="302">
        <f t="shared" si="301"/>
        <v>4.2273535298581839</v>
      </c>
      <c r="F696" s="303"/>
      <c r="G696" s="302">
        <v>1.4200543962824745</v>
      </c>
      <c r="H696" s="302">
        <v>3.1423849288917274</v>
      </c>
      <c r="I696" s="302">
        <v>0.24466537790393289</v>
      </c>
      <c r="J696" s="302">
        <f t="shared" si="304"/>
        <v>4.8071047030781342</v>
      </c>
      <c r="K696" s="303"/>
      <c r="L696" s="302">
        <v>1.8766147006113638</v>
      </c>
      <c r="M696" s="302">
        <v>4.8850492432287034</v>
      </c>
      <c r="N696" s="302">
        <v>0.30927919389347897</v>
      </c>
      <c r="O696" s="302">
        <f t="shared" si="303"/>
        <v>7.0709431377335461</v>
      </c>
    </row>
    <row r="697" spans="1:15" s="236" customFormat="1" x14ac:dyDescent="0.3">
      <c r="A697" s="237" t="str">
        <f>name!E$12</f>
        <v>Elementary occupations</v>
      </c>
      <c r="B697" s="302">
        <v>16.963586603004909</v>
      </c>
      <c r="C697" s="302">
        <v>64.198842062462646</v>
      </c>
      <c r="D697" s="302">
        <v>0.27929860898854153</v>
      </c>
      <c r="E697" s="302">
        <f t="shared" si="301"/>
        <v>81.441727274456099</v>
      </c>
      <c r="F697" s="303"/>
      <c r="G697" s="302">
        <v>16.867190938500709</v>
      </c>
      <c r="H697" s="302">
        <v>68.964161339125269</v>
      </c>
      <c r="I697" s="302">
        <v>0.39687687075085976</v>
      </c>
      <c r="J697" s="302">
        <f t="shared" si="304"/>
        <v>86.22822914837684</v>
      </c>
      <c r="K697" s="303"/>
      <c r="L697" s="302">
        <v>19.592067825169394</v>
      </c>
      <c r="M697" s="302">
        <v>73.802370858205762</v>
      </c>
      <c r="N697" s="302">
        <v>0.4984530286310998</v>
      </c>
      <c r="O697" s="302">
        <f t="shared" si="303"/>
        <v>93.892891712006261</v>
      </c>
    </row>
    <row r="698" spans="1:15" s="236" customFormat="1" x14ac:dyDescent="0.3">
      <c r="A698" s="237"/>
      <c r="B698" s="302"/>
      <c r="C698" s="302"/>
      <c r="D698" s="302"/>
      <c r="E698" s="302"/>
      <c r="F698" s="303"/>
      <c r="G698" s="302"/>
      <c r="H698" s="302"/>
      <c r="I698" s="302"/>
      <c r="J698" s="302"/>
      <c r="K698" s="303"/>
      <c r="L698" s="302"/>
      <c r="M698" s="302"/>
      <c r="N698" s="302"/>
      <c r="O698" s="302"/>
    </row>
    <row r="699" spans="1:15" s="236" customFormat="1" x14ac:dyDescent="0.3">
      <c r="A699" s="244" t="s">
        <v>32</v>
      </c>
      <c r="B699" s="311">
        <f>SUM(B689:B697)</f>
        <v>55.451000000075723</v>
      </c>
      <c r="C699" s="311">
        <f t="shared" ref="C699:E699" si="305">SUM(C689:C697)</f>
        <v>88.37100000242539</v>
      </c>
      <c r="D699" s="311">
        <f t="shared" si="305"/>
        <v>7.094000000150686</v>
      </c>
      <c r="E699" s="311">
        <f t="shared" si="305"/>
        <v>150.9160000026518</v>
      </c>
      <c r="F699" s="311"/>
      <c r="G699" s="311">
        <f t="shared" ref="G699:J699" si="306">SUM(G689:G697)</f>
        <v>55.433999999441426</v>
      </c>
      <c r="H699" s="311">
        <f t="shared" si="306"/>
        <v>99.324000000332035</v>
      </c>
      <c r="I699" s="311">
        <f t="shared" si="306"/>
        <v>9.3479999999047809</v>
      </c>
      <c r="J699" s="311">
        <f t="shared" si="306"/>
        <v>164.10599999967826</v>
      </c>
      <c r="K699" s="311"/>
      <c r="L699" s="311">
        <f t="shared" ref="L699:O699" si="307">SUM(L689:L697)</f>
        <v>64.859999999866773</v>
      </c>
      <c r="M699" s="311">
        <f t="shared" si="307"/>
        <v>111.15599999901218</v>
      </c>
      <c r="N699" s="311">
        <f t="shared" si="307"/>
        <v>10.865000000018423</v>
      </c>
      <c r="O699" s="311">
        <f t="shared" si="307"/>
        <v>186.88099999889738</v>
      </c>
    </row>
    <row r="700" spans="1:15" s="236" customFormat="1" x14ac:dyDescent="0.3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37"/>
      <c r="M700" s="237"/>
      <c r="N700" s="240"/>
    </row>
    <row r="701" spans="1:15" s="236" customFormat="1" x14ac:dyDescent="0.3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40"/>
      <c r="O701" s="251" t="s">
        <v>35</v>
      </c>
    </row>
    <row r="702" spans="1:15" s="236" customFormat="1" x14ac:dyDescent="0.3">
      <c r="A702" s="242"/>
      <c r="B702" s="242"/>
      <c r="C702" s="242"/>
      <c r="D702" s="242"/>
      <c r="E702" s="242"/>
      <c r="F702" s="242"/>
      <c r="G702" s="242"/>
      <c r="H702" s="242"/>
      <c r="I702" s="242"/>
      <c r="J702" s="242"/>
      <c r="K702" s="242"/>
      <c r="L702" s="242"/>
      <c r="M702" s="242"/>
      <c r="N702" s="242"/>
      <c r="O702" s="242"/>
    </row>
    <row r="703" spans="1:15" s="236" customFormat="1" x14ac:dyDescent="0.3">
      <c r="A703" s="241" t="str">
        <f>name!A44</f>
        <v>Publishing activities</v>
      </c>
      <c r="B703" s="375">
        <f>$B$6</f>
        <v>2015</v>
      </c>
      <c r="C703" s="375"/>
      <c r="D703" s="375"/>
      <c r="E703" s="375"/>
      <c r="F703" s="263"/>
      <c r="G703" s="375">
        <f>$G$6</f>
        <v>2020</v>
      </c>
      <c r="H703" s="375"/>
      <c r="I703" s="375"/>
      <c r="J703" s="375"/>
      <c r="K703" s="263"/>
      <c r="L703" s="375">
        <f>$L$6</f>
        <v>2035</v>
      </c>
      <c r="M703" s="375"/>
      <c r="N703" s="375"/>
      <c r="O703" s="375"/>
    </row>
    <row r="704" spans="1:15" s="236" customFormat="1" x14ac:dyDescent="0.3">
      <c r="A704" s="254"/>
      <c r="B704" s="268" t="str">
        <f>$B$7</f>
        <v>FT</v>
      </c>
      <c r="C704" s="268" t="str">
        <f>$C$7</f>
        <v>PT</v>
      </c>
      <c r="D704" s="268" t="str">
        <f>$D$7</f>
        <v>SE</v>
      </c>
      <c r="E704" s="268" t="str">
        <f>$E$7</f>
        <v>Total</v>
      </c>
      <c r="F704" s="268"/>
      <c r="G704" s="268" t="str">
        <f>$G$7</f>
        <v>FT</v>
      </c>
      <c r="H704" s="268" t="str">
        <f>$H$7</f>
        <v>PT</v>
      </c>
      <c r="I704" s="268" t="str">
        <f>$I$7</f>
        <v>SE</v>
      </c>
      <c r="J704" s="268" t="str">
        <f>$J$7</f>
        <v>Total</v>
      </c>
      <c r="K704" s="268"/>
      <c r="L704" s="268" t="str">
        <f>$L$7</f>
        <v>FT</v>
      </c>
      <c r="M704" s="268" t="str">
        <f>$M$7</f>
        <v>PT</v>
      </c>
      <c r="N704" s="268" t="str">
        <f>$N$7</f>
        <v>SE</v>
      </c>
      <c r="O704" s="268" t="str">
        <f>$O$7</f>
        <v>Total</v>
      </c>
    </row>
    <row r="705" spans="1:15" s="236" customFormat="1" x14ac:dyDescent="0.3">
      <c r="A705" s="258"/>
      <c r="B705" s="239"/>
      <c r="C705" s="239"/>
      <c r="D705" s="239"/>
      <c r="E705" s="239"/>
      <c r="F705" s="239"/>
      <c r="G705" s="239"/>
      <c r="H705" s="239"/>
      <c r="I705" s="239"/>
      <c r="J705" s="239"/>
      <c r="K705" s="239"/>
      <c r="L705" s="239"/>
      <c r="M705" s="239"/>
      <c r="N705" s="239"/>
      <c r="O705" s="239"/>
    </row>
    <row r="706" spans="1:15" s="236" customFormat="1" x14ac:dyDescent="0.3">
      <c r="A706" s="237" t="str">
        <f>name!E$4</f>
        <v>Managers, directors and senior officials</v>
      </c>
      <c r="B706" s="302">
        <v>2.1037439086868335</v>
      </c>
      <c r="C706" s="302">
        <v>0.41777486876724595</v>
      </c>
      <c r="D706" s="302">
        <v>0.98840456483836359</v>
      </c>
      <c r="E706" s="302">
        <f>SUM(B706:D706)</f>
        <v>3.509923342292443</v>
      </c>
      <c r="F706" s="303"/>
      <c r="G706" s="302">
        <v>2.213361775655033</v>
      </c>
      <c r="H706" s="302">
        <v>0.46254443989870803</v>
      </c>
      <c r="I706" s="302">
        <v>0.9400277616074233</v>
      </c>
      <c r="J706" s="302">
        <f>SUM(G706:I706)</f>
        <v>3.6159339771611645</v>
      </c>
      <c r="K706" s="303"/>
      <c r="L706" s="302">
        <v>2.1676845608411441</v>
      </c>
      <c r="M706" s="302">
        <v>0.4652932916405777</v>
      </c>
      <c r="N706" s="302">
        <v>0.98362971362897</v>
      </c>
      <c r="O706" s="302">
        <f>SUM(L706:N706)</f>
        <v>3.6166075661106918</v>
      </c>
    </row>
    <row r="707" spans="1:15" s="236" customFormat="1" x14ac:dyDescent="0.3">
      <c r="A707" s="237" t="str">
        <f>name!E$5</f>
        <v>Professional occupations</v>
      </c>
      <c r="B707" s="302">
        <v>3.2025463567483476</v>
      </c>
      <c r="C707" s="302">
        <v>0.61032706947594695</v>
      </c>
      <c r="D707" s="302">
        <v>1.3396109876109523</v>
      </c>
      <c r="E707" s="302">
        <f t="shared" ref="E707:E714" si="308">SUM(B707:D707)</f>
        <v>5.1524844138352472</v>
      </c>
      <c r="F707" s="303"/>
      <c r="G707" s="302">
        <v>3.8006836587547097</v>
      </c>
      <c r="H707" s="302">
        <v>0.6644290796005029</v>
      </c>
      <c r="I707" s="302">
        <v>1.2338058544710016</v>
      </c>
      <c r="J707" s="302">
        <f t="shared" ref="J707:J709" si="309">SUM(G707:I707)</f>
        <v>5.6989185928262147</v>
      </c>
      <c r="K707" s="303"/>
      <c r="L707" s="302">
        <v>4.0409525168032685</v>
      </c>
      <c r="M707" s="302">
        <v>0.83292355741500657</v>
      </c>
      <c r="N707" s="302">
        <v>0.9888541635996394</v>
      </c>
      <c r="O707" s="302">
        <f t="shared" ref="O707:O714" si="310">SUM(L707:N707)</f>
        <v>5.8627302378179147</v>
      </c>
    </row>
    <row r="708" spans="1:15" s="236" customFormat="1" x14ac:dyDescent="0.3">
      <c r="A708" s="237" t="str">
        <f>name!E$6</f>
        <v>Associate professional occupations</v>
      </c>
      <c r="B708" s="302">
        <v>2.5470878712124598</v>
      </c>
      <c r="C708" s="302">
        <v>0.76628228747200733</v>
      </c>
      <c r="D708" s="302">
        <v>2.302642696448439</v>
      </c>
      <c r="E708" s="302">
        <f t="shared" si="308"/>
        <v>5.6160128551329063</v>
      </c>
      <c r="F708" s="303"/>
      <c r="G708" s="302">
        <v>3.0497108543615772</v>
      </c>
      <c r="H708" s="302">
        <v>0.69854555871742663</v>
      </c>
      <c r="I708" s="302">
        <v>1.6001577998871077</v>
      </c>
      <c r="J708" s="302">
        <f t="shared" si="309"/>
        <v>5.3484142129661114</v>
      </c>
      <c r="K708" s="303"/>
      <c r="L708" s="302">
        <v>3.0674976848503328</v>
      </c>
      <c r="M708" s="302">
        <v>0.70671115106956173</v>
      </c>
      <c r="N708" s="302">
        <v>1.5088606907933906</v>
      </c>
      <c r="O708" s="302">
        <f t="shared" si="310"/>
        <v>5.2830695267132848</v>
      </c>
    </row>
    <row r="709" spans="1:15" s="236" customFormat="1" x14ac:dyDescent="0.3">
      <c r="A709" s="237" t="str">
        <f>name!E$7</f>
        <v>Administrative and secretarial occupations</v>
      </c>
      <c r="B709" s="302">
        <v>0.87736286597727109</v>
      </c>
      <c r="C709" s="302">
        <v>0.69901843927578466</v>
      </c>
      <c r="D709" s="302">
        <v>0.21288967641457898</v>
      </c>
      <c r="E709" s="302">
        <f t="shared" si="308"/>
        <v>1.7892709816676347</v>
      </c>
      <c r="F709" s="303"/>
      <c r="G709" s="302">
        <v>0.94170371328836611</v>
      </c>
      <c r="H709" s="302">
        <v>0.51333901255814773</v>
      </c>
      <c r="I709" s="302">
        <v>0.12254809420715063</v>
      </c>
      <c r="J709" s="302">
        <f t="shared" si="309"/>
        <v>1.5775908200536644</v>
      </c>
      <c r="K709" s="303"/>
      <c r="L709" s="302">
        <v>0.58013503013908718</v>
      </c>
      <c r="M709" s="302">
        <v>0.32918441676348958</v>
      </c>
      <c r="N709" s="302">
        <v>9.1374604214151778E-2</v>
      </c>
      <c r="O709" s="302">
        <f t="shared" si="310"/>
        <v>1.0006940511167284</v>
      </c>
    </row>
    <row r="710" spans="1:15" s="236" customFormat="1" x14ac:dyDescent="0.3">
      <c r="A710" s="237" t="str">
        <f>name!E$8</f>
        <v>Skilled trades occupations</v>
      </c>
      <c r="B710" s="302">
        <v>1.1943650528832885</v>
      </c>
      <c r="C710" s="302">
        <v>0.25130736328096709</v>
      </c>
      <c r="D710" s="302">
        <v>0.5019050148171843</v>
      </c>
      <c r="E710" s="302">
        <f t="shared" si="308"/>
        <v>1.9475774309814398</v>
      </c>
      <c r="F710" s="303"/>
      <c r="G710" s="302">
        <v>0.83456703002884214</v>
      </c>
      <c r="H710" s="302">
        <v>0.14927730696480365</v>
      </c>
      <c r="I710" s="302">
        <v>0.42378019353249691</v>
      </c>
      <c r="J710" s="302">
        <f>SUM(G710:I710)</f>
        <v>1.4076245305261428</v>
      </c>
      <c r="K710" s="303"/>
      <c r="L710" s="302">
        <v>0.45378363588597076</v>
      </c>
      <c r="M710" s="302">
        <v>0.14585624511398868</v>
      </c>
      <c r="N710" s="302">
        <v>0.45573742022271885</v>
      </c>
      <c r="O710" s="302">
        <f t="shared" si="310"/>
        <v>1.0553773012226784</v>
      </c>
    </row>
    <row r="711" spans="1:15" s="236" customFormat="1" x14ac:dyDescent="0.3">
      <c r="A711" s="237" t="str">
        <f>name!E$9</f>
        <v>Caring, leisure and other service occupations</v>
      </c>
      <c r="B711" s="302">
        <v>8.5264188010414368E-2</v>
      </c>
      <c r="C711" s="302">
        <v>8.2303003752681111E-2</v>
      </c>
      <c r="D711" s="302">
        <v>6.202011236470794E-2</v>
      </c>
      <c r="E711" s="302">
        <f t="shared" si="308"/>
        <v>0.22958730412780343</v>
      </c>
      <c r="F711" s="303"/>
      <c r="G711" s="302">
        <v>8.0047486576563048E-2</v>
      </c>
      <c r="H711" s="302">
        <v>5.9617560910984947E-2</v>
      </c>
      <c r="I711" s="302">
        <v>4.5791582946299987E-2</v>
      </c>
      <c r="J711" s="302">
        <f t="shared" ref="J711:J714" si="311">SUM(G711:I711)</f>
        <v>0.18545663043384797</v>
      </c>
      <c r="K711" s="303"/>
      <c r="L711" s="302">
        <v>8.7569435365808287E-2</v>
      </c>
      <c r="M711" s="302">
        <v>5.345479650868009E-2</v>
      </c>
      <c r="N711" s="302">
        <v>6.2968835266524609E-2</v>
      </c>
      <c r="O711" s="302">
        <f t="shared" si="310"/>
        <v>0.20399306714101298</v>
      </c>
    </row>
    <row r="712" spans="1:15" s="236" customFormat="1" x14ac:dyDescent="0.3">
      <c r="A712" s="237" t="str">
        <f>name!E$10</f>
        <v>Sales and customer service occupations</v>
      </c>
      <c r="B712" s="302">
        <v>0.55769137090364451</v>
      </c>
      <c r="C712" s="302">
        <v>0.25058575829055652</v>
      </c>
      <c r="D712" s="302">
        <v>0.21125113058344866</v>
      </c>
      <c r="E712" s="302">
        <f t="shared" si="308"/>
        <v>1.0195282597776496</v>
      </c>
      <c r="F712" s="303"/>
      <c r="G712" s="302">
        <v>0.56786639239899539</v>
      </c>
      <c r="H712" s="302">
        <v>0.19311177551107711</v>
      </c>
      <c r="I712" s="302">
        <v>0.11578590995401598</v>
      </c>
      <c r="J712" s="302">
        <f t="shared" si="311"/>
        <v>0.87676407786408839</v>
      </c>
      <c r="K712" s="303"/>
      <c r="L712" s="302">
        <v>0.5496305215097339</v>
      </c>
      <c r="M712" s="302">
        <v>0.21336520424201388</v>
      </c>
      <c r="N712" s="302">
        <v>9.266734538004387E-2</v>
      </c>
      <c r="O712" s="302">
        <f t="shared" si="310"/>
        <v>0.85566307113179163</v>
      </c>
    </row>
    <row r="713" spans="1:15" s="236" customFormat="1" x14ac:dyDescent="0.3">
      <c r="A713" s="237" t="str">
        <f>name!E$11</f>
        <v>Process, plant and machine operatives</v>
      </c>
      <c r="B713" s="302">
        <v>0.32783401511485771</v>
      </c>
      <c r="C713" s="302">
        <v>0.19434247717958766</v>
      </c>
      <c r="D713" s="302">
        <v>0.11427166335800376</v>
      </c>
      <c r="E713" s="302">
        <f t="shared" si="308"/>
        <v>0.63644815565244917</v>
      </c>
      <c r="F713" s="303"/>
      <c r="G713" s="302">
        <v>0.25191022413664094</v>
      </c>
      <c r="H713" s="302">
        <v>0.17418045344475161</v>
      </c>
      <c r="I713" s="302">
        <v>0.11540679746960071</v>
      </c>
      <c r="J713" s="302">
        <f t="shared" si="311"/>
        <v>0.54149747505099322</v>
      </c>
      <c r="K713" s="303"/>
      <c r="L713" s="302">
        <v>0.20186519665675473</v>
      </c>
      <c r="M713" s="302">
        <v>0.21871254671992948</v>
      </c>
      <c r="N713" s="302">
        <v>0.13043261218205512</v>
      </c>
      <c r="O713" s="302">
        <f t="shared" si="310"/>
        <v>0.55101035555873934</v>
      </c>
    </row>
    <row r="714" spans="1:15" s="236" customFormat="1" x14ac:dyDescent="0.3">
      <c r="A714" s="237" t="str">
        <f>name!E$12</f>
        <v>Elementary occupations</v>
      </c>
      <c r="B714" s="302">
        <v>0.72810437034540587</v>
      </c>
      <c r="C714" s="302">
        <v>0.84605873251235164</v>
      </c>
      <c r="D714" s="302">
        <v>7.3004153613472553E-2</v>
      </c>
      <c r="E714" s="302">
        <f t="shared" si="308"/>
        <v>1.6471672564712299</v>
      </c>
      <c r="F714" s="303"/>
      <c r="G714" s="302">
        <v>0.53714886473317003</v>
      </c>
      <c r="H714" s="302">
        <v>0.53695481238246423</v>
      </c>
      <c r="I714" s="302">
        <v>3.9696005951565527E-2</v>
      </c>
      <c r="J714" s="302">
        <f t="shared" si="311"/>
        <v>1.1137996830671999</v>
      </c>
      <c r="K714" s="303"/>
      <c r="L714" s="302">
        <v>0.39588141787607817</v>
      </c>
      <c r="M714" s="302">
        <v>0.50549879050945112</v>
      </c>
      <c r="N714" s="302">
        <v>4.0474614786448794E-2</v>
      </c>
      <c r="O714" s="302">
        <f t="shared" si="310"/>
        <v>0.94185482317197811</v>
      </c>
    </row>
    <row r="715" spans="1:15" s="236" customFormat="1" x14ac:dyDescent="0.3">
      <c r="A715" s="237"/>
      <c r="B715" s="302"/>
      <c r="C715" s="302"/>
      <c r="D715" s="302"/>
      <c r="E715" s="302"/>
      <c r="F715" s="303"/>
      <c r="G715" s="302"/>
      <c r="H715" s="302"/>
      <c r="I715" s="302"/>
      <c r="J715" s="302"/>
      <c r="K715" s="303"/>
      <c r="L715" s="302"/>
      <c r="M715" s="302"/>
      <c r="N715" s="302"/>
      <c r="O715" s="302"/>
    </row>
    <row r="716" spans="1:15" s="236" customFormat="1" x14ac:dyDescent="0.3">
      <c r="A716" s="244" t="s">
        <v>32</v>
      </c>
      <c r="B716" s="311">
        <f>SUM(B706:B714)</f>
        <v>11.623999999882523</v>
      </c>
      <c r="C716" s="311">
        <f t="shared" ref="C716:E716" si="312">SUM(C706:C714)</f>
        <v>4.1180000000071297</v>
      </c>
      <c r="D716" s="311">
        <f t="shared" si="312"/>
        <v>5.806000000049151</v>
      </c>
      <c r="E716" s="311">
        <f t="shared" si="312"/>
        <v>21.547999999938806</v>
      </c>
      <c r="F716" s="311"/>
      <c r="G716" s="311">
        <f t="shared" ref="G716:J716" si="313">SUM(G706:G714)</f>
        <v>12.276999999933896</v>
      </c>
      <c r="H716" s="311">
        <f t="shared" si="313"/>
        <v>3.4519999999888666</v>
      </c>
      <c r="I716" s="311">
        <f t="shared" si="313"/>
        <v>4.6370000000266618</v>
      </c>
      <c r="J716" s="311">
        <f t="shared" si="313"/>
        <v>20.365999999949427</v>
      </c>
      <c r="K716" s="311"/>
      <c r="L716" s="311">
        <f t="shared" ref="L716:O716" si="314">SUM(L706:L714)</f>
        <v>11.544999999928178</v>
      </c>
      <c r="M716" s="311">
        <f t="shared" si="314"/>
        <v>3.4709999999826993</v>
      </c>
      <c r="N716" s="311">
        <f t="shared" si="314"/>
        <v>4.3550000000739439</v>
      </c>
      <c r="O716" s="311">
        <f t="shared" si="314"/>
        <v>19.370999999984818</v>
      </c>
    </row>
    <row r="717" spans="1:15" s="236" customFormat="1" x14ac:dyDescent="0.3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37"/>
      <c r="M717" s="237"/>
      <c r="N717" s="240"/>
    </row>
    <row r="718" spans="1:15" s="236" customFormat="1" x14ac:dyDescent="0.3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37"/>
      <c r="M718" s="237"/>
      <c r="N718" s="240"/>
      <c r="O718" s="251" t="s">
        <v>35</v>
      </c>
    </row>
    <row r="719" spans="1:15" s="236" customFormat="1" x14ac:dyDescent="0.3">
      <c r="A719" s="242"/>
      <c r="B719" s="242"/>
      <c r="C719" s="242"/>
      <c r="D719" s="242"/>
      <c r="E719" s="242"/>
      <c r="F719" s="242"/>
      <c r="G719" s="242"/>
      <c r="H719" s="242"/>
      <c r="I719" s="242"/>
      <c r="J719" s="242"/>
      <c r="K719" s="242"/>
      <c r="L719" s="242"/>
      <c r="M719" s="242"/>
      <c r="N719" s="242"/>
      <c r="O719" s="242"/>
    </row>
    <row r="720" spans="1:15" s="236" customFormat="1" x14ac:dyDescent="0.3">
      <c r="A720" s="241" t="str">
        <f>name!A45</f>
        <v>Film and music</v>
      </c>
      <c r="B720" s="375">
        <f>$B$6</f>
        <v>2015</v>
      </c>
      <c r="C720" s="375"/>
      <c r="D720" s="375"/>
      <c r="E720" s="375"/>
      <c r="F720" s="263"/>
      <c r="G720" s="375">
        <f>$G$6</f>
        <v>2020</v>
      </c>
      <c r="H720" s="375"/>
      <c r="I720" s="375"/>
      <c r="J720" s="375"/>
      <c r="K720" s="263"/>
      <c r="L720" s="375">
        <f>$L$6</f>
        <v>2035</v>
      </c>
      <c r="M720" s="375"/>
      <c r="N720" s="375"/>
      <c r="O720" s="375"/>
    </row>
    <row r="721" spans="1:15" s="236" customFormat="1" x14ac:dyDescent="0.3">
      <c r="A721" s="254"/>
      <c r="B721" s="268" t="str">
        <f>$B$7</f>
        <v>FT</v>
      </c>
      <c r="C721" s="268" t="str">
        <f>$C$7</f>
        <v>PT</v>
      </c>
      <c r="D721" s="268" t="str">
        <f>$D$7</f>
        <v>SE</v>
      </c>
      <c r="E721" s="268" t="str">
        <f>$E$7</f>
        <v>Total</v>
      </c>
      <c r="F721" s="268"/>
      <c r="G721" s="268" t="str">
        <f>$G$7</f>
        <v>FT</v>
      </c>
      <c r="H721" s="268" t="str">
        <f>$H$7</f>
        <v>PT</v>
      </c>
      <c r="I721" s="268" t="str">
        <f>$I$7</f>
        <v>SE</v>
      </c>
      <c r="J721" s="268" t="str">
        <f>$J$7</f>
        <v>Total</v>
      </c>
      <c r="K721" s="268"/>
      <c r="L721" s="268" t="str">
        <f>$L$7</f>
        <v>FT</v>
      </c>
      <c r="M721" s="268" t="str">
        <f>$M$7</f>
        <v>PT</v>
      </c>
      <c r="N721" s="268" t="str">
        <f>$N$7</f>
        <v>SE</v>
      </c>
      <c r="O721" s="268" t="str">
        <f>$O$7</f>
        <v>Total</v>
      </c>
    </row>
    <row r="722" spans="1:15" s="236" customFormat="1" x14ac:dyDescent="0.3">
      <c r="A722" s="258"/>
      <c r="B722" s="239"/>
      <c r="C722" s="239"/>
      <c r="D722" s="239"/>
      <c r="E722" s="239"/>
      <c r="F722" s="239"/>
      <c r="G722" s="239"/>
      <c r="H722" s="239"/>
      <c r="I722" s="239"/>
      <c r="J722" s="239"/>
      <c r="K722" s="239"/>
      <c r="L722" s="239"/>
      <c r="M722" s="239"/>
      <c r="N722" s="239"/>
      <c r="O722" s="239"/>
    </row>
    <row r="723" spans="1:15" s="236" customFormat="1" x14ac:dyDescent="0.3">
      <c r="A723" s="237" t="str">
        <f>name!E$4</f>
        <v>Managers, directors and senior officials</v>
      </c>
      <c r="B723" s="302">
        <v>1.3801352190181173</v>
      </c>
      <c r="C723" s="302">
        <v>0.51693794474825971</v>
      </c>
      <c r="D723" s="302">
        <v>0.22052761619919545</v>
      </c>
      <c r="E723" s="302">
        <f>SUM(B723:D723)</f>
        <v>2.1176007799655725</v>
      </c>
      <c r="F723" s="303"/>
      <c r="G723" s="302">
        <v>0.9529573919082488</v>
      </c>
      <c r="H723" s="302">
        <v>0.39903626329016567</v>
      </c>
      <c r="I723" s="302">
        <v>0.11342214025889535</v>
      </c>
      <c r="J723" s="302">
        <f>SUM(G723:I723)</f>
        <v>1.4654157954573097</v>
      </c>
      <c r="K723" s="303"/>
      <c r="L723" s="302">
        <v>1.1373255588320363</v>
      </c>
      <c r="M723" s="302">
        <v>0.56658077444244936</v>
      </c>
      <c r="N723" s="302">
        <v>0.12251599474430125</v>
      </c>
      <c r="O723" s="302">
        <f>SUM(L723:N723)</f>
        <v>1.826422328018787</v>
      </c>
    </row>
    <row r="724" spans="1:15" s="236" customFormat="1" x14ac:dyDescent="0.3">
      <c r="A724" s="237" t="str">
        <f>name!E$5</f>
        <v>Professional occupations</v>
      </c>
      <c r="B724" s="302">
        <v>0.91588144796123017</v>
      </c>
      <c r="C724" s="302">
        <v>0.30574221074670083</v>
      </c>
      <c r="D724" s="302">
        <v>0.70973580249999302</v>
      </c>
      <c r="E724" s="302">
        <f t="shared" ref="E724:E731" si="315">SUM(B724:D724)</f>
        <v>1.9313594612079239</v>
      </c>
      <c r="F724" s="303"/>
      <c r="G724" s="302">
        <v>0.71371770002071633</v>
      </c>
      <c r="H724" s="302">
        <v>0.24878324405992719</v>
      </c>
      <c r="I724" s="302">
        <v>0.29613628162961458</v>
      </c>
      <c r="J724" s="302">
        <f t="shared" ref="J724:J726" si="316">SUM(G724:I724)</f>
        <v>1.2586372257102583</v>
      </c>
      <c r="K724" s="303"/>
      <c r="L724" s="302">
        <v>0.68330070397105147</v>
      </c>
      <c r="M724" s="302">
        <v>0.32034137382462713</v>
      </c>
      <c r="N724" s="302">
        <v>0.26316426148877575</v>
      </c>
      <c r="O724" s="302">
        <f t="shared" ref="O724:O731" si="317">SUM(L724:N724)</f>
        <v>1.2668063392844542</v>
      </c>
    </row>
    <row r="725" spans="1:15" s="236" customFormat="1" x14ac:dyDescent="0.3">
      <c r="A725" s="237" t="str">
        <f>name!E$6</f>
        <v>Associate professional occupations</v>
      </c>
      <c r="B725" s="302">
        <v>0.98274540274222899</v>
      </c>
      <c r="C725" s="302">
        <v>0.46076015499562367</v>
      </c>
      <c r="D725" s="302">
        <v>2.1408176225990276</v>
      </c>
      <c r="E725" s="302">
        <f t="shared" si="315"/>
        <v>3.58432318033688</v>
      </c>
      <c r="F725" s="303"/>
      <c r="G725" s="302">
        <v>0.65630958398545747</v>
      </c>
      <c r="H725" s="302">
        <v>0.29901824894186246</v>
      </c>
      <c r="I725" s="302">
        <v>0.84376187795101298</v>
      </c>
      <c r="J725" s="302">
        <f t="shared" si="316"/>
        <v>1.799089710878333</v>
      </c>
      <c r="K725" s="303"/>
      <c r="L725" s="302">
        <v>0.50609863932248411</v>
      </c>
      <c r="M725" s="302">
        <v>0.2743033537374221</v>
      </c>
      <c r="N725" s="302">
        <v>0.8097520766866807</v>
      </c>
      <c r="O725" s="302">
        <f t="shared" si="317"/>
        <v>1.5901540697465868</v>
      </c>
    </row>
    <row r="726" spans="1:15" s="236" customFormat="1" x14ac:dyDescent="0.3">
      <c r="A726" s="237" t="str">
        <f>name!E$7</f>
        <v>Administrative and secretarial occupations</v>
      </c>
      <c r="B726" s="302">
        <v>0.630112662894312</v>
      </c>
      <c r="C726" s="302">
        <v>0.80279746296106669</v>
      </c>
      <c r="D726" s="302">
        <v>0.10106921636449188</v>
      </c>
      <c r="E726" s="302">
        <f t="shared" si="315"/>
        <v>1.5339793422198706</v>
      </c>
      <c r="F726" s="303"/>
      <c r="G726" s="302">
        <v>0.41529779728979949</v>
      </c>
      <c r="H726" s="302">
        <v>0.42006839402851548</v>
      </c>
      <c r="I726" s="302">
        <v>2.7318312730940153E-2</v>
      </c>
      <c r="J726" s="302">
        <f t="shared" si="316"/>
        <v>0.86268450404925523</v>
      </c>
      <c r="K726" s="303"/>
      <c r="L726" s="302">
        <v>0.21517439173343408</v>
      </c>
      <c r="M726" s="302">
        <v>0.2697975794077454</v>
      </c>
      <c r="N726" s="302">
        <v>2.7487338722239969E-2</v>
      </c>
      <c r="O726" s="302">
        <f t="shared" si="317"/>
        <v>0.51245930986341948</v>
      </c>
    </row>
    <row r="727" spans="1:15" s="236" customFormat="1" x14ac:dyDescent="0.3">
      <c r="A727" s="237" t="str">
        <f>name!E$8</f>
        <v>Skilled trades occupations</v>
      </c>
      <c r="B727" s="302">
        <v>0.46130262116242104</v>
      </c>
      <c r="C727" s="302">
        <v>0.20225982293473063</v>
      </c>
      <c r="D727" s="302">
        <v>0.31416061472997819</v>
      </c>
      <c r="E727" s="302">
        <f t="shared" si="315"/>
        <v>0.97772305882712995</v>
      </c>
      <c r="F727" s="303"/>
      <c r="G727" s="302">
        <v>0.24282673350632147</v>
      </c>
      <c r="H727" s="302">
        <v>0.1133320347437746</v>
      </c>
      <c r="I727" s="302">
        <v>0.11192027549282989</v>
      </c>
      <c r="J727" s="302">
        <f>SUM(G727:I727)</f>
        <v>0.46807904374292597</v>
      </c>
      <c r="K727" s="303"/>
      <c r="L727" s="302">
        <v>0.24207480069548074</v>
      </c>
      <c r="M727" s="302">
        <v>0.21262926795464551</v>
      </c>
      <c r="N727" s="302">
        <v>0.10301621386481985</v>
      </c>
      <c r="O727" s="302">
        <f t="shared" si="317"/>
        <v>0.5577202825149461</v>
      </c>
    </row>
    <row r="728" spans="1:15" s="236" customFormat="1" x14ac:dyDescent="0.3">
      <c r="A728" s="237" t="str">
        <f>name!E$9</f>
        <v>Caring, leisure and other service occupations</v>
      </c>
      <c r="B728" s="302">
        <v>0.40899757430483741</v>
      </c>
      <c r="C728" s="302">
        <v>0.53807332831153498</v>
      </c>
      <c r="D728" s="302">
        <v>0.10380410676862822</v>
      </c>
      <c r="E728" s="302">
        <f t="shared" si="315"/>
        <v>1.0508750093850006</v>
      </c>
      <c r="F728" s="303"/>
      <c r="G728" s="302">
        <v>0.24141558600936044</v>
      </c>
      <c r="H728" s="302">
        <v>0.2735923030742487</v>
      </c>
      <c r="I728" s="302">
        <v>3.4474336684135215E-2</v>
      </c>
      <c r="J728" s="302">
        <f t="shared" ref="J728:J731" si="318">SUM(G728:I728)</f>
        <v>0.54948222576774441</v>
      </c>
      <c r="K728" s="303"/>
      <c r="L728" s="302">
        <v>0.21601497437394168</v>
      </c>
      <c r="M728" s="302">
        <v>0.24281318341215266</v>
      </c>
      <c r="N728" s="302">
        <v>4.2417403547312479E-2</v>
      </c>
      <c r="O728" s="302">
        <f t="shared" si="317"/>
        <v>0.50124556133340681</v>
      </c>
    </row>
    <row r="729" spans="1:15" s="236" customFormat="1" x14ac:dyDescent="0.3">
      <c r="A729" s="237" t="str">
        <f>name!E$10</f>
        <v>Sales and customer service occupations</v>
      </c>
      <c r="B729" s="302">
        <v>0.42816957276552342</v>
      </c>
      <c r="C729" s="302">
        <v>0.36333796657827366</v>
      </c>
      <c r="D729" s="302">
        <v>5.4456465310971772E-2</v>
      </c>
      <c r="E729" s="302">
        <f t="shared" si="315"/>
        <v>0.84596400465476895</v>
      </c>
      <c r="F729" s="303"/>
      <c r="G729" s="302">
        <v>0.26953019545039658</v>
      </c>
      <c r="H729" s="302">
        <v>0.20128732949826975</v>
      </c>
      <c r="I729" s="302">
        <v>2.0016572584325321E-2</v>
      </c>
      <c r="J729" s="302">
        <f t="shared" si="318"/>
        <v>0.49083409753299168</v>
      </c>
      <c r="K729" s="303"/>
      <c r="L729" s="302">
        <v>0.2736495436780525</v>
      </c>
      <c r="M729" s="302">
        <v>0.21025597468245377</v>
      </c>
      <c r="N729" s="302">
        <v>1.8402523222609667E-2</v>
      </c>
      <c r="O729" s="302">
        <f t="shared" si="317"/>
        <v>0.50230804158311593</v>
      </c>
    </row>
    <row r="730" spans="1:15" s="236" customFormat="1" x14ac:dyDescent="0.3">
      <c r="A730" s="237" t="str">
        <f>name!E$11</f>
        <v>Process, plant and machine operatives</v>
      </c>
      <c r="B730" s="302">
        <v>0.11312511001784037</v>
      </c>
      <c r="C730" s="302">
        <v>7.4465962386080317E-2</v>
      </c>
      <c r="D730" s="302">
        <v>2.329329465116892E-2</v>
      </c>
      <c r="E730" s="302">
        <f t="shared" si="315"/>
        <v>0.21088436705508962</v>
      </c>
      <c r="F730" s="303"/>
      <c r="G730" s="302">
        <v>5.3357222966954457E-2</v>
      </c>
      <c r="H730" s="302">
        <v>4.8866026440232815E-2</v>
      </c>
      <c r="I730" s="302">
        <v>9.7158808503918694E-3</v>
      </c>
      <c r="J730" s="302">
        <f t="shared" si="318"/>
        <v>0.11193913025757914</v>
      </c>
      <c r="K730" s="303"/>
      <c r="L730" s="302">
        <v>5.2184294513758417E-2</v>
      </c>
      <c r="M730" s="302">
        <v>6.249107526046957E-2</v>
      </c>
      <c r="N730" s="302">
        <v>1.0411373517943733E-2</v>
      </c>
      <c r="O730" s="302">
        <f t="shared" si="317"/>
        <v>0.12508674329217173</v>
      </c>
    </row>
    <row r="731" spans="1:15" s="236" customFormat="1" x14ac:dyDescent="0.3">
      <c r="A731" s="237" t="str">
        <f>name!E$12</f>
        <v>Elementary occupations</v>
      </c>
      <c r="B731" s="302">
        <v>0.67153038910252061</v>
      </c>
      <c r="C731" s="302">
        <v>1.7416251464022598</v>
      </c>
      <c r="D731" s="302">
        <v>0.16213526093340722</v>
      </c>
      <c r="E731" s="302">
        <f t="shared" si="315"/>
        <v>2.5752907964381877</v>
      </c>
      <c r="F731" s="303"/>
      <c r="G731" s="302">
        <v>0.35558778885706904</v>
      </c>
      <c r="H731" s="302">
        <v>0.79801615591969244</v>
      </c>
      <c r="I731" s="302">
        <v>5.9234321845556749E-2</v>
      </c>
      <c r="J731" s="302">
        <f t="shared" si="318"/>
        <v>1.2128382666223181</v>
      </c>
      <c r="K731" s="303"/>
      <c r="L731" s="302">
        <v>0.36017709287527788</v>
      </c>
      <c r="M731" s="302">
        <v>0.61978741727411624</v>
      </c>
      <c r="N731" s="302">
        <v>6.3832814263739768E-2</v>
      </c>
      <c r="O731" s="302">
        <f t="shared" si="317"/>
        <v>1.0437973244131338</v>
      </c>
    </row>
    <row r="732" spans="1:15" s="236" customFormat="1" x14ac:dyDescent="0.3">
      <c r="A732" s="237"/>
      <c r="B732" s="302"/>
      <c r="C732" s="302"/>
      <c r="D732" s="302"/>
      <c r="E732" s="302"/>
      <c r="F732" s="303"/>
      <c r="G732" s="302"/>
      <c r="H732" s="302"/>
      <c r="I732" s="302"/>
      <c r="J732" s="302"/>
      <c r="K732" s="303"/>
      <c r="L732" s="302"/>
      <c r="M732" s="302"/>
      <c r="N732" s="302"/>
      <c r="O732" s="302"/>
    </row>
    <row r="733" spans="1:15" s="236" customFormat="1" x14ac:dyDescent="0.3">
      <c r="A733" s="244" t="s">
        <v>32</v>
      </c>
      <c r="B733" s="311">
        <f>SUM(B723:B731)</f>
        <v>5.9919999999690319</v>
      </c>
      <c r="C733" s="311">
        <f t="shared" ref="C733:E733" si="319">SUM(C723:C731)</f>
        <v>5.0060000000645308</v>
      </c>
      <c r="D733" s="311">
        <f t="shared" si="319"/>
        <v>3.8300000000568621</v>
      </c>
      <c r="E733" s="311">
        <f t="shared" si="319"/>
        <v>14.828000000090425</v>
      </c>
      <c r="F733" s="311"/>
      <c r="G733" s="311">
        <f t="shared" ref="G733:J733" si="320">SUM(G723:G731)</f>
        <v>3.9009999999943239</v>
      </c>
      <c r="H733" s="311">
        <f t="shared" si="320"/>
        <v>2.8019999999966889</v>
      </c>
      <c r="I733" s="311">
        <f t="shared" si="320"/>
        <v>1.5160000000277021</v>
      </c>
      <c r="J733" s="311">
        <f t="shared" si="320"/>
        <v>8.2190000000187169</v>
      </c>
      <c r="K733" s="311"/>
      <c r="L733" s="311">
        <f t="shared" ref="L733:O733" si="321">SUM(L723:L731)</f>
        <v>3.6859999999955173</v>
      </c>
      <c r="M733" s="311">
        <f t="shared" si="321"/>
        <v>2.7789999999960817</v>
      </c>
      <c r="N733" s="311">
        <f t="shared" si="321"/>
        <v>1.4610000000584233</v>
      </c>
      <c r="O733" s="311">
        <f t="shared" si="321"/>
        <v>7.9260000000500206</v>
      </c>
    </row>
    <row r="734" spans="1:15" s="236" customFormat="1" x14ac:dyDescent="0.3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40"/>
    </row>
    <row r="735" spans="1:15" s="236" customFormat="1" x14ac:dyDescent="0.3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37"/>
      <c r="M735" s="237"/>
      <c r="N735" s="240"/>
      <c r="O735" s="251" t="s">
        <v>35</v>
      </c>
    </row>
    <row r="736" spans="1:15" s="236" customFormat="1" x14ac:dyDescent="0.3">
      <c r="A736" s="242"/>
      <c r="B736" s="242"/>
      <c r="C736" s="242"/>
      <c r="D736" s="242"/>
      <c r="E736" s="242"/>
      <c r="F736" s="242"/>
      <c r="G736" s="242"/>
      <c r="H736" s="242"/>
      <c r="I736" s="242"/>
      <c r="J736" s="242"/>
      <c r="K736" s="242"/>
      <c r="L736" s="242"/>
      <c r="M736" s="242"/>
      <c r="N736" s="242"/>
      <c r="O736" s="242"/>
    </row>
    <row r="737" spans="1:15" s="236" customFormat="1" x14ac:dyDescent="0.3">
      <c r="A737" s="241" t="str">
        <f>name!A46</f>
        <v>Broadcasting</v>
      </c>
      <c r="B737" s="375">
        <f>$B$6</f>
        <v>2015</v>
      </c>
      <c r="C737" s="375"/>
      <c r="D737" s="375"/>
      <c r="E737" s="375"/>
      <c r="F737" s="263"/>
      <c r="G737" s="375">
        <f>$G$6</f>
        <v>2020</v>
      </c>
      <c r="H737" s="375"/>
      <c r="I737" s="375"/>
      <c r="J737" s="375"/>
      <c r="K737" s="263"/>
      <c r="L737" s="375">
        <f>$L$6</f>
        <v>2035</v>
      </c>
      <c r="M737" s="375"/>
      <c r="N737" s="375"/>
      <c r="O737" s="375"/>
    </row>
    <row r="738" spans="1:15" s="236" customFormat="1" x14ac:dyDescent="0.3">
      <c r="A738" s="254"/>
      <c r="B738" s="268" t="str">
        <f>$B$7</f>
        <v>FT</v>
      </c>
      <c r="C738" s="268" t="str">
        <f>$C$7</f>
        <v>PT</v>
      </c>
      <c r="D738" s="268" t="str">
        <f>$D$7</f>
        <v>SE</v>
      </c>
      <c r="E738" s="268" t="str">
        <f>$E$7</f>
        <v>Total</v>
      </c>
      <c r="F738" s="268"/>
      <c r="G738" s="268" t="str">
        <f>$G$7</f>
        <v>FT</v>
      </c>
      <c r="H738" s="268" t="str">
        <f>$H$7</f>
        <v>PT</v>
      </c>
      <c r="I738" s="268" t="str">
        <f>$I$7</f>
        <v>SE</v>
      </c>
      <c r="J738" s="268" t="str">
        <f>$J$7</f>
        <v>Total</v>
      </c>
      <c r="K738" s="268"/>
      <c r="L738" s="268" t="str">
        <f>$L$7</f>
        <v>FT</v>
      </c>
      <c r="M738" s="268" t="str">
        <f>$M$7</f>
        <v>PT</v>
      </c>
      <c r="N738" s="268" t="str">
        <f>$N$7</f>
        <v>SE</v>
      </c>
      <c r="O738" s="268" t="str">
        <f>$O$7</f>
        <v>Total</v>
      </c>
    </row>
    <row r="739" spans="1:15" s="236" customFormat="1" x14ac:dyDescent="0.3">
      <c r="A739" s="258"/>
      <c r="B739" s="239"/>
      <c r="C739" s="239"/>
      <c r="D739" s="239"/>
      <c r="E739" s="239"/>
      <c r="F739" s="239"/>
      <c r="G739" s="239"/>
      <c r="H739" s="239"/>
      <c r="I739" s="239"/>
      <c r="J739" s="239"/>
      <c r="K739" s="239"/>
      <c r="L739" s="239"/>
      <c r="M739" s="239"/>
      <c r="N739" s="239"/>
      <c r="O739" s="239"/>
    </row>
    <row r="740" spans="1:15" s="236" customFormat="1" x14ac:dyDescent="0.3">
      <c r="A740" s="237" t="str">
        <f>name!E$4</f>
        <v>Managers, directors and senior officials</v>
      </c>
      <c r="B740" s="302">
        <v>2.3716336388073508E-2</v>
      </c>
      <c r="C740" s="302">
        <v>4.88895639280312E-4</v>
      </c>
      <c r="D740" s="302">
        <v>3.3317832725270843E-3</v>
      </c>
      <c r="E740" s="302">
        <f>SUM(B740:D740)</f>
        <v>2.7537015299880906E-2</v>
      </c>
      <c r="F740" s="303"/>
      <c r="G740" s="302">
        <v>0.33207447063162016</v>
      </c>
      <c r="H740" s="302">
        <v>9.9973031013539312E-3</v>
      </c>
      <c r="I740" s="302">
        <v>6.1200994221352306E-2</v>
      </c>
      <c r="J740" s="302">
        <f>SUM(G740:I740)</f>
        <v>0.40327276795432643</v>
      </c>
      <c r="K740" s="303"/>
      <c r="L740" s="302">
        <v>0.31140198095554389</v>
      </c>
      <c r="M740" s="302">
        <v>1.4068568926039131E-2</v>
      </c>
      <c r="N740" s="302">
        <v>6.7908760914123595E-2</v>
      </c>
      <c r="O740" s="302">
        <f>SUM(L740:N740)</f>
        <v>0.39337931079570665</v>
      </c>
    </row>
    <row r="741" spans="1:15" s="236" customFormat="1" x14ac:dyDescent="0.3">
      <c r="A741" s="237" t="str">
        <f>name!E$5</f>
        <v>Professional occupations</v>
      </c>
      <c r="B741" s="302">
        <v>3.2692285620986514E-2</v>
      </c>
      <c r="C741" s="302">
        <v>4.631675494691663E-4</v>
      </c>
      <c r="D741" s="302">
        <v>1.1574524034353157E-2</v>
      </c>
      <c r="E741" s="302">
        <f t="shared" ref="E741:E748" si="322">SUM(B741:D741)</f>
        <v>4.4729977204808834E-2</v>
      </c>
      <c r="F741" s="303"/>
      <c r="G741" s="302">
        <v>0.52115501302394007</v>
      </c>
      <c r="H741" s="302">
        <v>1.2283550958755616E-2</v>
      </c>
      <c r="I741" s="302">
        <v>0.19468206408661956</v>
      </c>
      <c r="J741" s="302">
        <f t="shared" ref="J741:J743" si="323">SUM(G741:I741)</f>
        <v>0.72812062806931532</v>
      </c>
      <c r="K741" s="303"/>
      <c r="L741" s="302">
        <v>0.57636402259550457</v>
      </c>
      <c r="M741" s="302">
        <v>1.8496361035365901E-2</v>
      </c>
      <c r="N741" s="302">
        <v>0.16073441763734092</v>
      </c>
      <c r="O741" s="302">
        <f t="shared" ref="O741:O748" si="324">SUM(L741:N741)</f>
        <v>0.75559480126821144</v>
      </c>
    </row>
    <row r="742" spans="1:15" s="236" customFormat="1" x14ac:dyDescent="0.3">
      <c r="A742" s="237" t="str">
        <f>name!E$6</f>
        <v>Associate professional occupations</v>
      </c>
      <c r="B742" s="302">
        <v>2.3069694276904123E-2</v>
      </c>
      <c r="C742" s="302">
        <v>8.8976815072076257E-4</v>
      </c>
      <c r="D742" s="302">
        <v>2.7804957416924819E-2</v>
      </c>
      <c r="E742" s="302">
        <f t="shared" si="322"/>
        <v>5.17644198445497E-2</v>
      </c>
      <c r="F742" s="303"/>
      <c r="G742" s="302">
        <v>0.30474905284126408</v>
      </c>
      <c r="H742" s="302">
        <v>1.7694048749473845E-2</v>
      </c>
      <c r="I742" s="302">
        <v>0.48523036410934989</v>
      </c>
      <c r="J742" s="302">
        <f t="shared" si="323"/>
        <v>0.8076734657000878</v>
      </c>
      <c r="K742" s="303"/>
      <c r="L742" s="302">
        <v>0.21445481210175335</v>
      </c>
      <c r="M742" s="302">
        <v>1.6124978442782045E-2</v>
      </c>
      <c r="N742" s="302">
        <v>0.43685489494248669</v>
      </c>
      <c r="O742" s="302">
        <f t="shared" si="324"/>
        <v>0.66743468548702212</v>
      </c>
    </row>
    <row r="743" spans="1:15" s="236" customFormat="1" x14ac:dyDescent="0.3">
      <c r="A743" s="237" t="str">
        <f>name!E$7</f>
        <v>Administrative and secretarial occupations</v>
      </c>
      <c r="B743" s="302">
        <v>4.8563205200799998E-3</v>
      </c>
      <c r="C743" s="302">
        <v>6.8184749970090909E-4</v>
      </c>
      <c r="D743" s="302">
        <v>9.4663816521493751E-4</v>
      </c>
      <c r="E743" s="302">
        <f t="shared" si="322"/>
        <v>6.4848061849958468E-3</v>
      </c>
      <c r="F743" s="303"/>
      <c r="G743" s="302">
        <v>7.1014873669989223E-2</v>
      </c>
      <c r="H743" s="302">
        <v>1.0287627379974256E-2</v>
      </c>
      <c r="I743" s="302">
        <v>1.5411789149705825E-2</v>
      </c>
      <c r="J743" s="302">
        <f t="shared" si="323"/>
        <v>9.6714290199669303E-2</v>
      </c>
      <c r="K743" s="303"/>
      <c r="L743" s="302">
        <v>5.6263857114108168E-2</v>
      </c>
      <c r="M743" s="302">
        <v>5.1626892012321427E-3</v>
      </c>
      <c r="N743" s="302">
        <v>1.2699202983732359E-2</v>
      </c>
      <c r="O743" s="302">
        <f t="shared" si="324"/>
        <v>7.4125749299072674E-2</v>
      </c>
    </row>
    <row r="744" spans="1:15" s="236" customFormat="1" x14ac:dyDescent="0.3">
      <c r="A744" s="237" t="str">
        <f>name!E$8</f>
        <v>Skilled trades occupations</v>
      </c>
      <c r="B744" s="302">
        <v>1.9658919364376536E-2</v>
      </c>
      <c r="C744" s="302">
        <v>4.6212294653820343E-4</v>
      </c>
      <c r="D744" s="302">
        <v>4.284214747391356E-3</v>
      </c>
      <c r="E744" s="302">
        <f t="shared" si="322"/>
        <v>2.4405257058306096E-2</v>
      </c>
      <c r="F744" s="303"/>
      <c r="G744" s="302">
        <v>0.19966775002870396</v>
      </c>
      <c r="H744" s="302">
        <v>6.6662268272468274E-3</v>
      </c>
      <c r="I744" s="302">
        <v>7.0091271590375384E-2</v>
      </c>
      <c r="J744" s="302">
        <f>SUM(G744:I744)</f>
        <v>0.27642524844632615</v>
      </c>
      <c r="K744" s="303"/>
      <c r="L744" s="302">
        <v>0.1611624716020518</v>
      </c>
      <c r="M744" s="302">
        <v>9.4668974903409069E-3</v>
      </c>
      <c r="N744" s="302">
        <v>7.1961639558416307E-2</v>
      </c>
      <c r="O744" s="302">
        <f t="shared" si="324"/>
        <v>0.24259100865080901</v>
      </c>
    </row>
    <row r="745" spans="1:15" s="236" customFormat="1" x14ac:dyDescent="0.3">
      <c r="A745" s="237" t="str">
        <f>name!E$9</f>
        <v>Caring, leisure and other service occupations</v>
      </c>
      <c r="B745" s="302">
        <v>4.8170165893730984E-3</v>
      </c>
      <c r="C745" s="302">
        <v>7.3164443558857231E-4</v>
      </c>
      <c r="D745" s="302">
        <v>8.2692685293373055E-4</v>
      </c>
      <c r="E745" s="302">
        <f t="shared" si="322"/>
        <v>6.3755878778954007E-3</v>
      </c>
      <c r="F745" s="303"/>
      <c r="G745" s="302">
        <v>5.698774464536243E-2</v>
      </c>
      <c r="H745" s="302">
        <v>1.1171109427510623E-2</v>
      </c>
      <c r="I745" s="302">
        <v>1.7048590668257615E-2</v>
      </c>
      <c r="J745" s="302">
        <f t="shared" ref="J745:J748" si="325">SUM(G745:I745)</f>
        <v>8.5207444741130678E-2</v>
      </c>
      <c r="K745" s="303"/>
      <c r="L745" s="302">
        <v>5.8681593243717592E-2</v>
      </c>
      <c r="M745" s="302">
        <v>1.1405707772078468E-2</v>
      </c>
      <c r="N745" s="302">
        <v>1.7377563187397447E-2</v>
      </c>
      <c r="O745" s="302">
        <f t="shared" si="324"/>
        <v>8.7464864203193507E-2</v>
      </c>
    </row>
    <row r="746" spans="1:15" s="236" customFormat="1" x14ac:dyDescent="0.3">
      <c r="A746" s="237" t="str">
        <f>name!E$10</f>
        <v>Sales and customer service occupations</v>
      </c>
      <c r="B746" s="302">
        <v>5.8092931397591618E-3</v>
      </c>
      <c r="C746" s="302">
        <v>6.7054366307751901E-4</v>
      </c>
      <c r="D746" s="302">
        <v>8.4038694503276357E-4</v>
      </c>
      <c r="E746" s="302">
        <f t="shared" si="322"/>
        <v>7.3202237478694442E-3</v>
      </c>
      <c r="F746" s="303"/>
      <c r="G746" s="302">
        <v>7.7829897709490975E-2</v>
      </c>
      <c r="H746" s="302">
        <v>1.0039931431170167E-2</v>
      </c>
      <c r="I746" s="302">
        <v>1.1089979835349161E-2</v>
      </c>
      <c r="J746" s="302">
        <f t="shared" si="325"/>
        <v>9.8959808976010311E-2</v>
      </c>
      <c r="K746" s="303"/>
      <c r="L746" s="302">
        <v>9.6561010145619783E-2</v>
      </c>
      <c r="M746" s="302">
        <v>7.6150359542937612E-3</v>
      </c>
      <c r="N746" s="302">
        <v>1.0746162042385429E-2</v>
      </c>
      <c r="O746" s="302">
        <f t="shared" si="324"/>
        <v>0.11492220814229898</v>
      </c>
    </row>
    <row r="747" spans="1:15" s="236" customFormat="1" x14ac:dyDescent="0.3">
      <c r="A747" s="237" t="str">
        <f>name!E$11</f>
        <v>Process, plant and machine operatives</v>
      </c>
      <c r="B747" s="302">
        <v>1.3839069577830281E-3</v>
      </c>
      <c r="C747" s="302">
        <v>1.0255160432868712E-4</v>
      </c>
      <c r="D747" s="302">
        <v>3.616620306223823E-4</v>
      </c>
      <c r="E747" s="302">
        <f t="shared" si="322"/>
        <v>1.8481205927340975E-3</v>
      </c>
      <c r="F747" s="303"/>
      <c r="G747" s="302">
        <v>1.2518998521091259E-2</v>
      </c>
      <c r="H747" s="302">
        <v>1.8330668371892985E-3</v>
      </c>
      <c r="I747" s="302">
        <v>6.435108044255994E-3</v>
      </c>
      <c r="J747" s="302">
        <f t="shared" si="325"/>
        <v>2.0787173402536552E-2</v>
      </c>
      <c r="K747" s="303"/>
      <c r="L747" s="302">
        <v>8.7542355836685137E-3</v>
      </c>
      <c r="M747" s="302">
        <v>2.3320556586139385E-3</v>
      </c>
      <c r="N747" s="302">
        <v>7.913651054103344E-3</v>
      </c>
      <c r="O747" s="302">
        <f t="shared" si="324"/>
        <v>1.8999942296385797E-2</v>
      </c>
    </row>
    <row r="748" spans="1:15" s="236" customFormat="1" x14ac:dyDescent="0.3">
      <c r="A748" s="237" t="str">
        <f>name!E$12</f>
        <v>Elementary occupations</v>
      </c>
      <c r="B748" s="302">
        <v>2.9962271419100316E-3</v>
      </c>
      <c r="C748" s="302">
        <v>1.5094585113352135E-3</v>
      </c>
      <c r="D748" s="302">
        <v>1.0289065358839629E-3</v>
      </c>
      <c r="E748" s="302">
        <f t="shared" si="322"/>
        <v>5.5345921891292076E-3</v>
      </c>
      <c r="F748" s="303"/>
      <c r="G748" s="302">
        <v>2.6002198914067874E-2</v>
      </c>
      <c r="H748" s="302">
        <v>2.2027135287488071E-2</v>
      </c>
      <c r="I748" s="302">
        <v>1.3809838307173534E-2</v>
      </c>
      <c r="J748" s="302">
        <f t="shared" si="325"/>
        <v>6.183917250872948E-2</v>
      </c>
      <c r="K748" s="303"/>
      <c r="L748" s="302">
        <v>1.0356016636079933E-2</v>
      </c>
      <c r="M748" s="302">
        <v>2.0327705519712538E-2</v>
      </c>
      <c r="N748" s="302">
        <v>1.6803707706271286E-2</v>
      </c>
      <c r="O748" s="302">
        <f t="shared" si="324"/>
        <v>4.7487429862063758E-2</v>
      </c>
    </row>
    <row r="749" spans="1:15" s="236" customFormat="1" x14ac:dyDescent="0.3">
      <c r="A749" s="237"/>
      <c r="B749" s="302"/>
      <c r="C749" s="302"/>
      <c r="D749" s="302"/>
      <c r="E749" s="302"/>
      <c r="F749" s="303"/>
      <c r="G749" s="302"/>
      <c r="H749" s="302"/>
      <c r="I749" s="302"/>
      <c r="J749" s="302"/>
      <c r="K749" s="303"/>
      <c r="L749" s="302"/>
      <c r="M749" s="302"/>
      <c r="N749" s="302"/>
      <c r="O749" s="302"/>
    </row>
    <row r="750" spans="1:15" s="236" customFormat="1" x14ac:dyDescent="0.3">
      <c r="A750" s="244" t="s">
        <v>32</v>
      </c>
      <c r="B750" s="311">
        <f>SUM(B740:B748)</f>
        <v>0.118999999999246</v>
      </c>
      <c r="C750" s="311">
        <f t="shared" ref="C750:E750" si="326">SUM(C740:C748)</f>
        <v>6.0000000000393454E-3</v>
      </c>
      <c r="D750" s="311">
        <f t="shared" si="326"/>
        <v>5.1000000000884199E-2</v>
      </c>
      <c r="E750" s="311">
        <f t="shared" si="326"/>
        <v>0.17600000000016955</v>
      </c>
      <c r="F750" s="311"/>
      <c r="G750" s="311">
        <f t="shared" ref="G750:J750" si="327">SUM(G740:G748)</f>
        <v>1.6019999999855297</v>
      </c>
      <c r="H750" s="311">
        <f t="shared" si="327"/>
        <v>0.10200000000016263</v>
      </c>
      <c r="I750" s="311">
        <f t="shared" si="327"/>
        <v>0.87500000001243927</v>
      </c>
      <c r="J750" s="311">
        <f t="shared" si="327"/>
        <v>2.5789999999981323</v>
      </c>
      <c r="K750" s="311"/>
      <c r="L750" s="311">
        <f t="shared" ref="L750:O750" si="328">SUM(L740:L748)</f>
        <v>1.4939999999780476</v>
      </c>
      <c r="M750" s="311">
        <f t="shared" si="328"/>
        <v>0.10500000000045884</v>
      </c>
      <c r="N750" s="311">
        <f t="shared" si="328"/>
        <v>0.80300000002625738</v>
      </c>
      <c r="O750" s="311">
        <f t="shared" si="328"/>
        <v>2.4020000000047639</v>
      </c>
    </row>
    <row r="751" spans="1:15" s="236" customFormat="1" x14ac:dyDescent="0.3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37"/>
      <c r="M751" s="237"/>
      <c r="N751" s="240"/>
    </row>
    <row r="752" spans="1:15" s="236" customFormat="1" x14ac:dyDescent="0.3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37"/>
      <c r="M752" s="237"/>
      <c r="N752" s="240"/>
      <c r="O752" s="251" t="s">
        <v>35</v>
      </c>
    </row>
    <row r="753" spans="1:15" s="236" customFormat="1" x14ac:dyDescent="0.3">
      <c r="A753" s="242"/>
      <c r="B753" s="242"/>
      <c r="C753" s="242"/>
      <c r="D753" s="242"/>
      <c r="E753" s="242"/>
      <c r="F753" s="242"/>
      <c r="G753" s="242"/>
      <c r="H753" s="242"/>
      <c r="I753" s="242"/>
      <c r="J753" s="242"/>
      <c r="K753" s="242"/>
      <c r="L753" s="242"/>
      <c r="M753" s="242"/>
      <c r="N753" s="242"/>
      <c r="O753" s="242"/>
    </row>
    <row r="754" spans="1:15" s="236" customFormat="1" x14ac:dyDescent="0.3">
      <c r="A754" s="241" t="str">
        <f>name!A47</f>
        <v>Telecommunications</v>
      </c>
      <c r="B754" s="375">
        <f>$B$6</f>
        <v>2015</v>
      </c>
      <c r="C754" s="375"/>
      <c r="D754" s="375"/>
      <c r="E754" s="375"/>
      <c r="F754" s="263"/>
      <c r="G754" s="375">
        <f>$G$6</f>
        <v>2020</v>
      </c>
      <c r="H754" s="375"/>
      <c r="I754" s="375"/>
      <c r="J754" s="375"/>
      <c r="K754" s="263"/>
      <c r="L754" s="375">
        <f>$L$6</f>
        <v>2035</v>
      </c>
      <c r="M754" s="375"/>
      <c r="N754" s="375"/>
      <c r="O754" s="375"/>
    </row>
    <row r="755" spans="1:15" s="236" customFormat="1" x14ac:dyDescent="0.3">
      <c r="A755" s="254"/>
      <c r="B755" s="268" t="str">
        <f>$B$7</f>
        <v>FT</v>
      </c>
      <c r="C755" s="268" t="str">
        <f>$C$7</f>
        <v>PT</v>
      </c>
      <c r="D755" s="268" t="str">
        <f>$D$7</f>
        <v>SE</v>
      </c>
      <c r="E755" s="268" t="str">
        <f>$E$7</f>
        <v>Total</v>
      </c>
      <c r="F755" s="268"/>
      <c r="G755" s="268" t="str">
        <f>$G$7</f>
        <v>FT</v>
      </c>
      <c r="H755" s="268" t="str">
        <f>$H$7</f>
        <v>PT</v>
      </c>
      <c r="I755" s="268" t="str">
        <f>$I$7</f>
        <v>SE</v>
      </c>
      <c r="J755" s="268" t="str">
        <f>$J$7</f>
        <v>Total</v>
      </c>
      <c r="K755" s="268"/>
      <c r="L755" s="268" t="str">
        <f>$L$7</f>
        <v>FT</v>
      </c>
      <c r="M755" s="268" t="str">
        <f>$M$7</f>
        <v>PT</v>
      </c>
      <c r="N755" s="268" t="str">
        <f>$N$7</f>
        <v>SE</v>
      </c>
      <c r="O755" s="268" t="str">
        <f>$O$7</f>
        <v>Total</v>
      </c>
    </row>
    <row r="756" spans="1:15" s="236" customFormat="1" x14ac:dyDescent="0.3">
      <c r="A756" s="258"/>
      <c r="B756" s="239"/>
      <c r="C756" s="239"/>
      <c r="D756" s="239"/>
      <c r="E756" s="239"/>
      <c r="F756" s="239"/>
      <c r="G756" s="239"/>
      <c r="H756" s="239"/>
      <c r="I756" s="239"/>
      <c r="J756" s="239"/>
      <c r="K756" s="239"/>
      <c r="L756" s="239"/>
      <c r="M756" s="239"/>
      <c r="N756" s="239"/>
      <c r="O756" s="239"/>
    </row>
    <row r="757" spans="1:15" s="236" customFormat="1" x14ac:dyDescent="0.3">
      <c r="A757" s="237" t="str">
        <f>name!E$4</f>
        <v>Managers, directors and senior officials</v>
      </c>
      <c r="B757" s="302">
        <v>2.617688995435393</v>
      </c>
      <c r="C757" s="302">
        <v>4.9296661256841935E-2</v>
      </c>
      <c r="D757" s="302">
        <v>0.18183573854102558</v>
      </c>
      <c r="E757" s="302">
        <f>SUM(B757:D757)</f>
        <v>2.8488213952332604</v>
      </c>
      <c r="F757" s="303"/>
      <c r="G757" s="302">
        <v>3.1679160421278847</v>
      </c>
      <c r="H757" s="302">
        <v>7.5865927765642355E-2</v>
      </c>
      <c r="I757" s="302">
        <v>0.25006465744709944</v>
      </c>
      <c r="J757" s="302">
        <f>SUM(G757:I757)</f>
        <v>3.4938466273406266</v>
      </c>
      <c r="K757" s="303"/>
      <c r="L757" s="302">
        <v>3.3194731139629217</v>
      </c>
      <c r="M757" s="302">
        <v>7.6929859966580763E-2</v>
      </c>
      <c r="N757" s="302">
        <v>0.3091025272207753</v>
      </c>
      <c r="O757" s="302">
        <f>SUM(L757:N757)</f>
        <v>3.7055055011502778</v>
      </c>
    </row>
    <row r="758" spans="1:15" s="236" customFormat="1" x14ac:dyDescent="0.3">
      <c r="A758" s="237" t="str">
        <f>name!E$5</f>
        <v>Professional occupations</v>
      </c>
      <c r="B758" s="302">
        <v>4.5973190418671956</v>
      </c>
      <c r="C758" s="302">
        <v>3.0908846860483685E-2</v>
      </c>
      <c r="D758" s="302">
        <v>0.40630818801070834</v>
      </c>
      <c r="E758" s="302">
        <f t="shared" ref="E758:E765" si="329">SUM(B758:D758)</f>
        <v>5.0345360767383882</v>
      </c>
      <c r="F758" s="303"/>
      <c r="G758" s="302">
        <v>6.0472205309693141</v>
      </c>
      <c r="H758" s="302">
        <v>4.5520708265185408E-2</v>
      </c>
      <c r="I758" s="302">
        <v>0.51298295940234651</v>
      </c>
      <c r="J758" s="302">
        <f t="shared" ref="J758:J760" si="330">SUM(G758:I758)</f>
        <v>6.605724198636846</v>
      </c>
      <c r="K758" s="303"/>
      <c r="L758" s="302">
        <v>7.262030701118297</v>
      </c>
      <c r="M758" s="302">
        <v>5.1685735138196243E-2</v>
      </c>
      <c r="N758" s="302">
        <v>0.44746147520027313</v>
      </c>
      <c r="O758" s="302">
        <f t="shared" ref="O758:O765" si="331">SUM(L758:N758)</f>
        <v>7.7611779114567669</v>
      </c>
    </row>
    <row r="759" spans="1:15" s="236" customFormat="1" x14ac:dyDescent="0.3">
      <c r="A759" s="237" t="str">
        <f>name!E$6</f>
        <v>Associate professional occupations</v>
      </c>
      <c r="B759" s="302">
        <v>1.8879909252686229</v>
      </c>
      <c r="C759" s="302">
        <v>5.2624629027586092E-2</v>
      </c>
      <c r="D759" s="302">
        <v>0.12645089922917183</v>
      </c>
      <c r="E759" s="302">
        <f t="shared" si="329"/>
        <v>2.0670664535253809</v>
      </c>
      <c r="F759" s="303"/>
      <c r="G759" s="302">
        <v>2.4068265966715652</v>
      </c>
      <c r="H759" s="302">
        <v>6.6258828174436429E-2</v>
      </c>
      <c r="I759" s="302">
        <v>0.13379047910196307</v>
      </c>
      <c r="J759" s="302">
        <f t="shared" si="330"/>
        <v>2.606875903947965</v>
      </c>
      <c r="K759" s="303"/>
      <c r="L759" s="302">
        <v>2.459072325785157</v>
      </c>
      <c r="M759" s="302">
        <v>5.9042541466013516E-2</v>
      </c>
      <c r="N759" s="302">
        <v>0.15485785266702431</v>
      </c>
      <c r="O759" s="302">
        <f t="shared" si="331"/>
        <v>2.672972719918195</v>
      </c>
    </row>
    <row r="760" spans="1:15" s="236" customFormat="1" x14ac:dyDescent="0.3">
      <c r="A760" s="237" t="str">
        <f>name!E$7</f>
        <v>Administrative and secretarial occupations</v>
      </c>
      <c r="B760" s="302">
        <v>0.73292582553711827</v>
      </c>
      <c r="C760" s="302">
        <v>8.0836311671636171E-2</v>
      </c>
      <c r="D760" s="302">
        <v>5.7453727751408022E-2</v>
      </c>
      <c r="E760" s="302">
        <f t="shared" si="329"/>
        <v>0.87121586496016246</v>
      </c>
      <c r="F760" s="303"/>
      <c r="G760" s="302">
        <v>0.90997888019635187</v>
      </c>
      <c r="H760" s="302">
        <v>9.275801779068954E-2</v>
      </c>
      <c r="I760" s="302">
        <v>2.2207791759874061E-2</v>
      </c>
      <c r="J760" s="302">
        <f t="shared" si="330"/>
        <v>1.0249446897469154</v>
      </c>
      <c r="K760" s="303"/>
      <c r="L760" s="302">
        <v>0.88893309654152863</v>
      </c>
      <c r="M760" s="302">
        <v>7.4486906773188963E-2</v>
      </c>
      <c r="N760" s="302">
        <v>3.0281041729246574E-2</v>
      </c>
      <c r="O760" s="302">
        <f t="shared" si="331"/>
        <v>0.99370104504396417</v>
      </c>
    </row>
    <row r="761" spans="1:15" s="236" customFormat="1" x14ac:dyDescent="0.3">
      <c r="A761" s="237" t="str">
        <f>name!E$8</f>
        <v>Skilled trades occupations</v>
      </c>
      <c r="B761" s="302">
        <v>1.9690419389177209</v>
      </c>
      <c r="C761" s="302">
        <v>2.2810420319480482E-2</v>
      </c>
      <c r="D761" s="302">
        <v>0.12778584998753947</v>
      </c>
      <c r="E761" s="302">
        <f t="shared" si="329"/>
        <v>2.1196382092247408</v>
      </c>
      <c r="F761" s="303"/>
      <c r="G761" s="302">
        <v>1.7105897817325089</v>
      </c>
      <c r="H761" s="302">
        <v>2.0508789993474073E-2</v>
      </c>
      <c r="I761" s="302">
        <v>0.13955463501414167</v>
      </c>
      <c r="J761" s="302">
        <f>SUM(G761:I761)</f>
        <v>1.8706532067401247</v>
      </c>
      <c r="K761" s="303"/>
      <c r="L761" s="302">
        <v>1.2107683309147741</v>
      </c>
      <c r="M761" s="302">
        <v>1.5612770299623819E-2</v>
      </c>
      <c r="N761" s="302">
        <v>0.19824585526852229</v>
      </c>
      <c r="O761" s="302">
        <f t="shared" si="331"/>
        <v>1.4246269564829201</v>
      </c>
    </row>
    <row r="762" spans="1:15" s="236" customFormat="1" x14ac:dyDescent="0.3">
      <c r="A762" s="237" t="str">
        <f>name!E$9</f>
        <v>Caring, leisure and other service occupations</v>
      </c>
      <c r="B762" s="302">
        <v>0.33686194520795498</v>
      </c>
      <c r="C762" s="302">
        <v>2.2902473172600361E-2</v>
      </c>
      <c r="D762" s="302">
        <v>3.8422293140323582E-2</v>
      </c>
      <c r="E762" s="302">
        <f t="shared" si="329"/>
        <v>0.39818671152087892</v>
      </c>
      <c r="F762" s="303"/>
      <c r="G762" s="302">
        <v>0.3571429123088089</v>
      </c>
      <c r="H762" s="302">
        <v>2.0584303064969445E-2</v>
      </c>
      <c r="I762" s="302">
        <v>1.3706738982240885E-2</v>
      </c>
      <c r="J762" s="302">
        <f t="shared" ref="J762:J765" si="332">SUM(G762:I762)</f>
        <v>0.39143395435601924</v>
      </c>
      <c r="K762" s="303"/>
      <c r="L762" s="302">
        <v>0.50176939350272309</v>
      </c>
      <c r="M762" s="302">
        <v>1.8902091403135493E-2</v>
      </c>
      <c r="N762" s="302">
        <v>2.8566864643178865E-2</v>
      </c>
      <c r="O762" s="302">
        <f t="shared" si="331"/>
        <v>0.54923834954903739</v>
      </c>
    </row>
    <row r="763" spans="1:15" s="236" customFormat="1" x14ac:dyDescent="0.3">
      <c r="A763" s="237" t="str">
        <f>name!E$10</f>
        <v>Sales and customer service occupations</v>
      </c>
      <c r="B763" s="302">
        <v>1.0532876365877328</v>
      </c>
      <c r="C763" s="302">
        <v>0.32176535151343943</v>
      </c>
      <c r="D763" s="302">
        <v>6.7244700629395901E-2</v>
      </c>
      <c r="E763" s="302">
        <f t="shared" si="329"/>
        <v>1.4422976887305681</v>
      </c>
      <c r="F763" s="303"/>
      <c r="G763" s="302">
        <v>1.189405711039732</v>
      </c>
      <c r="H763" s="302">
        <v>0.38640494228016653</v>
      </c>
      <c r="I763" s="302">
        <v>5.3831060514704876E-2</v>
      </c>
      <c r="J763" s="302">
        <f t="shared" si="332"/>
        <v>1.6296417138346033</v>
      </c>
      <c r="K763" s="303"/>
      <c r="L763" s="302">
        <v>1.494381756314876</v>
      </c>
      <c r="M763" s="302">
        <v>0.46831932960815653</v>
      </c>
      <c r="N763" s="302">
        <v>5.9067575725144511E-2</v>
      </c>
      <c r="O763" s="302">
        <f t="shared" si="331"/>
        <v>2.0217686616481769</v>
      </c>
    </row>
    <row r="764" spans="1:15" s="236" customFormat="1" x14ac:dyDescent="0.3">
      <c r="A764" s="237" t="str">
        <f>name!E$11</f>
        <v>Process, plant and machine operatives</v>
      </c>
      <c r="B764" s="302">
        <v>0.11771901391014687</v>
      </c>
      <c r="C764" s="302">
        <v>1.6354703443537164E-2</v>
      </c>
      <c r="D764" s="302">
        <v>3.0651163990951989E-2</v>
      </c>
      <c r="E764" s="302">
        <f t="shared" si="329"/>
        <v>0.16472488134463603</v>
      </c>
      <c r="F764" s="303"/>
      <c r="G764" s="302">
        <v>9.7763568902430209E-2</v>
      </c>
      <c r="H764" s="302">
        <v>1.5509394516451504E-2</v>
      </c>
      <c r="I764" s="302">
        <v>3.1551830281222597E-2</v>
      </c>
      <c r="J764" s="302">
        <f t="shared" si="332"/>
        <v>0.14482479370010432</v>
      </c>
      <c r="K764" s="303"/>
      <c r="L764" s="302">
        <v>0.10420428671411358</v>
      </c>
      <c r="M764" s="302">
        <v>1.9620952985715805E-2</v>
      </c>
      <c r="N764" s="302">
        <v>5.9989607861626784E-2</v>
      </c>
      <c r="O764" s="302">
        <f t="shared" si="331"/>
        <v>0.18381484756145616</v>
      </c>
    </row>
    <row r="765" spans="1:15" s="236" customFormat="1" x14ac:dyDescent="0.3">
      <c r="A765" s="237" t="str">
        <f>name!E$12</f>
        <v>Elementary occupations</v>
      </c>
      <c r="B765" s="302">
        <v>0.10416467712934503</v>
      </c>
      <c r="C765" s="302">
        <v>1.9500602739995685E-2</v>
      </c>
      <c r="D765" s="302">
        <v>8.384743872729733E-2</v>
      </c>
      <c r="E765" s="302">
        <f t="shared" si="329"/>
        <v>0.20751271859663806</v>
      </c>
      <c r="F765" s="303"/>
      <c r="G765" s="302">
        <v>8.7155975823974358E-2</v>
      </c>
      <c r="H765" s="302">
        <v>1.7589088155789183E-2</v>
      </c>
      <c r="I765" s="302">
        <v>8.6309847496771883E-2</v>
      </c>
      <c r="J765" s="302">
        <f t="shared" si="332"/>
        <v>0.19105491147653542</v>
      </c>
      <c r="K765" s="303"/>
      <c r="L765" s="302">
        <v>7.0366994837000929E-2</v>
      </c>
      <c r="M765" s="302">
        <v>1.1399812365746047E-2</v>
      </c>
      <c r="N765" s="302">
        <v>0.12242719968919757</v>
      </c>
      <c r="O765" s="302">
        <f t="shared" si="331"/>
        <v>0.20419400689194456</v>
      </c>
    </row>
    <row r="766" spans="1:15" s="236" customFormat="1" x14ac:dyDescent="0.3">
      <c r="A766" s="237"/>
      <c r="B766" s="302"/>
      <c r="C766" s="302"/>
      <c r="D766" s="302"/>
      <c r="E766" s="302"/>
      <c r="F766" s="303"/>
      <c r="G766" s="302"/>
      <c r="H766" s="302"/>
      <c r="I766" s="302"/>
      <c r="J766" s="302"/>
      <c r="K766" s="303"/>
      <c r="L766" s="302"/>
      <c r="M766" s="302"/>
      <c r="N766" s="302"/>
      <c r="O766" s="302"/>
    </row>
    <row r="767" spans="1:15" s="236" customFormat="1" x14ac:dyDescent="0.3">
      <c r="A767" s="244" t="s">
        <v>32</v>
      </c>
      <c r="B767" s="311">
        <f>SUM(B757:B765)</f>
        <v>13.416999999861231</v>
      </c>
      <c r="C767" s="311">
        <f t="shared" ref="C767:E767" si="333">SUM(C757:C765)</f>
        <v>0.61700000000560096</v>
      </c>
      <c r="D767" s="311">
        <f t="shared" si="333"/>
        <v>1.1200000000078221</v>
      </c>
      <c r="E767" s="311">
        <f t="shared" si="333"/>
        <v>15.153999999874651</v>
      </c>
      <c r="F767" s="311"/>
      <c r="G767" s="311">
        <f t="shared" ref="G767:J767" si="334">SUM(G757:G765)</f>
        <v>15.973999999772571</v>
      </c>
      <c r="H767" s="311">
        <f t="shared" si="334"/>
        <v>0.74100000000680444</v>
      </c>
      <c r="I767" s="311">
        <f t="shared" si="334"/>
        <v>1.244000000000365</v>
      </c>
      <c r="J767" s="311">
        <f t="shared" si="334"/>
        <v>17.958999999779738</v>
      </c>
      <c r="K767" s="311"/>
      <c r="L767" s="311">
        <f t="shared" ref="L767:O767" si="335">SUM(L757:L765)</f>
        <v>17.310999999691393</v>
      </c>
      <c r="M767" s="311">
        <f t="shared" si="335"/>
        <v>0.79600000000635718</v>
      </c>
      <c r="N767" s="311">
        <f t="shared" si="335"/>
        <v>1.4100000000049895</v>
      </c>
      <c r="O767" s="311">
        <f t="shared" si="335"/>
        <v>19.51699999970274</v>
      </c>
    </row>
    <row r="768" spans="1:15" s="236" customFormat="1" x14ac:dyDescent="0.3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37"/>
      <c r="M768" s="237"/>
      <c r="N768" s="240"/>
    </row>
    <row r="769" spans="1:15" s="236" customFormat="1" x14ac:dyDescent="0.3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37"/>
      <c r="M769" s="237"/>
      <c r="N769" s="240"/>
      <c r="O769" s="251" t="s">
        <v>35</v>
      </c>
    </row>
    <row r="770" spans="1:15" s="236" customFormat="1" x14ac:dyDescent="0.3">
      <c r="A770" s="242"/>
      <c r="B770" s="242"/>
      <c r="C770" s="242"/>
      <c r="D770" s="242"/>
      <c r="E770" s="242"/>
      <c r="F770" s="242"/>
      <c r="G770" s="242"/>
      <c r="H770" s="242"/>
      <c r="I770" s="242"/>
      <c r="J770" s="242"/>
      <c r="K770" s="242"/>
      <c r="L770" s="242"/>
      <c r="M770" s="242"/>
      <c r="N770" s="242"/>
      <c r="O770" s="242"/>
    </row>
    <row r="771" spans="1:15" s="236" customFormat="1" x14ac:dyDescent="0.3">
      <c r="A771" s="241" t="str">
        <f>name!A48</f>
        <v>Computing services</v>
      </c>
      <c r="B771" s="375">
        <f>$B$6</f>
        <v>2015</v>
      </c>
      <c r="C771" s="375"/>
      <c r="D771" s="375"/>
      <c r="E771" s="375"/>
      <c r="F771" s="263"/>
      <c r="G771" s="375">
        <f>$G$6</f>
        <v>2020</v>
      </c>
      <c r="H771" s="375"/>
      <c r="I771" s="375"/>
      <c r="J771" s="375"/>
      <c r="K771" s="263"/>
      <c r="L771" s="375">
        <f>$L$6</f>
        <v>2035</v>
      </c>
      <c r="M771" s="375"/>
      <c r="N771" s="375"/>
      <c r="O771" s="375"/>
    </row>
    <row r="772" spans="1:15" s="236" customFormat="1" x14ac:dyDescent="0.3">
      <c r="A772" s="254"/>
      <c r="B772" s="268" t="str">
        <f>$B$7</f>
        <v>FT</v>
      </c>
      <c r="C772" s="268" t="str">
        <f>$C$7</f>
        <v>PT</v>
      </c>
      <c r="D772" s="268" t="str">
        <f>$D$7</f>
        <v>SE</v>
      </c>
      <c r="E772" s="268" t="str">
        <f>$E$7</f>
        <v>Total</v>
      </c>
      <c r="F772" s="268"/>
      <c r="G772" s="268" t="str">
        <f>$G$7</f>
        <v>FT</v>
      </c>
      <c r="H772" s="268" t="str">
        <f>$H$7</f>
        <v>PT</v>
      </c>
      <c r="I772" s="268" t="str">
        <f>$I$7</f>
        <v>SE</v>
      </c>
      <c r="J772" s="268" t="str">
        <f>$J$7</f>
        <v>Total</v>
      </c>
      <c r="K772" s="268"/>
      <c r="L772" s="268" t="str">
        <f>$L$7</f>
        <v>FT</v>
      </c>
      <c r="M772" s="268" t="str">
        <f>$M$7</f>
        <v>PT</v>
      </c>
      <c r="N772" s="268" t="str">
        <f>$N$7</f>
        <v>SE</v>
      </c>
      <c r="O772" s="268" t="str">
        <f>$O$7</f>
        <v>Total</v>
      </c>
    </row>
    <row r="773" spans="1:15" s="236" customFormat="1" x14ac:dyDescent="0.3">
      <c r="A773" s="258"/>
      <c r="B773" s="239"/>
      <c r="C773" s="239"/>
      <c r="D773" s="239"/>
      <c r="E773" s="239"/>
      <c r="F773" s="239"/>
      <c r="G773" s="239"/>
      <c r="H773" s="239"/>
      <c r="I773" s="239"/>
      <c r="J773" s="239"/>
      <c r="K773" s="239"/>
      <c r="L773" s="239"/>
      <c r="M773" s="239"/>
      <c r="N773" s="239"/>
      <c r="O773" s="239"/>
    </row>
    <row r="774" spans="1:15" s="236" customFormat="1" x14ac:dyDescent="0.3">
      <c r="A774" s="237" t="str">
        <f>name!E$4</f>
        <v>Managers, directors and senior officials</v>
      </c>
      <c r="B774" s="302">
        <v>7.9308674195701512</v>
      </c>
      <c r="C774" s="302">
        <v>0.74912557400656488</v>
      </c>
      <c r="D774" s="302">
        <v>0.71730682306704585</v>
      </c>
      <c r="E774" s="302">
        <f>SUM(B774:D774)</f>
        <v>9.3972998166437627</v>
      </c>
      <c r="F774" s="303"/>
      <c r="G774" s="302">
        <v>7.5348651723447819</v>
      </c>
      <c r="H774" s="302">
        <v>1.5963002078298902</v>
      </c>
      <c r="I774" s="302">
        <v>0.82431943184597367</v>
      </c>
      <c r="J774" s="302">
        <f>SUM(G774:I774)</f>
        <v>9.9554848120206447</v>
      </c>
      <c r="K774" s="303"/>
      <c r="L774" s="302">
        <v>8.0648425480941004</v>
      </c>
      <c r="M774" s="302">
        <v>1.7676714641658005</v>
      </c>
      <c r="N774" s="302">
        <v>0.86508624949057733</v>
      </c>
      <c r="O774" s="302">
        <f>SUM(L774:N774)</f>
        <v>10.697600261750479</v>
      </c>
    </row>
    <row r="775" spans="1:15" s="236" customFormat="1" x14ac:dyDescent="0.3">
      <c r="A775" s="237" t="str">
        <f>name!E$5</f>
        <v>Professional occupations</v>
      </c>
      <c r="B775" s="302">
        <v>27.575448034540848</v>
      </c>
      <c r="C775" s="302">
        <v>1.3663021189148177</v>
      </c>
      <c r="D775" s="302">
        <v>1.81999093999282</v>
      </c>
      <c r="E775" s="302">
        <f t="shared" ref="E775:E782" si="336">SUM(B775:D775)</f>
        <v>30.761741093448485</v>
      </c>
      <c r="F775" s="303"/>
      <c r="G775" s="302">
        <v>28.041359241777034</v>
      </c>
      <c r="H775" s="302">
        <v>2.4506846701199283</v>
      </c>
      <c r="I775" s="302">
        <v>1.9312539114941381</v>
      </c>
      <c r="J775" s="302">
        <f t="shared" ref="J775:J777" si="337">SUM(G775:I775)</f>
        <v>32.423297823391103</v>
      </c>
      <c r="K775" s="303"/>
      <c r="L775" s="302">
        <v>32.778049988306748</v>
      </c>
      <c r="M775" s="302">
        <v>3.1387294963047507</v>
      </c>
      <c r="N775" s="302">
        <v>1.7758531837496896</v>
      </c>
      <c r="O775" s="302">
        <f t="shared" ref="O775:O782" si="338">SUM(L775:N775)</f>
        <v>37.692632668361185</v>
      </c>
    </row>
    <row r="776" spans="1:15" s="236" customFormat="1" x14ac:dyDescent="0.3">
      <c r="A776" s="237" t="str">
        <f>name!E$6</f>
        <v>Associate professional occupations</v>
      </c>
      <c r="B776" s="302">
        <v>8.8119256579579393</v>
      </c>
      <c r="C776" s="302">
        <v>0.85457221643602432</v>
      </c>
      <c r="D776" s="302">
        <v>0.92738412445247786</v>
      </c>
      <c r="E776" s="302">
        <f t="shared" si="336"/>
        <v>10.593881998846442</v>
      </c>
      <c r="F776" s="303"/>
      <c r="G776" s="302">
        <v>8.8041454909960635</v>
      </c>
      <c r="H776" s="302">
        <v>1.3580082947841043</v>
      </c>
      <c r="I776" s="302">
        <v>0.81399104019129132</v>
      </c>
      <c r="J776" s="302">
        <f t="shared" si="337"/>
        <v>10.97614482597146</v>
      </c>
      <c r="K776" s="303"/>
      <c r="L776" s="302">
        <v>9.104485629340223</v>
      </c>
      <c r="M776" s="302">
        <v>1.2664531933471057</v>
      </c>
      <c r="N776" s="302">
        <v>1.0210058993217752</v>
      </c>
      <c r="O776" s="302">
        <f t="shared" si="338"/>
        <v>11.391944722009104</v>
      </c>
    </row>
    <row r="777" spans="1:15" s="236" customFormat="1" x14ac:dyDescent="0.3">
      <c r="A777" s="237" t="str">
        <f>name!E$7</f>
        <v>Administrative and secretarial occupations</v>
      </c>
      <c r="B777" s="302">
        <v>2.6744963851067243</v>
      </c>
      <c r="C777" s="302">
        <v>1.2973210914517082</v>
      </c>
      <c r="D777" s="302">
        <v>0.15761829675707759</v>
      </c>
      <c r="E777" s="302">
        <f t="shared" si="336"/>
        <v>4.1294357733155103</v>
      </c>
      <c r="F777" s="303"/>
      <c r="G777" s="302">
        <v>2.5138872142582533</v>
      </c>
      <c r="H777" s="302">
        <v>1.2824387117755638</v>
      </c>
      <c r="I777" s="302">
        <v>7.8619264552585069E-2</v>
      </c>
      <c r="J777" s="302">
        <f t="shared" si="337"/>
        <v>3.8749451905864021</v>
      </c>
      <c r="K777" s="303"/>
      <c r="L777" s="302">
        <v>1.7636609702953019</v>
      </c>
      <c r="M777" s="302">
        <v>0.90577843188173301</v>
      </c>
      <c r="N777" s="302">
        <v>6.8700562027580472E-2</v>
      </c>
      <c r="O777" s="302">
        <f t="shared" si="338"/>
        <v>2.7381399642046156</v>
      </c>
    </row>
    <row r="778" spans="1:15" s="236" customFormat="1" x14ac:dyDescent="0.3">
      <c r="A778" s="237" t="str">
        <f>name!E$8</f>
        <v>Skilled trades occupations</v>
      </c>
      <c r="B778" s="302">
        <v>2.3846931306123151</v>
      </c>
      <c r="C778" s="302">
        <v>0.22460474883380091</v>
      </c>
      <c r="D778" s="302">
        <v>0.48185913256137441</v>
      </c>
      <c r="E778" s="302">
        <f t="shared" si="336"/>
        <v>3.0911570120074905</v>
      </c>
      <c r="F778" s="303"/>
      <c r="G778" s="302">
        <v>1.6383657159441485</v>
      </c>
      <c r="H778" s="302">
        <v>0.28874720421317962</v>
      </c>
      <c r="I778" s="302">
        <v>0.47217666244677098</v>
      </c>
      <c r="J778" s="302">
        <f>SUM(G778:I778)</f>
        <v>2.3992895826040992</v>
      </c>
      <c r="K778" s="303"/>
      <c r="L778" s="302">
        <v>1.3761266693295058</v>
      </c>
      <c r="M778" s="302">
        <v>0.33485137661374126</v>
      </c>
      <c r="N778" s="302">
        <v>0.85192732672662896</v>
      </c>
      <c r="O778" s="302">
        <f t="shared" si="338"/>
        <v>2.5629053726698761</v>
      </c>
    </row>
    <row r="779" spans="1:15" s="236" customFormat="1" x14ac:dyDescent="0.3">
      <c r="A779" s="237" t="str">
        <f>name!E$9</f>
        <v>Caring, leisure and other service occupations</v>
      </c>
      <c r="B779" s="302">
        <v>0.90501445061365715</v>
      </c>
      <c r="C779" s="302">
        <v>0.14451683663007767</v>
      </c>
      <c r="D779" s="302">
        <v>0.11047653488755199</v>
      </c>
      <c r="E779" s="302">
        <f t="shared" si="336"/>
        <v>1.1600078221312868</v>
      </c>
      <c r="F779" s="303"/>
      <c r="G779" s="302">
        <v>0.80708142656896575</v>
      </c>
      <c r="H779" s="302">
        <v>0.19184207885618323</v>
      </c>
      <c r="I779" s="302">
        <v>6.5036993737336291E-2</v>
      </c>
      <c r="J779" s="302">
        <f t="shared" ref="J779:J782" si="339">SUM(G779:I779)</f>
        <v>1.0639604991624854</v>
      </c>
      <c r="K779" s="303"/>
      <c r="L779" s="302">
        <v>1.0549127762843469</v>
      </c>
      <c r="M779" s="302">
        <v>0.20561887919127175</v>
      </c>
      <c r="N779" s="302">
        <v>0.1058738014292248</v>
      </c>
      <c r="O779" s="302">
        <f t="shared" si="338"/>
        <v>1.3664054569048434</v>
      </c>
    </row>
    <row r="780" spans="1:15" s="236" customFormat="1" x14ac:dyDescent="0.3">
      <c r="A780" s="237" t="str">
        <f>name!E$10</f>
        <v>Sales and customer service occupations</v>
      </c>
      <c r="B780" s="302">
        <v>1.0930575447820523</v>
      </c>
      <c r="C780" s="302">
        <v>0.26028165679125825</v>
      </c>
      <c r="D780" s="302">
        <v>8.8591963383864714E-2</v>
      </c>
      <c r="E780" s="302">
        <f t="shared" si="336"/>
        <v>1.4419311649571753</v>
      </c>
      <c r="F780" s="303"/>
      <c r="G780" s="302">
        <v>0.97830662292997295</v>
      </c>
      <c r="H780" s="302">
        <v>0.35832382620843806</v>
      </c>
      <c r="I780" s="302">
        <v>4.3991248651286056E-2</v>
      </c>
      <c r="J780" s="302">
        <f t="shared" si="339"/>
        <v>1.380621697789697</v>
      </c>
      <c r="K780" s="303"/>
      <c r="L780" s="302">
        <v>1.1050898668190314</v>
      </c>
      <c r="M780" s="302">
        <v>0.45741556236977127</v>
      </c>
      <c r="N780" s="302">
        <v>5.2877680618815162E-2</v>
      </c>
      <c r="O780" s="302">
        <f t="shared" si="338"/>
        <v>1.6153831098076179</v>
      </c>
    </row>
    <row r="781" spans="1:15" s="236" customFormat="1" x14ac:dyDescent="0.3">
      <c r="A781" s="237" t="str">
        <f>name!E$11</f>
        <v>Process, plant and machine operatives</v>
      </c>
      <c r="B781" s="302">
        <v>0.19697365402228595</v>
      </c>
      <c r="C781" s="302">
        <v>0.13802519112321146</v>
      </c>
      <c r="D781" s="302">
        <v>0.13269159436436859</v>
      </c>
      <c r="E781" s="302">
        <f t="shared" si="336"/>
        <v>0.467690439509866</v>
      </c>
      <c r="F781" s="303"/>
      <c r="G781" s="302">
        <v>0.13594585330681139</v>
      </c>
      <c r="H781" s="302">
        <v>0.28785452277312445</v>
      </c>
      <c r="I781" s="302">
        <v>0.1657900560427715</v>
      </c>
      <c r="J781" s="302">
        <f t="shared" si="339"/>
        <v>0.58959043212270734</v>
      </c>
      <c r="K781" s="303"/>
      <c r="L781" s="302">
        <v>0.15682825545036935</v>
      </c>
      <c r="M781" s="302">
        <v>0.32624664920499147</v>
      </c>
      <c r="N781" s="302">
        <v>0.24514623418860368</v>
      </c>
      <c r="O781" s="302">
        <f t="shared" si="338"/>
        <v>0.72822113884396455</v>
      </c>
    </row>
    <row r="782" spans="1:15" s="236" customFormat="1" x14ac:dyDescent="0.3">
      <c r="A782" s="237" t="str">
        <f>name!E$12</f>
        <v>Elementary occupations</v>
      </c>
      <c r="B782" s="302">
        <v>0.23652372214006423</v>
      </c>
      <c r="C782" s="302">
        <v>9.8250565722359059E-2</v>
      </c>
      <c r="D782" s="302">
        <v>8.0080590567784146E-2</v>
      </c>
      <c r="E782" s="302">
        <f t="shared" si="336"/>
        <v>0.41485487843020746</v>
      </c>
      <c r="F782" s="303"/>
      <c r="G782" s="302">
        <v>0.15304326117991102</v>
      </c>
      <c r="H782" s="302">
        <v>0.11480048344047476</v>
      </c>
      <c r="I782" s="302">
        <v>4.2821391042400597E-2</v>
      </c>
      <c r="J782" s="302">
        <f t="shared" si="339"/>
        <v>0.31066513566278642</v>
      </c>
      <c r="K782" s="303"/>
      <c r="L782" s="302">
        <v>0.11700329510301896</v>
      </c>
      <c r="M782" s="302">
        <v>7.9234946888991409E-2</v>
      </c>
      <c r="N782" s="302">
        <v>4.9529062474213521E-2</v>
      </c>
      <c r="O782" s="302">
        <f t="shared" si="338"/>
        <v>0.24576730446622388</v>
      </c>
    </row>
    <row r="783" spans="1:15" s="236" customFormat="1" x14ac:dyDescent="0.3">
      <c r="A783" s="237"/>
      <c r="B783" s="302"/>
      <c r="C783" s="302"/>
      <c r="D783" s="302"/>
      <c r="E783" s="302"/>
      <c r="F783" s="303"/>
      <c r="G783" s="302"/>
      <c r="H783" s="302"/>
      <c r="I783" s="302"/>
      <c r="J783" s="302"/>
      <c r="K783" s="303"/>
      <c r="L783" s="302"/>
      <c r="M783" s="302"/>
      <c r="N783" s="302"/>
      <c r="O783" s="302"/>
    </row>
    <row r="784" spans="1:15" s="236" customFormat="1" x14ac:dyDescent="0.3">
      <c r="A784" s="244" t="s">
        <v>32</v>
      </c>
      <c r="B784" s="311">
        <f>SUM(B774:B782)</f>
        <v>51.808999999346028</v>
      </c>
      <c r="C784" s="311">
        <f t="shared" ref="C784:E784" si="340">SUM(C774:C782)</f>
        <v>5.1329999999098224</v>
      </c>
      <c r="D784" s="311">
        <f t="shared" si="340"/>
        <v>4.5160000000343645</v>
      </c>
      <c r="E784" s="311">
        <f t="shared" si="340"/>
        <v>61.457999999290216</v>
      </c>
      <c r="F784" s="311"/>
      <c r="G784" s="311">
        <f t="shared" ref="G784:J784" si="341">SUM(G774:G782)</f>
        <v>50.606999999305934</v>
      </c>
      <c r="H784" s="311">
        <f t="shared" si="341"/>
        <v>7.9290000000008876</v>
      </c>
      <c r="I784" s="311">
        <f t="shared" si="341"/>
        <v>4.4380000000045534</v>
      </c>
      <c r="J784" s="311">
        <f t="shared" si="341"/>
        <v>62.973999999311381</v>
      </c>
      <c r="K784" s="311"/>
      <c r="L784" s="311">
        <f t="shared" ref="L784:O784" si="342">SUM(L774:L782)</f>
        <v>55.520999999022649</v>
      </c>
      <c r="M784" s="311">
        <f t="shared" si="342"/>
        <v>8.4819999999681563</v>
      </c>
      <c r="N784" s="311">
        <f t="shared" si="342"/>
        <v>5.0360000000271095</v>
      </c>
      <c r="O784" s="311">
        <f t="shared" si="342"/>
        <v>69.038999999017918</v>
      </c>
    </row>
    <row r="785" spans="1:15" s="236" customFormat="1" x14ac:dyDescent="0.3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37"/>
      <c r="M785" s="237"/>
      <c r="N785" s="240"/>
    </row>
    <row r="786" spans="1:15" s="236" customFormat="1" x14ac:dyDescent="0.3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37"/>
      <c r="M786" s="237"/>
      <c r="N786" s="240"/>
      <c r="O786" s="251" t="s">
        <v>35</v>
      </c>
    </row>
    <row r="787" spans="1:15" s="236" customFormat="1" x14ac:dyDescent="0.3">
      <c r="A787" s="242"/>
      <c r="B787" s="242"/>
      <c r="C787" s="242"/>
      <c r="D787" s="242"/>
      <c r="E787" s="242"/>
      <c r="F787" s="242"/>
      <c r="G787" s="242"/>
      <c r="H787" s="242"/>
      <c r="I787" s="242"/>
      <c r="J787" s="242"/>
      <c r="K787" s="242"/>
      <c r="L787" s="242"/>
      <c r="M787" s="242"/>
      <c r="N787" s="242"/>
      <c r="O787" s="242"/>
    </row>
    <row r="788" spans="1:15" s="236" customFormat="1" x14ac:dyDescent="0.3">
      <c r="A788" s="241" t="str">
        <f>name!A49</f>
        <v>Information services</v>
      </c>
      <c r="B788" s="375">
        <f>$B$6</f>
        <v>2015</v>
      </c>
      <c r="C788" s="375"/>
      <c r="D788" s="375"/>
      <c r="E788" s="375"/>
      <c r="F788" s="263"/>
      <c r="G788" s="375">
        <f>$G$6</f>
        <v>2020</v>
      </c>
      <c r="H788" s="375"/>
      <c r="I788" s="375"/>
      <c r="J788" s="375"/>
      <c r="K788" s="263"/>
      <c r="L788" s="375">
        <f>$L$6</f>
        <v>2035</v>
      </c>
      <c r="M788" s="375"/>
      <c r="N788" s="375"/>
      <c r="O788" s="375"/>
    </row>
    <row r="789" spans="1:15" s="236" customFormat="1" x14ac:dyDescent="0.3">
      <c r="A789" s="254"/>
      <c r="B789" s="268" t="str">
        <f>$B$7</f>
        <v>FT</v>
      </c>
      <c r="C789" s="268" t="str">
        <f>$C$7</f>
        <v>PT</v>
      </c>
      <c r="D789" s="268" t="str">
        <f>$D$7</f>
        <v>SE</v>
      </c>
      <c r="E789" s="268" t="str">
        <f>$E$7</f>
        <v>Total</v>
      </c>
      <c r="F789" s="268"/>
      <c r="G789" s="268" t="str">
        <f>$G$7</f>
        <v>FT</v>
      </c>
      <c r="H789" s="268" t="str">
        <f>$H$7</f>
        <v>PT</v>
      </c>
      <c r="I789" s="268" t="str">
        <f>$I$7</f>
        <v>SE</v>
      </c>
      <c r="J789" s="268" t="str">
        <f>$J$7</f>
        <v>Total</v>
      </c>
      <c r="K789" s="268"/>
      <c r="L789" s="268" t="str">
        <f>$L$7</f>
        <v>FT</v>
      </c>
      <c r="M789" s="268" t="str">
        <f>$M$7</f>
        <v>PT</v>
      </c>
      <c r="N789" s="268" t="str">
        <f>$N$7</f>
        <v>SE</v>
      </c>
      <c r="O789" s="268" t="str">
        <f>$O$7</f>
        <v>Total</v>
      </c>
    </row>
    <row r="790" spans="1:15" s="236" customFormat="1" x14ac:dyDescent="0.3">
      <c r="A790" s="258"/>
      <c r="B790" s="239"/>
      <c r="C790" s="239"/>
      <c r="D790" s="239"/>
      <c r="E790" s="239"/>
      <c r="F790" s="239"/>
      <c r="G790" s="239"/>
      <c r="H790" s="239"/>
      <c r="I790" s="239"/>
      <c r="J790" s="239"/>
      <c r="K790" s="239"/>
      <c r="L790" s="239"/>
      <c r="M790" s="239"/>
      <c r="N790" s="239"/>
      <c r="O790" s="239"/>
    </row>
    <row r="791" spans="1:15" s="236" customFormat="1" x14ac:dyDescent="0.3">
      <c r="A791" s="237" t="str">
        <f>name!E$4</f>
        <v>Managers, directors and senior officials</v>
      </c>
      <c r="B791" s="302">
        <v>0.81718788815902577</v>
      </c>
      <c r="C791" s="302">
        <v>1.2268976043037181E-2</v>
      </c>
      <c r="D791" s="302">
        <v>6.5125505105452272E-2</v>
      </c>
      <c r="E791" s="302">
        <f>SUM(B791:D791)</f>
        <v>0.89458236930751522</v>
      </c>
      <c r="F791" s="303"/>
      <c r="G791" s="302">
        <v>0.27198275445055792</v>
      </c>
      <c r="H791" s="302">
        <v>4.9577423740235008E-2</v>
      </c>
      <c r="I791" s="302">
        <v>3.4463878910277843E-2</v>
      </c>
      <c r="J791" s="302">
        <f>SUM(G791:I791)</f>
        <v>0.35602405710107077</v>
      </c>
      <c r="K791" s="303"/>
      <c r="L791" s="302">
        <v>0.30057175093144883</v>
      </c>
      <c r="M791" s="302">
        <v>5.3293240886062826E-2</v>
      </c>
      <c r="N791" s="302">
        <v>3.6890051217313917E-2</v>
      </c>
      <c r="O791" s="302">
        <f>SUM(L791:N791)</f>
        <v>0.39075504303482556</v>
      </c>
    </row>
    <row r="792" spans="1:15" s="236" customFormat="1" x14ac:dyDescent="0.3">
      <c r="A792" s="237" t="str">
        <f>name!E$5</f>
        <v>Professional occupations</v>
      </c>
      <c r="B792" s="302">
        <v>2.1571360049774486</v>
      </c>
      <c r="C792" s="302">
        <v>1.9360010606619939E-2</v>
      </c>
      <c r="D792" s="302">
        <v>0.1420689624637862</v>
      </c>
      <c r="E792" s="302">
        <f t="shared" ref="E792:E799" si="343">SUM(B792:D792)</f>
        <v>2.3185649780478546</v>
      </c>
      <c r="F792" s="303"/>
      <c r="G792" s="302">
        <v>0.76570615366259664</v>
      </c>
      <c r="H792" s="302">
        <v>6.7350077167728631E-2</v>
      </c>
      <c r="I792" s="302">
        <v>7.2975167512632735E-2</v>
      </c>
      <c r="J792" s="302">
        <f t="shared" ref="J792:J794" si="344">SUM(G792:I792)</f>
        <v>0.90603139834295809</v>
      </c>
      <c r="K792" s="303"/>
      <c r="L792" s="302">
        <v>0.88549685618239993</v>
      </c>
      <c r="M792" s="302">
        <v>8.9776958847731403E-2</v>
      </c>
      <c r="N792" s="302">
        <v>6.9626106499895216E-2</v>
      </c>
      <c r="O792" s="302">
        <f t="shared" ref="O792:O799" si="345">SUM(L792:N792)</f>
        <v>1.0448999215300265</v>
      </c>
    </row>
    <row r="793" spans="1:15" s="236" customFormat="1" x14ac:dyDescent="0.3">
      <c r="A793" s="237" t="str">
        <f>name!E$6</f>
        <v>Associate professional occupations</v>
      </c>
      <c r="B793" s="302">
        <v>1.0429773408244223</v>
      </c>
      <c r="C793" s="302">
        <v>1.8012752203327254E-2</v>
      </c>
      <c r="D793" s="302">
        <v>9.627213101323423E-2</v>
      </c>
      <c r="E793" s="302">
        <f t="shared" si="343"/>
        <v>1.1572622240409838</v>
      </c>
      <c r="F793" s="303"/>
      <c r="G793" s="302">
        <v>0.3592240540299691</v>
      </c>
      <c r="H793" s="302">
        <v>5.1746974210086547E-2</v>
      </c>
      <c r="I793" s="302">
        <v>3.7949587104508214E-2</v>
      </c>
      <c r="J793" s="302">
        <f t="shared" si="344"/>
        <v>0.44892061534456384</v>
      </c>
      <c r="K793" s="303"/>
      <c r="L793" s="302">
        <v>0.37048122699999397</v>
      </c>
      <c r="M793" s="302">
        <v>5.0799963516379394E-2</v>
      </c>
      <c r="N793" s="302">
        <v>4.4264506002449973E-2</v>
      </c>
      <c r="O793" s="302">
        <f t="shared" si="345"/>
        <v>0.46554569651882333</v>
      </c>
    </row>
    <row r="794" spans="1:15" s="236" customFormat="1" x14ac:dyDescent="0.3">
      <c r="A794" s="237" t="str">
        <f>name!E$7</f>
        <v>Administrative and secretarial occupations</v>
      </c>
      <c r="B794" s="302">
        <v>0.42780358861206091</v>
      </c>
      <c r="C794" s="302">
        <v>3.1773562136089735E-2</v>
      </c>
      <c r="D794" s="302">
        <v>1.7718357207183368E-2</v>
      </c>
      <c r="E794" s="302">
        <f t="shared" si="343"/>
        <v>0.47729550795533399</v>
      </c>
      <c r="F794" s="303"/>
      <c r="G794" s="302">
        <v>0.14538527686880579</v>
      </c>
      <c r="H794" s="302">
        <v>5.8026127286796361E-2</v>
      </c>
      <c r="I794" s="302">
        <v>4.375463103770654E-3</v>
      </c>
      <c r="J794" s="302">
        <f t="shared" si="344"/>
        <v>0.20778686725937281</v>
      </c>
      <c r="K794" s="303"/>
      <c r="L794" s="302">
        <v>0.11449046633283641</v>
      </c>
      <c r="M794" s="302">
        <v>5.4909547869227887E-2</v>
      </c>
      <c r="N794" s="302">
        <v>3.4599064725776806E-3</v>
      </c>
      <c r="O794" s="302">
        <f t="shared" si="345"/>
        <v>0.17285992067464198</v>
      </c>
    </row>
    <row r="795" spans="1:15" s="236" customFormat="1" x14ac:dyDescent="0.3">
      <c r="A795" s="237" t="str">
        <f>name!E$8</f>
        <v>Skilled trades occupations</v>
      </c>
      <c r="B795" s="302">
        <v>0.27131524227100107</v>
      </c>
      <c r="C795" s="302">
        <v>5.0060827250391167E-3</v>
      </c>
      <c r="D795" s="302">
        <v>4.8942482803284858E-2</v>
      </c>
      <c r="E795" s="302">
        <f t="shared" si="343"/>
        <v>0.32526380779932501</v>
      </c>
      <c r="F795" s="303"/>
      <c r="G795" s="302">
        <v>6.4951811961973097E-2</v>
      </c>
      <c r="H795" s="302">
        <v>1.1583330456158699E-2</v>
      </c>
      <c r="I795" s="302">
        <v>2.0840573213820386E-2</v>
      </c>
      <c r="J795" s="302">
        <f>SUM(G795:I795)</f>
        <v>9.7375715631952187E-2</v>
      </c>
      <c r="K795" s="303"/>
      <c r="L795" s="302">
        <v>5.2351975347192589E-2</v>
      </c>
      <c r="M795" s="302">
        <v>1.3521315875731561E-2</v>
      </c>
      <c r="N795" s="302">
        <v>3.5910753160234024E-2</v>
      </c>
      <c r="O795" s="302">
        <f t="shared" si="345"/>
        <v>0.10178404438315818</v>
      </c>
    </row>
    <row r="796" spans="1:15" s="236" customFormat="1" x14ac:dyDescent="0.3">
      <c r="A796" s="237" t="str">
        <f>name!E$9</f>
        <v>Caring, leisure and other service occupations</v>
      </c>
      <c r="B796" s="302">
        <v>0.19332519706614246</v>
      </c>
      <c r="C796" s="302">
        <v>1.5179905591841344E-2</v>
      </c>
      <c r="D796" s="302">
        <v>2.2505700450170123E-2</v>
      </c>
      <c r="E796" s="302">
        <f t="shared" si="343"/>
        <v>0.23101080310815392</v>
      </c>
      <c r="F796" s="303"/>
      <c r="G796" s="302">
        <v>6.7937639233973252E-2</v>
      </c>
      <c r="H796" s="302">
        <v>3.6054528013848584E-2</v>
      </c>
      <c r="I796" s="302">
        <v>6.1606202849502495E-3</v>
      </c>
      <c r="J796" s="302">
        <f t="shared" ref="J796:J799" si="346">SUM(G796:I796)</f>
        <v>0.11015278753277209</v>
      </c>
      <c r="K796" s="303"/>
      <c r="L796" s="302">
        <v>9.2889582790992978E-2</v>
      </c>
      <c r="M796" s="302">
        <v>4.1917709161728794E-2</v>
      </c>
      <c r="N796" s="302">
        <v>8.6211581217918217E-3</v>
      </c>
      <c r="O796" s="302">
        <f t="shared" si="345"/>
        <v>0.1434284500745136</v>
      </c>
    </row>
    <row r="797" spans="1:15" s="236" customFormat="1" x14ac:dyDescent="0.3">
      <c r="A797" s="237" t="str">
        <f>name!E$10</f>
        <v>Sales and customer service occupations</v>
      </c>
      <c r="B797" s="302">
        <v>0.22472846292429552</v>
      </c>
      <c r="C797" s="302">
        <v>1.0231311741269809E-2</v>
      </c>
      <c r="D797" s="302">
        <v>1.0592018375432903E-2</v>
      </c>
      <c r="E797" s="302">
        <f t="shared" si="343"/>
        <v>0.24555179304099825</v>
      </c>
      <c r="F797" s="303"/>
      <c r="G797" s="302">
        <v>7.1949233356800674E-2</v>
      </c>
      <c r="H797" s="302">
        <v>2.7502468019866218E-2</v>
      </c>
      <c r="I797" s="302">
        <v>2.417927559379013E-3</v>
      </c>
      <c r="J797" s="302">
        <f t="shared" si="346"/>
        <v>0.10186962893604591</v>
      </c>
      <c r="K797" s="303"/>
      <c r="L797" s="302">
        <v>9.1275549201296366E-2</v>
      </c>
      <c r="M797" s="302">
        <v>3.7615375300710394E-2</v>
      </c>
      <c r="N797" s="302">
        <v>2.0055339632225728E-3</v>
      </c>
      <c r="O797" s="302">
        <f t="shared" si="345"/>
        <v>0.13089645846522932</v>
      </c>
    </row>
    <row r="798" spans="1:15" s="236" customFormat="1" x14ac:dyDescent="0.3">
      <c r="A798" s="237" t="str">
        <f>name!E$11</f>
        <v>Process, plant and machine operatives</v>
      </c>
      <c r="B798" s="302">
        <v>0.11516242293936842</v>
      </c>
      <c r="C798" s="302">
        <v>6.3125631041423044E-3</v>
      </c>
      <c r="D798" s="302">
        <v>1.215406357401267E-2</v>
      </c>
      <c r="E798" s="302">
        <f t="shared" si="343"/>
        <v>0.13362904961752339</v>
      </c>
      <c r="F798" s="303"/>
      <c r="G798" s="302">
        <v>2.690453151745598E-2</v>
      </c>
      <c r="H798" s="302">
        <v>2.6112008376316578E-2</v>
      </c>
      <c r="I798" s="302">
        <v>6.9564935363100218E-3</v>
      </c>
      <c r="J798" s="302">
        <f t="shared" si="346"/>
        <v>5.9973033430082576E-2</v>
      </c>
      <c r="K798" s="303"/>
      <c r="L798" s="302">
        <v>2.7411445765330993E-2</v>
      </c>
      <c r="M798" s="302">
        <v>3.6428701404215315E-2</v>
      </c>
      <c r="N798" s="302">
        <v>1.0367302514216749E-2</v>
      </c>
      <c r="O798" s="302">
        <f t="shared" si="345"/>
        <v>7.4207449683763055E-2</v>
      </c>
    </row>
    <row r="799" spans="1:15" s="236" customFormat="1" x14ac:dyDescent="0.3">
      <c r="A799" s="237" t="str">
        <f>name!E$12</f>
        <v>Elementary occupations</v>
      </c>
      <c r="B799" s="302">
        <v>0.68736385217862406</v>
      </c>
      <c r="C799" s="302">
        <v>9.9854835851285087E-2</v>
      </c>
      <c r="D799" s="302">
        <v>2.6620779011530496E-2</v>
      </c>
      <c r="E799" s="302">
        <f t="shared" si="343"/>
        <v>0.81383946704143961</v>
      </c>
      <c r="F799" s="303"/>
      <c r="G799" s="302">
        <v>0.18295854489589933</v>
      </c>
      <c r="H799" s="302">
        <v>0.2230470627289107</v>
      </c>
      <c r="I799" s="302">
        <v>6.8602887747040752E-3</v>
      </c>
      <c r="J799" s="302">
        <f t="shared" si="346"/>
        <v>0.4128658963995141</v>
      </c>
      <c r="K799" s="303"/>
      <c r="L799" s="302">
        <v>0.21103114642375248</v>
      </c>
      <c r="M799" s="302">
        <v>0.21273718714062312</v>
      </c>
      <c r="N799" s="302">
        <v>5.854682049511375E-3</v>
      </c>
      <c r="O799" s="302">
        <f t="shared" si="345"/>
        <v>0.42962301561388699</v>
      </c>
    </row>
    <row r="800" spans="1:15" s="236" customFormat="1" x14ac:dyDescent="0.3">
      <c r="A800" s="237"/>
      <c r="B800" s="302"/>
      <c r="C800" s="302"/>
      <c r="D800" s="302"/>
      <c r="E800" s="302"/>
      <c r="F800" s="303"/>
      <c r="G800" s="302"/>
      <c r="H800" s="302"/>
      <c r="I800" s="302"/>
      <c r="J800" s="302"/>
      <c r="K800" s="303"/>
      <c r="L800" s="302"/>
      <c r="M800" s="302"/>
      <c r="N800" s="302"/>
      <c r="O800" s="302"/>
    </row>
    <row r="801" spans="1:15" s="236" customFormat="1" x14ac:dyDescent="0.3">
      <c r="A801" s="244" t="s">
        <v>32</v>
      </c>
      <c r="B801" s="311">
        <f>SUM(B791:B799)</f>
        <v>5.9369999999523895</v>
      </c>
      <c r="C801" s="311">
        <f t="shared" ref="C801:E801" si="347">SUM(C791:C799)</f>
        <v>0.21800000000265174</v>
      </c>
      <c r="D801" s="311">
        <f t="shared" si="347"/>
        <v>0.44200000000408707</v>
      </c>
      <c r="E801" s="311">
        <f t="shared" si="347"/>
        <v>6.5969999999591264</v>
      </c>
      <c r="F801" s="311"/>
      <c r="G801" s="311">
        <f t="shared" ref="G801:J801" si="348">SUM(G791:G799)</f>
        <v>1.9569999999780319</v>
      </c>
      <c r="H801" s="311">
        <f t="shared" si="348"/>
        <v>0.55099999999994731</v>
      </c>
      <c r="I801" s="311">
        <f t="shared" si="348"/>
        <v>0.19300000000035317</v>
      </c>
      <c r="J801" s="311">
        <f t="shared" si="348"/>
        <v>2.700999999978333</v>
      </c>
      <c r="K801" s="311"/>
      <c r="L801" s="311">
        <f t="shared" ref="L801:O801" si="349">SUM(L791:L799)</f>
        <v>2.1459999999752446</v>
      </c>
      <c r="M801" s="311">
        <f t="shared" si="349"/>
        <v>0.59100000000241071</v>
      </c>
      <c r="N801" s="311">
        <f t="shared" si="349"/>
        <v>0.21700000000121331</v>
      </c>
      <c r="O801" s="311">
        <f t="shared" si="349"/>
        <v>2.9539999999788686</v>
      </c>
    </row>
    <row r="802" spans="1:15" s="236" customFormat="1" x14ac:dyDescent="0.3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37"/>
      <c r="M802" s="237"/>
      <c r="N802" s="240"/>
    </row>
    <row r="803" spans="1:15" s="236" customFormat="1" x14ac:dyDescent="0.3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37"/>
      <c r="M803" s="237"/>
      <c r="N803" s="240"/>
      <c r="O803" s="251" t="s">
        <v>35</v>
      </c>
    </row>
    <row r="804" spans="1:15" s="236" customFormat="1" x14ac:dyDescent="0.3">
      <c r="A804" s="242"/>
      <c r="B804" s="242"/>
      <c r="C804" s="242"/>
      <c r="D804" s="242"/>
      <c r="E804" s="242"/>
      <c r="F804" s="242"/>
      <c r="G804" s="242"/>
      <c r="H804" s="242"/>
      <c r="I804" s="242"/>
      <c r="J804" s="242"/>
      <c r="K804" s="242"/>
      <c r="L804" s="242"/>
      <c r="M804" s="242"/>
      <c r="N804" s="242"/>
      <c r="O804" s="242"/>
    </row>
    <row r="805" spans="1:15" s="236" customFormat="1" x14ac:dyDescent="0.3">
      <c r="A805" s="241" t="str">
        <f>name!A50</f>
        <v>Financial services</v>
      </c>
      <c r="B805" s="375">
        <f>$B$6</f>
        <v>2015</v>
      </c>
      <c r="C805" s="375"/>
      <c r="D805" s="375"/>
      <c r="E805" s="375"/>
      <c r="F805" s="263"/>
      <c r="G805" s="375">
        <f>$G$6</f>
        <v>2020</v>
      </c>
      <c r="H805" s="375"/>
      <c r="I805" s="375"/>
      <c r="J805" s="375"/>
      <c r="K805" s="263"/>
      <c r="L805" s="375">
        <f>$L$6</f>
        <v>2035</v>
      </c>
      <c r="M805" s="375"/>
      <c r="N805" s="375"/>
      <c r="O805" s="375"/>
    </row>
    <row r="806" spans="1:15" s="236" customFormat="1" x14ac:dyDescent="0.3">
      <c r="A806" s="254"/>
      <c r="B806" s="268" t="str">
        <f>$B$7</f>
        <v>FT</v>
      </c>
      <c r="C806" s="268" t="str">
        <f>$C$7</f>
        <v>PT</v>
      </c>
      <c r="D806" s="268" t="str">
        <f>$D$7</f>
        <v>SE</v>
      </c>
      <c r="E806" s="268" t="str">
        <f>$E$7</f>
        <v>Total</v>
      </c>
      <c r="F806" s="268"/>
      <c r="G806" s="268" t="str">
        <f>$G$7</f>
        <v>FT</v>
      </c>
      <c r="H806" s="268" t="str">
        <f>$H$7</f>
        <v>PT</v>
      </c>
      <c r="I806" s="268" t="str">
        <f>$I$7</f>
        <v>SE</v>
      </c>
      <c r="J806" s="268" t="str">
        <f>$J$7</f>
        <v>Total</v>
      </c>
      <c r="K806" s="268"/>
      <c r="L806" s="268" t="str">
        <f>$L$7</f>
        <v>FT</v>
      </c>
      <c r="M806" s="268" t="str">
        <f>$M$7</f>
        <v>PT</v>
      </c>
      <c r="N806" s="268" t="str">
        <f>$N$7</f>
        <v>SE</v>
      </c>
      <c r="O806" s="268" t="str">
        <f>$O$7</f>
        <v>Total</v>
      </c>
    </row>
    <row r="807" spans="1:15" s="236" customFormat="1" x14ac:dyDescent="0.3">
      <c r="A807" s="258"/>
      <c r="B807" s="239"/>
      <c r="C807" s="239"/>
      <c r="D807" s="239"/>
      <c r="E807" s="239"/>
      <c r="F807" s="239"/>
      <c r="G807" s="239"/>
      <c r="H807" s="239"/>
      <c r="I807" s="239"/>
      <c r="J807" s="239"/>
      <c r="K807" s="239"/>
      <c r="L807" s="239"/>
      <c r="M807" s="239"/>
      <c r="N807" s="239"/>
      <c r="O807" s="239"/>
    </row>
    <row r="808" spans="1:15" s="236" customFormat="1" x14ac:dyDescent="0.3">
      <c r="A808" s="237" t="str">
        <f>name!E$4</f>
        <v>Managers, directors and senior officials</v>
      </c>
      <c r="B808" s="302">
        <v>3.7846890548344247</v>
      </c>
      <c r="C808" s="302">
        <v>0.57370300255838491</v>
      </c>
      <c r="D808" s="302">
        <v>0.24035595136844567</v>
      </c>
      <c r="E808" s="302">
        <f>SUM(B808:D808)</f>
        <v>4.5987480087612553</v>
      </c>
      <c r="F808" s="303"/>
      <c r="G808" s="302">
        <v>2.9782015561802129</v>
      </c>
      <c r="H808" s="302">
        <v>0.42820588064711468</v>
      </c>
      <c r="I808" s="302">
        <v>4.8002382621671134E-2</v>
      </c>
      <c r="J808" s="302">
        <f>SUM(G808:I808)</f>
        <v>3.4544098194489985</v>
      </c>
      <c r="K808" s="303"/>
      <c r="L808" s="302">
        <v>2.6920887638638669</v>
      </c>
      <c r="M808" s="302">
        <v>0.48102933858846747</v>
      </c>
      <c r="N808" s="302">
        <v>4.124924806616926E-2</v>
      </c>
      <c r="O808" s="302">
        <f>SUM(L808:N808)</f>
        <v>3.2143673505185038</v>
      </c>
    </row>
    <row r="809" spans="1:15" s="236" customFormat="1" x14ac:dyDescent="0.3">
      <c r="A809" s="237" t="str">
        <f>name!E$5</f>
        <v>Professional occupations</v>
      </c>
      <c r="B809" s="302">
        <v>3.714803994140778</v>
      </c>
      <c r="C809" s="302">
        <v>0.33370587142614511</v>
      </c>
      <c r="D809" s="302">
        <v>1.8970473873168781</v>
      </c>
      <c r="E809" s="302">
        <f t="shared" ref="E809:E816" si="350">SUM(B809:D809)</f>
        <v>5.945557252883801</v>
      </c>
      <c r="F809" s="303"/>
      <c r="G809" s="302">
        <v>3.3946647830741821</v>
      </c>
      <c r="H809" s="302">
        <v>0.2273085343807969</v>
      </c>
      <c r="I809" s="302">
        <v>0.17601154058504764</v>
      </c>
      <c r="J809" s="302">
        <f t="shared" ref="J809:J811" si="351">SUM(G809:I809)</f>
        <v>3.7979848580400266</v>
      </c>
      <c r="K809" s="303"/>
      <c r="L809" s="302">
        <v>3.567434763038694</v>
      </c>
      <c r="M809" s="302">
        <v>0.24322489379678541</v>
      </c>
      <c r="N809" s="302">
        <v>0.13921350002981372</v>
      </c>
      <c r="O809" s="302">
        <f t="shared" ref="O809:O816" si="352">SUM(L809:N809)</f>
        <v>3.9498731568652934</v>
      </c>
    </row>
    <row r="810" spans="1:15" s="236" customFormat="1" x14ac:dyDescent="0.3">
      <c r="A810" s="237" t="str">
        <f>name!E$6</f>
        <v>Associate professional occupations</v>
      </c>
      <c r="B810" s="302">
        <v>3.2607129396557677</v>
      </c>
      <c r="C810" s="302">
        <v>0.78980487949093836</v>
      </c>
      <c r="D810" s="302">
        <v>0.36399290001852086</v>
      </c>
      <c r="E810" s="302">
        <f t="shared" si="350"/>
        <v>4.4145107191652269</v>
      </c>
      <c r="F810" s="303"/>
      <c r="G810" s="302">
        <v>2.6711827318160042</v>
      </c>
      <c r="H810" s="302">
        <v>0.42322608868637285</v>
      </c>
      <c r="I810" s="302">
        <v>4.7463104688033338E-2</v>
      </c>
      <c r="J810" s="302">
        <f t="shared" si="351"/>
        <v>3.1418719251904106</v>
      </c>
      <c r="K810" s="303"/>
      <c r="L810" s="302">
        <v>2.190712259191244</v>
      </c>
      <c r="M810" s="302">
        <v>0.41544398253755083</v>
      </c>
      <c r="N810" s="302">
        <v>3.9423458130693506E-2</v>
      </c>
      <c r="O810" s="302">
        <f t="shared" si="352"/>
        <v>2.6455796998594883</v>
      </c>
    </row>
    <row r="811" spans="1:15" s="236" customFormat="1" x14ac:dyDescent="0.3">
      <c r="A811" s="237" t="str">
        <f>name!E$7</f>
        <v>Administrative and secretarial occupations</v>
      </c>
      <c r="B811" s="302">
        <v>4.093279969386348</v>
      </c>
      <c r="C811" s="302">
        <v>3.8876638120818043</v>
      </c>
      <c r="D811" s="302">
        <v>0.1656360760809775</v>
      </c>
      <c r="E811" s="302">
        <f t="shared" si="350"/>
        <v>8.1465798575491295</v>
      </c>
      <c r="F811" s="303"/>
      <c r="G811" s="302">
        <v>2.9465361703277879</v>
      </c>
      <c r="H811" s="302">
        <v>1.8420963203226</v>
      </c>
      <c r="I811" s="302">
        <v>2.4203804705228028E-2</v>
      </c>
      <c r="J811" s="302">
        <f t="shared" si="351"/>
        <v>4.8128362953556154</v>
      </c>
      <c r="K811" s="303"/>
      <c r="L811" s="302">
        <v>1.8985613396486538</v>
      </c>
      <c r="M811" s="302">
        <v>1.2602455876653251</v>
      </c>
      <c r="N811" s="302">
        <v>1.9382342269212077E-2</v>
      </c>
      <c r="O811" s="302">
        <f t="shared" si="352"/>
        <v>3.1781892695831906</v>
      </c>
    </row>
    <row r="812" spans="1:15" s="236" customFormat="1" x14ac:dyDescent="0.3">
      <c r="A812" s="237" t="str">
        <f>name!E$8</f>
        <v>Skilled trades occupations</v>
      </c>
      <c r="B812" s="302">
        <v>0.1812902537534547</v>
      </c>
      <c r="C812" s="302">
        <v>3.1360456030282056E-2</v>
      </c>
      <c r="D812" s="302">
        <v>0.12309648364885215</v>
      </c>
      <c r="E812" s="302">
        <f t="shared" si="350"/>
        <v>0.33574719343258891</v>
      </c>
      <c r="F812" s="303"/>
      <c r="G812" s="302">
        <v>0.10046877180261785</v>
      </c>
      <c r="H812" s="302">
        <v>1.1883250295246338E-2</v>
      </c>
      <c r="I812" s="302">
        <v>1.0992941412256851E-2</v>
      </c>
      <c r="J812" s="302">
        <f>SUM(G812:I812)</f>
        <v>0.12334496351012103</v>
      </c>
      <c r="K812" s="303"/>
      <c r="L812" s="302">
        <v>9.4818003406504633E-2</v>
      </c>
      <c r="M812" s="302">
        <v>1.8570762926496707E-2</v>
      </c>
      <c r="N812" s="302">
        <v>1.184535715684391E-2</v>
      </c>
      <c r="O812" s="302">
        <f t="shared" si="352"/>
        <v>0.12523412348984525</v>
      </c>
    </row>
    <row r="813" spans="1:15" s="236" customFormat="1" x14ac:dyDescent="0.3">
      <c r="A813" s="237" t="str">
        <f>name!E$9</f>
        <v>Caring, leisure and other service occupations</v>
      </c>
      <c r="B813" s="302">
        <v>3.9926597698395953E-2</v>
      </c>
      <c r="C813" s="302">
        <v>1.8081536167515781E-2</v>
      </c>
      <c r="D813" s="302">
        <v>1.3787869602778082E-2</v>
      </c>
      <c r="E813" s="302">
        <f t="shared" si="350"/>
        <v>7.179600346868982E-2</v>
      </c>
      <c r="F813" s="303"/>
      <c r="G813" s="302">
        <v>2.7741392706753909E-2</v>
      </c>
      <c r="H813" s="302">
        <v>8.1869151447128558E-3</v>
      </c>
      <c r="I813" s="302">
        <v>1.0809184028579466E-2</v>
      </c>
      <c r="J813" s="302">
        <f t="shared" ref="J813:J816" si="353">SUM(G813:I813)</f>
        <v>4.6737491880046229E-2</v>
      </c>
      <c r="K813" s="303"/>
      <c r="L813" s="302">
        <v>2.6935132996820446E-2</v>
      </c>
      <c r="M813" s="302">
        <v>6.2968254936711888E-3</v>
      </c>
      <c r="N813" s="302">
        <v>1.4336229263445448E-2</v>
      </c>
      <c r="O813" s="302">
        <f t="shared" si="352"/>
        <v>4.7568187753937077E-2</v>
      </c>
    </row>
    <row r="814" spans="1:15" s="236" customFormat="1" x14ac:dyDescent="0.3">
      <c r="A814" s="237" t="str">
        <f>name!E$10</f>
        <v>Sales and customer service occupations</v>
      </c>
      <c r="B814" s="302">
        <v>0.88998498322473374</v>
      </c>
      <c r="C814" s="302">
        <v>1.036257637574014</v>
      </c>
      <c r="D814" s="302">
        <v>0.33571588474033753</v>
      </c>
      <c r="E814" s="302">
        <f t="shared" si="350"/>
        <v>2.2619585055390852</v>
      </c>
      <c r="F814" s="303"/>
      <c r="G814" s="302">
        <v>0.6257286902941146</v>
      </c>
      <c r="H814" s="302">
        <v>0.54641659719158386</v>
      </c>
      <c r="I814" s="302">
        <v>0.14505381014666463</v>
      </c>
      <c r="J814" s="302">
        <f t="shared" si="353"/>
        <v>1.3171990976323631</v>
      </c>
      <c r="K814" s="303"/>
      <c r="L814" s="302">
        <v>0.59898027953388633</v>
      </c>
      <c r="M814" s="302">
        <v>0.58861216345867773</v>
      </c>
      <c r="N814" s="302">
        <v>9.903224401463849E-2</v>
      </c>
      <c r="O814" s="302">
        <f t="shared" si="352"/>
        <v>1.2866246870072024</v>
      </c>
    </row>
    <row r="815" spans="1:15" s="236" customFormat="1" x14ac:dyDescent="0.3">
      <c r="A815" s="237" t="str">
        <f>name!E$11</f>
        <v>Process, plant and machine operatives</v>
      </c>
      <c r="B815" s="302">
        <v>5.0933932809221899E-2</v>
      </c>
      <c r="C815" s="302">
        <v>1.5397791538316028E-2</v>
      </c>
      <c r="D815" s="302">
        <v>6.0328668207525492E-2</v>
      </c>
      <c r="E815" s="302">
        <f t="shared" si="350"/>
        <v>0.12666039255506342</v>
      </c>
      <c r="F815" s="303"/>
      <c r="G815" s="302">
        <v>2.6924168718639695E-2</v>
      </c>
      <c r="H815" s="302">
        <v>6.8453807052398577E-3</v>
      </c>
      <c r="I815" s="302">
        <v>5.9910655596493965E-3</v>
      </c>
      <c r="J815" s="302">
        <f t="shared" si="353"/>
        <v>3.9760614983528952E-2</v>
      </c>
      <c r="K815" s="303"/>
      <c r="L815" s="302">
        <v>2.3641038937664945E-2</v>
      </c>
      <c r="M815" s="302">
        <v>1.0125656355537548E-2</v>
      </c>
      <c r="N815" s="302">
        <v>7.8837415477303781E-3</v>
      </c>
      <c r="O815" s="302">
        <f t="shared" si="352"/>
        <v>4.1650436840932864E-2</v>
      </c>
    </row>
    <row r="816" spans="1:15" s="236" customFormat="1" x14ac:dyDescent="0.3">
      <c r="A816" s="237" t="str">
        <f>name!E$12</f>
        <v>Elementary occupations</v>
      </c>
      <c r="B816" s="302">
        <v>0.1363782743170498</v>
      </c>
      <c r="C816" s="302">
        <v>5.2025013172391887E-2</v>
      </c>
      <c r="D816" s="302">
        <v>7.003877906616035E-2</v>
      </c>
      <c r="E816" s="302">
        <f t="shared" si="350"/>
        <v>0.25844206655560203</v>
      </c>
      <c r="F816" s="303"/>
      <c r="G816" s="302">
        <v>7.6551734971730775E-2</v>
      </c>
      <c r="H816" s="302">
        <v>2.083103262846386E-2</v>
      </c>
      <c r="I816" s="302">
        <v>3.1472166247924489E-2</v>
      </c>
      <c r="J816" s="302">
        <f t="shared" si="353"/>
        <v>0.12885493384811914</v>
      </c>
      <c r="K816" s="303"/>
      <c r="L816" s="302">
        <v>6.0828419301789692E-2</v>
      </c>
      <c r="M816" s="302">
        <v>1.3450789178811212E-2</v>
      </c>
      <c r="N816" s="302">
        <v>2.8633879524041086E-2</v>
      </c>
      <c r="O816" s="302">
        <f t="shared" si="352"/>
        <v>0.10291308800464199</v>
      </c>
    </row>
    <row r="817" spans="1:15" s="236" customFormat="1" x14ac:dyDescent="0.3">
      <c r="A817" s="237"/>
      <c r="B817" s="302"/>
      <c r="C817" s="302"/>
      <c r="D817" s="302"/>
      <c r="E817" s="302"/>
      <c r="F817" s="303"/>
      <c r="G817" s="302"/>
      <c r="H817" s="302"/>
      <c r="I817" s="302"/>
      <c r="J817" s="302"/>
      <c r="K817" s="303"/>
      <c r="L817" s="302"/>
      <c r="M817" s="302"/>
      <c r="N817" s="302"/>
      <c r="O817" s="302"/>
    </row>
    <row r="818" spans="1:15" s="236" customFormat="1" x14ac:dyDescent="0.3">
      <c r="A818" s="244" t="s">
        <v>32</v>
      </c>
      <c r="B818" s="311">
        <f>SUM(B808:B816)</f>
        <v>16.151999999820173</v>
      </c>
      <c r="C818" s="311">
        <f t="shared" ref="C818:E818" si="354">SUM(C808:C816)</f>
        <v>6.7380000000397926</v>
      </c>
      <c r="D818" s="311">
        <f t="shared" si="354"/>
        <v>3.2700000000504752</v>
      </c>
      <c r="E818" s="311">
        <f t="shared" si="354"/>
        <v>26.159999999910443</v>
      </c>
      <c r="F818" s="311"/>
      <c r="G818" s="311">
        <f t="shared" ref="G818:J818" si="355">SUM(G808:G816)</f>
        <v>12.847999999892043</v>
      </c>
      <c r="H818" s="311">
        <f t="shared" si="355"/>
        <v>3.5150000000021313</v>
      </c>
      <c r="I818" s="311">
        <f t="shared" si="355"/>
        <v>0.49999999999505501</v>
      </c>
      <c r="J818" s="311">
        <f t="shared" si="355"/>
        <v>16.862999999889229</v>
      </c>
      <c r="K818" s="311"/>
      <c r="L818" s="311">
        <f t="shared" ref="L818:O818" si="356">SUM(L808:L816)</f>
        <v>11.153999999919126</v>
      </c>
      <c r="M818" s="311">
        <f t="shared" si="356"/>
        <v>3.0370000000013229</v>
      </c>
      <c r="N818" s="311">
        <f t="shared" si="356"/>
        <v>0.40100000000258784</v>
      </c>
      <c r="O818" s="311">
        <f t="shared" si="356"/>
        <v>14.591999999923035</v>
      </c>
    </row>
    <row r="819" spans="1:15" s="236" customFormat="1" x14ac:dyDescent="0.3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37"/>
      <c r="M819" s="237"/>
      <c r="N819" s="240"/>
    </row>
    <row r="820" spans="1:15" s="236" customFormat="1" x14ac:dyDescent="0.3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37"/>
      <c r="M820" s="237"/>
      <c r="N820" s="240"/>
      <c r="O820" s="251" t="s">
        <v>35</v>
      </c>
    </row>
    <row r="821" spans="1:15" s="236" customFormat="1" x14ac:dyDescent="0.3">
      <c r="A821" s="242"/>
      <c r="B821" s="242"/>
      <c r="C821" s="242"/>
      <c r="D821" s="242"/>
      <c r="E821" s="242"/>
      <c r="F821" s="242"/>
      <c r="G821" s="242"/>
      <c r="H821" s="242"/>
      <c r="I821" s="242"/>
      <c r="J821" s="242"/>
      <c r="K821" s="242"/>
      <c r="L821" s="242"/>
      <c r="M821" s="242"/>
      <c r="N821" s="242"/>
      <c r="O821" s="242"/>
    </row>
    <row r="822" spans="1:15" s="236" customFormat="1" x14ac:dyDescent="0.3">
      <c r="A822" s="241" t="str">
        <f>name!A51</f>
        <v>Insurance and pensions</v>
      </c>
      <c r="B822" s="375">
        <f>$B$6</f>
        <v>2015</v>
      </c>
      <c r="C822" s="375"/>
      <c r="D822" s="375"/>
      <c r="E822" s="375"/>
      <c r="F822" s="263"/>
      <c r="G822" s="375">
        <f>$G$6</f>
        <v>2020</v>
      </c>
      <c r="H822" s="375"/>
      <c r="I822" s="375"/>
      <c r="J822" s="375"/>
      <c r="K822" s="263"/>
      <c r="L822" s="375">
        <f>$L$6</f>
        <v>2035</v>
      </c>
      <c r="M822" s="375"/>
      <c r="N822" s="375"/>
      <c r="O822" s="375"/>
    </row>
    <row r="823" spans="1:15" s="236" customFormat="1" x14ac:dyDescent="0.3">
      <c r="A823" s="254"/>
      <c r="B823" s="268" t="str">
        <f>$B$7</f>
        <v>FT</v>
      </c>
      <c r="C823" s="268" t="str">
        <f>$C$7</f>
        <v>PT</v>
      </c>
      <c r="D823" s="268" t="str">
        <f>$D$7</f>
        <v>SE</v>
      </c>
      <c r="E823" s="268" t="str">
        <f>$E$7</f>
        <v>Total</v>
      </c>
      <c r="F823" s="268"/>
      <c r="G823" s="268" t="str">
        <f>$G$7</f>
        <v>FT</v>
      </c>
      <c r="H823" s="268" t="str">
        <f>$H$7</f>
        <v>PT</v>
      </c>
      <c r="I823" s="268" t="str">
        <f>$I$7</f>
        <v>SE</v>
      </c>
      <c r="J823" s="268" t="str">
        <f>$J$7</f>
        <v>Total</v>
      </c>
      <c r="K823" s="268"/>
      <c r="L823" s="268" t="str">
        <f>$L$7</f>
        <v>FT</v>
      </c>
      <c r="M823" s="268" t="str">
        <f>$M$7</f>
        <v>PT</v>
      </c>
      <c r="N823" s="268" t="str">
        <f>$N$7</f>
        <v>SE</v>
      </c>
      <c r="O823" s="268" t="str">
        <f>$O$7</f>
        <v>Total</v>
      </c>
    </row>
    <row r="824" spans="1:15" s="236" customFormat="1" x14ac:dyDescent="0.3">
      <c r="A824" s="258"/>
      <c r="B824" s="239"/>
      <c r="C824" s="239"/>
      <c r="D824" s="239"/>
      <c r="E824" s="239"/>
      <c r="F824" s="239"/>
      <c r="G824" s="239"/>
      <c r="H824" s="239"/>
      <c r="I824" s="239"/>
      <c r="J824" s="239"/>
      <c r="K824" s="239"/>
      <c r="L824" s="239"/>
      <c r="M824" s="239"/>
      <c r="N824" s="239"/>
      <c r="O824" s="239"/>
    </row>
    <row r="825" spans="1:15" s="236" customFormat="1" x14ac:dyDescent="0.3">
      <c r="A825" s="237" t="str">
        <f>name!E$4</f>
        <v>Managers, directors and senior officials</v>
      </c>
      <c r="B825" s="302">
        <v>0.76019990010635641</v>
      </c>
      <c r="C825" s="302">
        <v>7.1409452652203401E-2</v>
      </c>
      <c r="D825" s="302">
        <v>0.14060322797269559</v>
      </c>
      <c r="E825" s="302">
        <f>SUM(B825:D825)</f>
        <v>0.97221258073125538</v>
      </c>
      <c r="F825" s="303"/>
      <c r="G825" s="302">
        <v>1.3759068874945453</v>
      </c>
      <c r="H825" s="302">
        <v>0.12848475575745733</v>
      </c>
      <c r="I825" s="302">
        <v>5.8871268172417432E-2</v>
      </c>
      <c r="J825" s="302">
        <f>SUM(G825:I825)</f>
        <v>1.5632629114244201</v>
      </c>
      <c r="K825" s="303"/>
      <c r="L825" s="302">
        <v>1.2087245273639624</v>
      </c>
      <c r="M825" s="302">
        <v>0.13569986111303764</v>
      </c>
      <c r="N825" s="302">
        <v>3.7120938043284001E-2</v>
      </c>
      <c r="O825" s="302">
        <f>SUM(L825:N825)</f>
        <v>1.3815453265202839</v>
      </c>
    </row>
    <row r="826" spans="1:15" s="236" customFormat="1" x14ac:dyDescent="0.3">
      <c r="A826" s="237" t="str">
        <f>name!E$5</f>
        <v>Professional occupations</v>
      </c>
      <c r="B826" s="302">
        <v>1.5386703417308458</v>
      </c>
      <c r="C826" s="302">
        <v>0.11909474743775204</v>
      </c>
      <c r="D826" s="302">
        <v>0.14582897789853794</v>
      </c>
      <c r="E826" s="302">
        <f t="shared" ref="E826:E833" si="357">SUM(B826:D826)</f>
        <v>1.8035940670671358</v>
      </c>
      <c r="F826" s="303"/>
      <c r="G826" s="302">
        <v>3.2323633860270182</v>
      </c>
      <c r="H826" s="302">
        <v>0.18851040849758721</v>
      </c>
      <c r="I826" s="302">
        <v>5.3628332208405537E-2</v>
      </c>
      <c r="J826" s="302">
        <f t="shared" ref="J826:J828" si="358">SUM(G826:I826)</f>
        <v>3.474502126733011</v>
      </c>
      <c r="K826" s="303"/>
      <c r="L826" s="302">
        <v>3.4384463908949372</v>
      </c>
      <c r="M826" s="302">
        <v>0.18882869933312244</v>
      </c>
      <c r="N826" s="302">
        <v>2.4869535563123001E-2</v>
      </c>
      <c r="O826" s="302">
        <f t="shared" ref="O826:O833" si="359">SUM(L826:N826)</f>
        <v>3.6521446257911827</v>
      </c>
    </row>
    <row r="827" spans="1:15" s="236" customFormat="1" x14ac:dyDescent="0.3">
      <c r="A827" s="237" t="str">
        <f>name!E$6</f>
        <v>Associate professional occupations</v>
      </c>
      <c r="B827" s="302">
        <v>1.6937509436941123</v>
      </c>
      <c r="C827" s="302">
        <v>0.27360620940902813</v>
      </c>
      <c r="D827" s="302">
        <v>0.27905586599931986</v>
      </c>
      <c r="E827" s="302">
        <f t="shared" si="357"/>
        <v>2.2464130191024605</v>
      </c>
      <c r="F827" s="303"/>
      <c r="G827" s="302">
        <v>3.1010763354543012</v>
      </c>
      <c r="H827" s="302">
        <v>0.36248434197521706</v>
      </c>
      <c r="I827" s="302">
        <v>7.5657537895557125E-2</v>
      </c>
      <c r="J827" s="302">
        <f t="shared" si="358"/>
        <v>3.5392182153250751</v>
      </c>
      <c r="K827" s="303"/>
      <c r="L827" s="302">
        <v>2.4951459841500805</v>
      </c>
      <c r="M827" s="302">
        <v>0.34131354030469802</v>
      </c>
      <c r="N827" s="302">
        <v>3.1249396461668116E-2</v>
      </c>
      <c r="O827" s="302">
        <f t="shared" si="359"/>
        <v>2.8677089209164466</v>
      </c>
    </row>
    <row r="828" spans="1:15" s="236" customFormat="1" x14ac:dyDescent="0.3">
      <c r="A828" s="237" t="str">
        <f>name!E$7</f>
        <v>Administrative and secretarial occupations</v>
      </c>
      <c r="B828" s="302">
        <v>1.2843308014580652</v>
      </c>
      <c r="C828" s="302">
        <v>0.33535630402627437</v>
      </c>
      <c r="D828" s="302">
        <v>0.15833317431123098</v>
      </c>
      <c r="E828" s="302">
        <f t="shared" si="357"/>
        <v>1.7780202797955706</v>
      </c>
      <c r="F828" s="303"/>
      <c r="G828" s="302">
        <v>2.1194124987502252</v>
      </c>
      <c r="H828" s="302">
        <v>0.38841889924238554</v>
      </c>
      <c r="I828" s="302">
        <v>3.7349827807678204E-2</v>
      </c>
      <c r="J828" s="302">
        <f t="shared" si="358"/>
        <v>2.545181225800289</v>
      </c>
      <c r="K828" s="303"/>
      <c r="L828" s="302">
        <v>1.3012840538039647</v>
      </c>
      <c r="M828" s="302">
        <v>0.2447576182177553</v>
      </c>
      <c r="N828" s="302">
        <v>2.8191373743638178E-2</v>
      </c>
      <c r="O828" s="302">
        <f t="shared" si="359"/>
        <v>1.5742330457653582</v>
      </c>
    </row>
    <row r="829" spans="1:15" s="236" customFormat="1" x14ac:dyDescent="0.3">
      <c r="A829" s="237" t="str">
        <f>name!E$8</f>
        <v>Skilled trades occupations</v>
      </c>
      <c r="B829" s="302">
        <v>0.16380270535599423</v>
      </c>
      <c r="C829" s="302">
        <v>1.0523368837784583E-2</v>
      </c>
      <c r="D829" s="302">
        <v>0.27859109241029878</v>
      </c>
      <c r="E829" s="302">
        <f t="shared" si="357"/>
        <v>0.4529171666040776</v>
      </c>
      <c r="F829" s="303"/>
      <c r="G829" s="302">
        <v>0.22833471173676392</v>
      </c>
      <c r="H829" s="302">
        <v>9.4323206812383514E-3</v>
      </c>
      <c r="I829" s="302">
        <v>8.4345651150545931E-2</v>
      </c>
      <c r="J829" s="302">
        <f>SUM(G829:I829)</f>
        <v>0.32211268356854822</v>
      </c>
      <c r="K829" s="303"/>
      <c r="L829" s="302">
        <v>0.19436790836497564</v>
      </c>
      <c r="M829" s="302">
        <v>7.8602956712114681E-3</v>
      </c>
      <c r="N829" s="302">
        <v>5.86244910875151E-2</v>
      </c>
      <c r="O829" s="302">
        <f t="shared" si="359"/>
        <v>0.26085269512370218</v>
      </c>
    </row>
    <row r="830" spans="1:15" s="236" customFormat="1" x14ac:dyDescent="0.3">
      <c r="A830" s="237" t="str">
        <f>name!E$9</f>
        <v>Caring, leisure and other service occupations</v>
      </c>
      <c r="B830" s="302">
        <v>0.22297295165166792</v>
      </c>
      <c r="C830" s="302">
        <v>8.5838882339883214E-3</v>
      </c>
      <c r="D830" s="302">
        <v>1.0399792151874901E-2</v>
      </c>
      <c r="E830" s="302">
        <f t="shared" si="357"/>
        <v>0.24195663203753112</v>
      </c>
      <c r="F830" s="303"/>
      <c r="G830" s="302">
        <v>0.35657518141447375</v>
      </c>
      <c r="H830" s="302">
        <v>1.1198555897532271E-2</v>
      </c>
      <c r="I830" s="302">
        <v>2.6487927587253671E-2</v>
      </c>
      <c r="J830" s="302">
        <f t="shared" ref="J830:J833" si="360">SUM(G830:I830)</f>
        <v>0.39426166489925968</v>
      </c>
      <c r="K830" s="303"/>
      <c r="L830" s="302">
        <v>0.38286769259102726</v>
      </c>
      <c r="M830" s="302">
        <v>9.1934027882594367E-3</v>
      </c>
      <c r="N830" s="302">
        <v>1.2602813323140009E-2</v>
      </c>
      <c r="O830" s="302">
        <f t="shared" si="359"/>
        <v>0.40466390870242669</v>
      </c>
    </row>
    <row r="831" spans="1:15" s="236" customFormat="1" x14ac:dyDescent="0.3">
      <c r="A831" s="237" t="str">
        <f>name!E$10</f>
        <v>Sales and customer service occupations</v>
      </c>
      <c r="B831" s="302">
        <v>0.75626723121455641</v>
      </c>
      <c r="C831" s="302">
        <v>0.22636518019727062</v>
      </c>
      <c r="D831" s="302">
        <v>0.18329755614375043</v>
      </c>
      <c r="E831" s="302">
        <f t="shared" si="357"/>
        <v>1.1659299675555774</v>
      </c>
      <c r="F831" s="303"/>
      <c r="G831" s="302">
        <v>1.1749183043434726</v>
      </c>
      <c r="H831" s="302">
        <v>0.27909362502967699</v>
      </c>
      <c r="I831" s="302">
        <v>3.6903852467126741E-2</v>
      </c>
      <c r="J831" s="302">
        <f t="shared" si="360"/>
        <v>1.4909157818402763</v>
      </c>
      <c r="K831" s="303"/>
      <c r="L831" s="302">
        <v>1.0439781328278257</v>
      </c>
      <c r="M831" s="302">
        <v>0.26542191496058837</v>
      </c>
      <c r="N831" s="302">
        <v>2.083718319361464E-2</v>
      </c>
      <c r="O831" s="302">
        <f t="shared" si="359"/>
        <v>1.3302372309820287</v>
      </c>
    </row>
    <row r="832" spans="1:15" s="236" customFormat="1" x14ac:dyDescent="0.3">
      <c r="A832" s="237" t="str">
        <f>name!E$11</f>
        <v>Process, plant and machine operatives</v>
      </c>
      <c r="B832" s="302">
        <v>4.3689020704787314E-2</v>
      </c>
      <c r="C832" s="302">
        <v>6.1835135971354798E-3</v>
      </c>
      <c r="D832" s="302">
        <v>1.6917637665176736E-2</v>
      </c>
      <c r="E832" s="302">
        <f t="shared" si="357"/>
        <v>6.6790171967099535E-2</v>
      </c>
      <c r="F832" s="303"/>
      <c r="G832" s="302">
        <v>5.2375634015554826E-2</v>
      </c>
      <c r="H832" s="302">
        <v>7.4447384576038509E-3</v>
      </c>
      <c r="I832" s="302">
        <v>8.3055830704985237E-3</v>
      </c>
      <c r="J832" s="302">
        <f t="shared" si="360"/>
        <v>6.8125955543657205E-2</v>
      </c>
      <c r="K832" s="303"/>
      <c r="L832" s="302">
        <v>4.7872072118428449E-2</v>
      </c>
      <c r="M832" s="302">
        <v>9.5377914550282342E-3</v>
      </c>
      <c r="N832" s="302">
        <v>6.8946600176130451E-3</v>
      </c>
      <c r="O832" s="302">
        <f t="shared" si="359"/>
        <v>6.4304523591069723E-2</v>
      </c>
    </row>
    <row r="833" spans="1:15" s="236" customFormat="1" x14ac:dyDescent="0.3">
      <c r="A833" s="237" t="str">
        <f>name!E$12</f>
        <v>Elementary occupations</v>
      </c>
      <c r="B833" s="302">
        <v>8.3316104017047171E-2</v>
      </c>
      <c r="C833" s="302">
        <v>2.3877335612686876E-2</v>
      </c>
      <c r="D833" s="302">
        <v>1.6972675462033886E-2</v>
      </c>
      <c r="E833" s="302">
        <f t="shared" si="357"/>
        <v>0.12416611509176793</v>
      </c>
      <c r="F833" s="303"/>
      <c r="G833" s="302">
        <v>0.10703706067160326</v>
      </c>
      <c r="H833" s="302">
        <v>2.2932354466989414E-2</v>
      </c>
      <c r="I833" s="302">
        <v>1.8450019641142314E-2</v>
      </c>
      <c r="J833" s="302">
        <f t="shared" si="360"/>
        <v>0.14841943477973499</v>
      </c>
      <c r="K833" s="303"/>
      <c r="L833" s="302">
        <v>8.6313237813436194E-2</v>
      </c>
      <c r="M833" s="302">
        <v>1.4386876160205054E-2</v>
      </c>
      <c r="N833" s="302">
        <v>1.3609608567874479E-2</v>
      </c>
      <c r="O833" s="302">
        <f t="shared" si="359"/>
        <v>0.11430972254151572</v>
      </c>
    </row>
    <row r="834" spans="1:15" s="236" customFormat="1" x14ac:dyDescent="0.3">
      <c r="A834" s="237"/>
      <c r="B834" s="302"/>
      <c r="C834" s="302"/>
      <c r="D834" s="302"/>
      <c r="E834" s="302"/>
      <c r="F834" s="303"/>
      <c r="G834" s="302"/>
      <c r="H834" s="302"/>
      <c r="I834" s="302"/>
      <c r="J834" s="302"/>
      <c r="K834" s="303"/>
      <c r="L834" s="302"/>
      <c r="M834" s="302"/>
      <c r="N834" s="302"/>
      <c r="O834" s="302"/>
    </row>
    <row r="835" spans="1:15" s="236" customFormat="1" x14ac:dyDescent="0.3">
      <c r="A835" s="244" t="s">
        <v>32</v>
      </c>
      <c r="B835" s="311">
        <f>SUM(B825:B833)</f>
        <v>6.5469999999334334</v>
      </c>
      <c r="C835" s="311">
        <f t="shared" ref="C835:E835" si="361">SUM(C825:C833)</f>
        <v>1.075000000004124</v>
      </c>
      <c r="D835" s="311">
        <f t="shared" si="361"/>
        <v>1.2300000000149189</v>
      </c>
      <c r="E835" s="311">
        <f t="shared" si="361"/>
        <v>8.8519999999524757</v>
      </c>
      <c r="F835" s="311"/>
      <c r="G835" s="311">
        <f t="shared" ref="G835:J835" si="362">SUM(G825:G833)</f>
        <v>11.747999999907959</v>
      </c>
      <c r="H835" s="311">
        <f t="shared" si="362"/>
        <v>1.3980000000056882</v>
      </c>
      <c r="I835" s="311">
        <f t="shared" si="362"/>
        <v>0.40000000000062541</v>
      </c>
      <c r="J835" s="311">
        <f t="shared" si="362"/>
        <v>13.545999999914271</v>
      </c>
      <c r="K835" s="311"/>
      <c r="L835" s="311">
        <f t="shared" ref="L835:O835" si="363">SUM(L825:L833)</f>
        <v>10.198999999928638</v>
      </c>
      <c r="M835" s="311">
        <f t="shared" si="363"/>
        <v>1.2170000000039061</v>
      </c>
      <c r="N835" s="311">
        <f t="shared" si="363"/>
        <v>0.23400000000147059</v>
      </c>
      <c r="O835" s="311">
        <f t="shared" si="363"/>
        <v>11.649999999934014</v>
      </c>
    </row>
    <row r="836" spans="1:15" s="236" customFormat="1" x14ac:dyDescent="0.3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37"/>
      <c r="M836" s="237"/>
      <c r="N836" s="240"/>
    </row>
    <row r="837" spans="1:15" s="236" customFormat="1" x14ac:dyDescent="0.3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37"/>
      <c r="M837" s="237"/>
      <c r="N837" s="240"/>
      <c r="O837" s="251" t="s">
        <v>35</v>
      </c>
    </row>
    <row r="838" spans="1:15" s="236" customFormat="1" x14ac:dyDescent="0.3">
      <c r="A838" s="242"/>
      <c r="B838" s="242"/>
      <c r="C838" s="242"/>
      <c r="D838" s="242"/>
      <c r="E838" s="242"/>
      <c r="F838" s="242"/>
      <c r="G838" s="242"/>
      <c r="H838" s="242"/>
      <c r="I838" s="242"/>
      <c r="J838" s="242"/>
      <c r="K838" s="242"/>
      <c r="L838" s="242"/>
      <c r="M838" s="242"/>
      <c r="N838" s="242"/>
      <c r="O838" s="242"/>
    </row>
    <row r="839" spans="1:15" s="236" customFormat="1" x14ac:dyDescent="0.3">
      <c r="A839" s="241" t="str">
        <f>name!A52</f>
        <v>Auxiliary financial services</v>
      </c>
      <c r="B839" s="375">
        <f>$B$6</f>
        <v>2015</v>
      </c>
      <c r="C839" s="375"/>
      <c r="D839" s="375"/>
      <c r="E839" s="375"/>
      <c r="F839" s="263"/>
      <c r="G839" s="375">
        <f>$G$6</f>
        <v>2020</v>
      </c>
      <c r="H839" s="375"/>
      <c r="I839" s="375"/>
      <c r="J839" s="375"/>
      <c r="K839" s="263"/>
      <c r="L839" s="375">
        <f>$L$6</f>
        <v>2035</v>
      </c>
      <c r="M839" s="375"/>
      <c r="N839" s="375"/>
      <c r="O839" s="375"/>
    </row>
    <row r="840" spans="1:15" s="236" customFormat="1" x14ac:dyDescent="0.3">
      <c r="A840" s="254"/>
      <c r="B840" s="268" t="str">
        <f>$B$7</f>
        <v>FT</v>
      </c>
      <c r="C840" s="268" t="str">
        <f>$C$7</f>
        <v>PT</v>
      </c>
      <c r="D840" s="268" t="str">
        <f>$D$7</f>
        <v>SE</v>
      </c>
      <c r="E840" s="268" t="str">
        <f>$E$7</f>
        <v>Total</v>
      </c>
      <c r="F840" s="268"/>
      <c r="G840" s="268" t="str">
        <f>$G$7</f>
        <v>FT</v>
      </c>
      <c r="H840" s="268" t="str">
        <f>$H$7</f>
        <v>PT</v>
      </c>
      <c r="I840" s="268" t="str">
        <f>$I$7</f>
        <v>SE</v>
      </c>
      <c r="J840" s="268" t="str">
        <f>$J$7</f>
        <v>Total</v>
      </c>
      <c r="K840" s="268"/>
      <c r="L840" s="268" t="str">
        <f>$L$7</f>
        <v>FT</v>
      </c>
      <c r="M840" s="268" t="str">
        <f>$M$7</f>
        <v>PT</v>
      </c>
      <c r="N840" s="268" t="str">
        <f>$N$7</f>
        <v>SE</v>
      </c>
      <c r="O840" s="268" t="str">
        <f>$O$7</f>
        <v>Total</v>
      </c>
    </row>
    <row r="841" spans="1:15" s="236" customFormat="1" x14ac:dyDescent="0.3">
      <c r="A841" s="258"/>
      <c r="B841" s="239"/>
      <c r="C841" s="239"/>
      <c r="D841" s="239"/>
      <c r="E841" s="239"/>
      <c r="F841" s="239"/>
      <c r="G841" s="239"/>
      <c r="H841" s="239"/>
      <c r="I841" s="239"/>
      <c r="J841" s="239"/>
      <c r="K841" s="239"/>
      <c r="L841" s="239"/>
      <c r="M841" s="239"/>
      <c r="N841" s="239"/>
      <c r="O841" s="239"/>
    </row>
    <row r="842" spans="1:15" s="236" customFormat="1" x14ac:dyDescent="0.3">
      <c r="A842" s="237" t="str">
        <f>name!E$4</f>
        <v>Managers, directors and senior officials</v>
      </c>
      <c r="B842" s="302">
        <v>5.2900536260443767</v>
      </c>
      <c r="C842" s="302">
        <v>0.40819786650562884</v>
      </c>
      <c r="D842" s="302">
        <v>1.1008373028522935</v>
      </c>
      <c r="E842" s="302">
        <f>SUM(B842:D842)</f>
        <v>6.7990887954022989</v>
      </c>
      <c r="F842" s="303"/>
      <c r="G842" s="302">
        <v>6.4963261647290258</v>
      </c>
      <c r="H842" s="302">
        <v>0.77157539505268169</v>
      </c>
      <c r="I842" s="302">
        <v>1.1468513372539473</v>
      </c>
      <c r="J842" s="302">
        <f>SUM(G842:I842)</f>
        <v>8.4147528970356547</v>
      </c>
      <c r="K842" s="303"/>
      <c r="L842" s="302">
        <v>5.7487706988192988</v>
      </c>
      <c r="M842" s="302">
        <v>0.83519972754544014</v>
      </c>
      <c r="N842" s="302">
        <v>1.1877139853845771</v>
      </c>
      <c r="O842" s="302">
        <f>SUM(L842:N842)</f>
        <v>7.771684411749316</v>
      </c>
    </row>
    <row r="843" spans="1:15" s="236" customFormat="1" x14ac:dyDescent="0.3">
      <c r="A843" s="237" t="str">
        <f>name!E$5</f>
        <v>Professional occupations</v>
      </c>
      <c r="B843" s="302">
        <v>6.4006351637565535</v>
      </c>
      <c r="C843" s="302">
        <v>0.34295304579923847</v>
      </c>
      <c r="D843" s="302">
        <v>1.5130717595493601</v>
      </c>
      <c r="E843" s="302">
        <f t="shared" ref="E843:E850" si="364">SUM(B843:D843)</f>
        <v>8.2566599691051525</v>
      </c>
      <c r="F843" s="303"/>
      <c r="G843" s="302">
        <v>9.4016661810442432</v>
      </c>
      <c r="H843" s="302">
        <v>0.60961728923791991</v>
      </c>
      <c r="I843" s="302">
        <v>1.3229386087542334</v>
      </c>
      <c r="J843" s="302">
        <f t="shared" ref="J843:J845" si="365">SUM(G843:I843)</f>
        <v>11.334222079036396</v>
      </c>
      <c r="K843" s="303"/>
      <c r="L843" s="302">
        <v>10.268971463516097</v>
      </c>
      <c r="M843" s="302">
        <v>0.64571053807430057</v>
      </c>
      <c r="N843" s="302">
        <v>1.280329558920831</v>
      </c>
      <c r="O843" s="302">
        <f t="shared" ref="O843:O850" si="366">SUM(L843:N843)</f>
        <v>12.195011560511229</v>
      </c>
    </row>
    <row r="844" spans="1:15" s="236" customFormat="1" x14ac:dyDescent="0.3">
      <c r="A844" s="237" t="str">
        <f>name!E$6</f>
        <v>Associate professional occupations</v>
      </c>
      <c r="B844" s="302">
        <v>8.4294143712118217</v>
      </c>
      <c r="C844" s="302">
        <v>0.72637463704596172</v>
      </c>
      <c r="D844" s="302">
        <v>2.4932097912318003</v>
      </c>
      <c r="E844" s="302">
        <f t="shared" si="364"/>
        <v>11.648998799489584</v>
      </c>
      <c r="F844" s="303"/>
      <c r="G844" s="302">
        <v>10.585649604857904</v>
      </c>
      <c r="H844" s="302">
        <v>0.97797890711461366</v>
      </c>
      <c r="I844" s="302">
        <v>2.2733732452376461</v>
      </c>
      <c r="J844" s="302">
        <f t="shared" si="365"/>
        <v>13.837001757210164</v>
      </c>
      <c r="K844" s="303"/>
      <c r="L844" s="302">
        <v>8.9291640300625552</v>
      </c>
      <c r="M844" s="302">
        <v>0.96403257531482867</v>
      </c>
      <c r="N844" s="302">
        <v>2.2428671906166451</v>
      </c>
      <c r="O844" s="302">
        <f t="shared" si="366"/>
        <v>12.136063795994028</v>
      </c>
    </row>
    <row r="845" spans="1:15" s="236" customFormat="1" x14ac:dyDescent="0.3">
      <c r="A845" s="237" t="str">
        <f>name!E$7</f>
        <v>Administrative and secretarial occupations</v>
      </c>
      <c r="B845" s="302">
        <v>5.7565003291349273</v>
      </c>
      <c r="C845" s="302">
        <v>1.9873535286243031</v>
      </c>
      <c r="D845" s="302">
        <v>0.45167356863670255</v>
      </c>
      <c r="E845" s="302">
        <f t="shared" si="364"/>
        <v>8.1955274263959321</v>
      </c>
      <c r="F845" s="303"/>
      <c r="G845" s="302">
        <v>6.4976525948992903</v>
      </c>
      <c r="H845" s="302">
        <v>2.2513245841057548</v>
      </c>
      <c r="I845" s="302">
        <v>0.73246734401764435</v>
      </c>
      <c r="J845" s="302">
        <f t="shared" si="365"/>
        <v>9.4814445230226898</v>
      </c>
      <c r="K845" s="303"/>
      <c r="L845" s="302">
        <v>3.5848743675490069</v>
      </c>
      <c r="M845" s="302">
        <v>1.4332130541390924</v>
      </c>
      <c r="N845" s="302">
        <v>0.45089482184427837</v>
      </c>
      <c r="O845" s="302">
        <f t="shared" si="366"/>
        <v>5.4689822435323778</v>
      </c>
    </row>
    <row r="846" spans="1:15" s="236" customFormat="1" x14ac:dyDescent="0.3">
      <c r="A846" s="237" t="str">
        <f>name!E$8</f>
        <v>Skilled trades occupations</v>
      </c>
      <c r="B846" s="302">
        <v>0.37279590427601339</v>
      </c>
      <c r="C846" s="302">
        <v>0.13152021041016768</v>
      </c>
      <c r="D846" s="302">
        <v>0.52187817142197968</v>
      </c>
      <c r="E846" s="302">
        <f t="shared" si="364"/>
        <v>1.0261942861081608</v>
      </c>
      <c r="F846" s="303"/>
      <c r="G846" s="302">
        <v>0.32224116272916148</v>
      </c>
      <c r="H846" s="302">
        <v>0.11665186511821546</v>
      </c>
      <c r="I846" s="302">
        <v>0.25010785324827745</v>
      </c>
      <c r="J846" s="302">
        <f>SUM(G846:I846)</f>
        <v>0.68900088109565438</v>
      </c>
      <c r="K846" s="303"/>
      <c r="L846" s="302">
        <v>0.2801822147807671</v>
      </c>
      <c r="M846" s="302">
        <v>0.10030584724742224</v>
      </c>
      <c r="N846" s="302">
        <v>0.26540733081689388</v>
      </c>
      <c r="O846" s="302">
        <f t="shared" si="366"/>
        <v>0.64589539284508324</v>
      </c>
    </row>
    <row r="847" spans="1:15" s="236" customFormat="1" x14ac:dyDescent="0.3">
      <c r="A847" s="237" t="str">
        <f>name!E$9</f>
        <v>Caring, leisure and other service occupations</v>
      </c>
      <c r="B847" s="302">
        <v>0.12391181806385797</v>
      </c>
      <c r="C847" s="302">
        <v>2.791684601946328E-2</v>
      </c>
      <c r="D847" s="302">
        <v>0.14452172419088266</v>
      </c>
      <c r="E847" s="302">
        <f t="shared" si="364"/>
        <v>0.2963503882742039</v>
      </c>
      <c r="F847" s="303"/>
      <c r="G847" s="302">
        <v>0.12840842700117247</v>
      </c>
      <c r="H847" s="302">
        <v>3.1801582804930908E-2</v>
      </c>
      <c r="I847" s="302">
        <v>0.36917750074233968</v>
      </c>
      <c r="J847" s="302">
        <f t="shared" ref="J847:J850" si="367">SUM(G847:I847)</f>
        <v>0.52938751054844313</v>
      </c>
      <c r="K847" s="303"/>
      <c r="L847" s="302">
        <v>0.13974345465476781</v>
      </c>
      <c r="M847" s="302">
        <v>2.3596309657349809E-2</v>
      </c>
      <c r="N847" s="302">
        <v>0.45709155718006905</v>
      </c>
      <c r="O847" s="302">
        <f t="shared" si="366"/>
        <v>0.6204313214921866</v>
      </c>
    </row>
    <row r="848" spans="1:15" s="236" customFormat="1" x14ac:dyDescent="0.3">
      <c r="A848" s="237" t="str">
        <f>name!E$10</f>
        <v>Sales and customer service occupations</v>
      </c>
      <c r="B848" s="302">
        <v>1.3155103769598688</v>
      </c>
      <c r="C848" s="302">
        <v>0.41814049023613464</v>
      </c>
      <c r="D848" s="302">
        <v>0.28727650924990022</v>
      </c>
      <c r="E848" s="302">
        <f t="shared" si="364"/>
        <v>2.0209273764459037</v>
      </c>
      <c r="F848" s="303"/>
      <c r="G848" s="302">
        <v>1.4383813601517195</v>
      </c>
      <c r="H848" s="302">
        <v>0.56466943945139347</v>
      </c>
      <c r="I848" s="302">
        <v>0.45483085769101023</v>
      </c>
      <c r="J848" s="302">
        <f t="shared" si="367"/>
        <v>2.4578816572941231</v>
      </c>
      <c r="K848" s="303"/>
      <c r="L848" s="302">
        <v>1.2715303512837584</v>
      </c>
      <c r="M848" s="302">
        <v>0.63222190069457906</v>
      </c>
      <c r="N848" s="302">
        <v>0.32114667347724307</v>
      </c>
      <c r="O848" s="302">
        <f t="shared" si="366"/>
        <v>2.2248989254555807</v>
      </c>
    </row>
    <row r="849" spans="1:15" s="236" customFormat="1" x14ac:dyDescent="0.3">
      <c r="A849" s="237" t="str">
        <f>name!E$11</f>
        <v>Process, plant and machine operatives</v>
      </c>
      <c r="B849" s="302">
        <v>0.20738247086509787</v>
      </c>
      <c r="C849" s="302">
        <v>3.7059848445363329E-2</v>
      </c>
      <c r="D849" s="302">
        <v>0.27447609203606577</v>
      </c>
      <c r="E849" s="302">
        <f t="shared" si="364"/>
        <v>0.51891841134652694</v>
      </c>
      <c r="F849" s="303"/>
      <c r="G849" s="302">
        <v>0.17678550681326138</v>
      </c>
      <c r="H849" s="302">
        <v>3.4020191405297683E-2</v>
      </c>
      <c r="I849" s="302">
        <v>0.20165606087009472</v>
      </c>
      <c r="J849" s="302">
        <f t="shared" si="367"/>
        <v>0.41246175908865379</v>
      </c>
      <c r="K849" s="303"/>
      <c r="L849" s="302">
        <v>0.19838169854839111</v>
      </c>
      <c r="M849" s="302">
        <v>6.269153264119004E-2</v>
      </c>
      <c r="N849" s="302">
        <v>0.28609516205299179</v>
      </c>
      <c r="O849" s="302">
        <f t="shared" si="366"/>
        <v>0.54716839324257294</v>
      </c>
    </row>
    <row r="850" spans="1:15" s="236" customFormat="1" x14ac:dyDescent="0.3">
      <c r="A850" s="237" t="str">
        <f>name!E$12</f>
        <v>Elementary occupations</v>
      </c>
      <c r="B850" s="302">
        <v>0.44379593936276507</v>
      </c>
      <c r="C850" s="302">
        <v>0.12248352692583772</v>
      </c>
      <c r="D850" s="302">
        <v>0.18305508092228415</v>
      </c>
      <c r="E850" s="302">
        <f t="shared" si="364"/>
        <v>0.74933454721088699</v>
      </c>
      <c r="F850" s="303"/>
      <c r="G850" s="302">
        <v>0.38388899747418614</v>
      </c>
      <c r="H850" s="302">
        <v>0.12036074571403131</v>
      </c>
      <c r="I850" s="302">
        <v>0.1035971921749293</v>
      </c>
      <c r="J850" s="302">
        <f t="shared" si="367"/>
        <v>0.60784693536314682</v>
      </c>
      <c r="K850" s="303"/>
      <c r="L850" s="302">
        <v>0.33538172053385151</v>
      </c>
      <c r="M850" s="302">
        <v>7.7028514699504197E-2</v>
      </c>
      <c r="N850" s="302">
        <v>0.11645371977229657</v>
      </c>
      <c r="O850" s="302">
        <f t="shared" si="366"/>
        <v>0.52886395500565231</v>
      </c>
    </row>
    <row r="851" spans="1:15" s="236" customFormat="1" x14ac:dyDescent="0.3">
      <c r="A851" s="237"/>
      <c r="B851" s="302"/>
      <c r="C851" s="302"/>
      <c r="D851" s="302"/>
      <c r="E851" s="302"/>
      <c r="F851" s="303"/>
      <c r="G851" s="302"/>
      <c r="H851" s="302"/>
      <c r="I851" s="302"/>
      <c r="J851" s="302"/>
      <c r="K851" s="303"/>
      <c r="L851" s="302"/>
      <c r="M851" s="302"/>
      <c r="N851" s="302"/>
      <c r="O851" s="302"/>
    </row>
    <row r="852" spans="1:15" s="236" customFormat="1" x14ac:dyDescent="0.3">
      <c r="A852" s="244" t="s">
        <v>32</v>
      </c>
      <c r="B852" s="311">
        <f>SUM(B842:B850)</f>
        <v>28.339999999675278</v>
      </c>
      <c r="C852" s="311">
        <f t="shared" ref="C852:E852" si="368">SUM(C842:C850)</f>
        <v>4.2020000000120987</v>
      </c>
      <c r="D852" s="311">
        <f t="shared" si="368"/>
        <v>6.970000000091269</v>
      </c>
      <c r="E852" s="311">
        <f t="shared" si="368"/>
        <v>39.511999999778652</v>
      </c>
      <c r="F852" s="311"/>
      <c r="G852" s="311">
        <f t="shared" ref="G852:J852" si="369">SUM(G842:G850)</f>
        <v>35.430999999699964</v>
      </c>
      <c r="H852" s="311">
        <f t="shared" si="369"/>
        <v>5.4780000000048403</v>
      </c>
      <c r="I852" s="311">
        <f t="shared" si="369"/>
        <v>6.8549999999901221</v>
      </c>
      <c r="J852" s="311">
        <f t="shared" si="369"/>
        <v>47.763999999694924</v>
      </c>
      <c r="K852" s="311"/>
      <c r="L852" s="311">
        <f t="shared" ref="L852:O852" si="370">SUM(L842:L850)</f>
        <v>30.756999999748491</v>
      </c>
      <c r="M852" s="311">
        <f t="shared" si="370"/>
        <v>4.7740000000137064</v>
      </c>
      <c r="N852" s="311">
        <f t="shared" si="370"/>
        <v>6.608000000065827</v>
      </c>
      <c r="O852" s="311">
        <f t="shared" si="370"/>
        <v>42.13899999982803</v>
      </c>
    </row>
    <row r="853" spans="1:15" s="236" customFormat="1" x14ac:dyDescent="0.3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37"/>
      <c r="M853" s="237"/>
      <c r="N853" s="240"/>
    </row>
    <row r="854" spans="1:15" s="236" customFormat="1" x14ac:dyDescent="0.3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37"/>
      <c r="M854" s="237"/>
      <c r="N854" s="240"/>
      <c r="O854" s="251" t="s">
        <v>35</v>
      </c>
    </row>
    <row r="855" spans="1:15" s="236" customFormat="1" x14ac:dyDescent="0.3">
      <c r="A855" s="242"/>
      <c r="B855" s="242"/>
      <c r="C855" s="242"/>
      <c r="D855" s="242"/>
      <c r="E855" s="242"/>
      <c r="F855" s="242"/>
      <c r="G855" s="242"/>
      <c r="H855" s="242"/>
      <c r="I855" s="242"/>
      <c r="J855" s="242"/>
      <c r="K855" s="242"/>
      <c r="L855" s="242"/>
      <c r="M855" s="242"/>
      <c r="N855" s="242"/>
      <c r="O855" s="242"/>
    </row>
    <row r="856" spans="1:15" s="236" customFormat="1" x14ac:dyDescent="0.3">
      <c r="A856" s="241" t="str">
        <f>name!A53</f>
        <v>Real estate</v>
      </c>
      <c r="B856" s="375">
        <f>$B$6</f>
        <v>2015</v>
      </c>
      <c r="C856" s="375"/>
      <c r="D856" s="375"/>
      <c r="E856" s="375"/>
      <c r="F856" s="263"/>
      <c r="G856" s="375">
        <f>$G$6</f>
        <v>2020</v>
      </c>
      <c r="H856" s="375"/>
      <c r="I856" s="375"/>
      <c r="J856" s="375"/>
      <c r="K856" s="263"/>
      <c r="L856" s="375">
        <f>$L$6</f>
        <v>2035</v>
      </c>
      <c r="M856" s="375"/>
      <c r="N856" s="375"/>
      <c r="O856" s="375"/>
    </row>
    <row r="857" spans="1:15" s="236" customFormat="1" x14ac:dyDescent="0.3">
      <c r="A857" s="254"/>
      <c r="B857" s="268" t="str">
        <f>$B$7</f>
        <v>FT</v>
      </c>
      <c r="C857" s="268" t="str">
        <f>$C$7</f>
        <v>PT</v>
      </c>
      <c r="D857" s="268" t="str">
        <f>$D$7</f>
        <v>SE</v>
      </c>
      <c r="E857" s="268" t="str">
        <f>$E$7</f>
        <v>Total</v>
      </c>
      <c r="F857" s="268"/>
      <c r="G857" s="268" t="str">
        <f>$G$7</f>
        <v>FT</v>
      </c>
      <c r="H857" s="268" t="str">
        <f>$H$7</f>
        <v>PT</v>
      </c>
      <c r="I857" s="268" t="str">
        <f>$I$7</f>
        <v>SE</v>
      </c>
      <c r="J857" s="268" t="str">
        <f>$J$7</f>
        <v>Total</v>
      </c>
      <c r="K857" s="268"/>
      <c r="L857" s="268" t="str">
        <f>$L$7</f>
        <v>FT</v>
      </c>
      <c r="M857" s="268" t="str">
        <f>$M$7</f>
        <v>PT</v>
      </c>
      <c r="N857" s="268" t="str">
        <f>$N$7</f>
        <v>SE</v>
      </c>
      <c r="O857" s="268" t="str">
        <f>$O$7</f>
        <v>Total</v>
      </c>
    </row>
    <row r="858" spans="1:15" s="236" customFormat="1" x14ac:dyDescent="0.3">
      <c r="A858" s="258"/>
      <c r="B858" s="239"/>
      <c r="C858" s="239"/>
      <c r="D858" s="239"/>
      <c r="E858" s="239"/>
      <c r="F858" s="239"/>
      <c r="G858" s="239"/>
      <c r="H858" s="239"/>
      <c r="I858" s="239"/>
      <c r="J858" s="239"/>
      <c r="K858" s="239"/>
      <c r="L858" s="239"/>
      <c r="M858" s="239"/>
      <c r="N858" s="239"/>
      <c r="O858" s="239"/>
    </row>
    <row r="859" spans="1:15" s="236" customFormat="1" x14ac:dyDescent="0.3">
      <c r="A859" s="237" t="str">
        <f>name!E$4</f>
        <v>Managers, directors and senior officials</v>
      </c>
      <c r="B859" s="302">
        <v>5.3368230537479491</v>
      </c>
      <c r="C859" s="302">
        <v>1.1076830564549855</v>
      </c>
      <c r="D859" s="302">
        <v>2.8732818402661087</v>
      </c>
      <c r="E859" s="302">
        <f>SUM(B859:D859)</f>
        <v>9.3177879504690431</v>
      </c>
      <c r="F859" s="303"/>
      <c r="G859" s="302">
        <v>7.2187054209367814</v>
      </c>
      <c r="H859" s="302">
        <v>1.9808858394821387</v>
      </c>
      <c r="I859" s="302">
        <v>2.7091237796202874</v>
      </c>
      <c r="J859" s="302">
        <f>SUM(G859:I859)</f>
        <v>11.908715040039208</v>
      </c>
      <c r="K859" s="303"/>
      <c r="L859" s="302">
        <v>9.3378559206326699</v>
      </c>
      <c r="M859" s="302">
        <v>2.4539437301889198</v>
      </c>
      <c r="N859" s="302">
        <v>3.3055440519521104</v>
      </c>
      <c r="O859" s="302">
        <f>SUM(L859:N859)</f>
        <v>15.097343702773699</v>
      </c>
    </row>
    <row r="860" spans="1:15" s="236" customFormat="1" x14ac:dyDescent="0.3">
      <c r="A860" s="237" t="str">
        <f>name!E$5</f>
        <v>Professional occupations</v>
      </c>
      <c r="B860" s="302">
        <v>4.8439189382126324</v>
      </c>
      <c r="C860" s="302">
        <v>0.86878004804678588</v>
      </c>
      <c r="D860" s="302">
        <v>0.75509484628715129</v>
      </c>
      <c r="E860" s="302">
        <f t="shared" ref="E860:E867" si="371">SUM(B860:D860)</f>
        <v>6.4677938325465698</v>
      </c>
      <c r="F860" s="303"/>
      <c r="G860" s="302">
        <v>7.4587994369487598</v>
      </c>
      <c r="H860" s="302">
        <v>1.4967807617900484</v>
      </c>
      <c r="I860" s="302">
        <v>0.70749672727672286</v>
      </c>
      <c r="J860" s="302">
        <f t="shared" ref="J860:J862" si="372">SUM(G860:I860)</f>
        <v>9.6630769260155311</v>
      </c>
      <c r="K860" s="303"/>
      <c r="L860" s="302">
        <v>9.9611239919033814</v>
      </c>
      <c r="M860" s="302">
        <v>1.9895563833071206</v>
      </c>
      <c r="N860" s="302">
        <v>0.56971551499912476</v>
      </c>
      <c r="O860" s="302">
        <f t="shared" ref="O860:O867" si="373">SUM(L860:N860)</f>
        <v>12.520395890209628</v>
      </c>
    </row>
    <row r="861" spans="1:15" s="236" customFormat="1" x14ac:dyDescent="0.3">
      <c r="A861" s="237" t="str">
        <f>name!E$6</f>
        <v>Associate professional occupations</v>
      </c>
      <c r="B861" s="302">
        <v>4.6520359660407609</v>
      </c>
      <c r="C861" s="302">
        <v>1.1821435224278525</v>
      </c>
      <c r="D861" s="302">
        <v>0.65871830335721604</v>
      </c>
      <c r="E861" s="302">
        <f t="shared" si="371"/>
        <v>6.4928977918258299</v>
      </c>
      <c r="F861" s="303"/>
      <c r="G861" s="302">
        <v>6.4154462910751926</v>
      </c>
      <c r="H861" s="302">
        <v>1.7133259711904061</v>
      </c>
      <c r="I861" s="302">
        <v>0.50879305906818284</v>
      </c>
      <c r="J861" s="302">
        <f t="shared" si="372"/>
        <v>8.6375653213337813</v>
      </c>
      <c r="K861" s="303"/>
      <c r="L861" s="302">
        <v>7.6595673208921102</v>
      </c>
      <c r="M861" s="302">
        <v>1.7516212780801703</v>
      </c>
      <c r="N861" s="302">
        <v>0.4718959103963612</v>
      </c>
      <c r="O861" s="302">
        <f t="shared" si="373"/>
        <v>9.8830845093686417</v>
      </c>
    </row>
    <row r="862" spans="1:15" s="236" customFormat="1" x14ac:dyDescent="0.3">
      <c r="A862" s="237" t="str">
        <f>name!E$7</f>
        <v>Administrative and secretarial occupations</v>
      </c>
      <c r="B862" s="302">
        <v>4.0869434196952943</v>
      </c>
      <c r="C862" s="302">
        <v>4.4126960799456212</v>
      </c>
      <c r="D862" s="302">
        <v>0.60854645306456112</v>
      </c>
      <c r="E862" s="302">
        <f t="shared" si="371"/>
        <v>9.108185952705476</v>
      </c>
      <c r="F862" s="303"/>
      <c r="G862" s="302">
        <v>4.4986142306124135</v>
      </c>
      <c r="H862" s="302">
        <v>4.0697102175082742</v>
      </c>
      <c r="I862" s="302">
        <v>0.47898771779402638</v>
      </c>
      <c r="J862" s="302">
        <f t="shared" si="372"/>
        <v>9.0473121659147147</v>
      </c>
      <c r="K862" s="303"/>
      <c r="L862" s="302">
        <v>3.8097585173744308</v>
      </c>
      <c r="M862" s="302">
        <v>3.5712030449849088</v>
      </c>
      <c r="N862" s="302">
        <v>0.59906443495254891</v>
      </c>
      <c r="O862" s="302">
        <f t="shared" si="373"/>
        <v>7.9800259973118886</v>
      </c>
    </row>
    <row r="863" spans="1:15" s="236" customFormat="1" x14ac:dyDescent="0.3">
      <c r="A863" s="237" t="str">
        <f>name!E$8</f>
        <v>Skilled trades occupations</v>
      </c>
      <c r="B863" s="302">
        <v>1.8273646105531076</v>
      </c>
      <c r="C863" s="302">
        <v>0.29290542564044719</v>
      </c>
      <c r="D863" s="302">
        <v>1.3224899201288225</v>
      </c>
      <c r="E863" s="302">
        <f t="shared" si="371"/>
        <v>3.4427599563223774</v>
      </c>
      <c r="F863" s="303"/>
      <c r="G863" s="302">
        <v>1.9111036219194288</v>
      </c>
      <c r="H863" s="302">
        <v>0.27782274981063737</v>
      </c>
      <c r="I863" s="302">
        <v>1.0517269954776858</v>
      </c>
      <c r="J863" s="302">
        <f>SUM(G863:I863)</f>
        <v>3.2406533672077522</v>
      </c>
      <c r="K863" s="303"/>
      <c r="L863" s="302">
        <v>2.4918188743859488</v>
      </c>
      <c r="M863" s="302">
        <v>0.4382953670336851</v>
      </c>
      <c r="N863" s="302">
        <v>1.5655410604920903</v>
      </c>
      <c r="O863" s="302">
        <f t="shared" si="373"/>
        <v>4.4956553019117242</v>
      </c>
    </row>
    <row r="864" spans="1:15" s="236" customFormat="1" x14ac:dyDescent="0.3">
      <c r="A864" s="237" t="str">
        <f>name!E$9</f>
        <v>Caring, leisure and other service occupations</v>
      </c>
      <c r="B864" s="302">
        <v>0.81812478458532256</v>
      </c>
      <c r="C864" s="302">
        <v>0.41917685987089459</v>
      </c>
      <c r="D864" s="302">
        <v>0.26064666467516373</v>
      </c>
      <c r="E864" s="302">
        <f t="shared" si="371"/>
        <v>1.497948309131381</v>
      </c>
      <c r="F864" s="303"/>
      <c r="G864" s="302">
        <v>0.90701877303935163</v>
      </c>
      <c r="H864" s="302">
        <v>0.46328728018625448</v>
      </c>
      <c r="I864" s="302">
        <v>0.23406448404459995</v>
      </c>
      <c r="J864" s="302">
        <f t="shared" ref="J864:J867" si="374">SUM(G864:I864)</f>
        <v>1.6043705372702062</v>
      </c>
      <c r="K864" s="303"/>
      <c r="L864" s="302">
        <v>1.2377628931177587</v>
      </c>
      <c r="M864" s="302">
        <v>0.48511642791007348</v>
      </c>
      <c r="N864" s="302">
        <v>0.47763127894807378</v>
      </c>
      <c r="O864" s="302">
        <f t="shared" si="373"/>
        <v>2.2005105999759058</v>
      </c>
    </row>
    <row r="865" spans="1:15" s="236" customFormat="1" x14ac:dyDescent="0.3">
      <c r="A865" s="237" t="str">
        <f>name!E$10</f>
        <v>Sales and customer service occupations</v>
      </c>
      <c r="B865" s="302">
        <v>3.550840714182196</v>
      </c>
      <c r="C865" s="302">
        <v>1.7243974651502387</v>
      </c>
      <c r="D865" s="302">
        <v>0.81038766612867796</v>
      </c>
      <c r="E865" s="302">
        <f t="shared" si="371"/>
        <v>6.085625845461113</v>
      </c>
      <c r="F865" s="303"/>
      <c r="G865" s="302">
        <v>3.4660909839394707</v>
      </c>
      <c r="H865" s="302">
        <v>1.6791756059816008</v>
      </c>
      <c r="I865" s="302">
        <v>0.50381370458039432</v>
      </c>
      <c r="J865" s="302">
        <f t="shared" si="374"/>
        <v>5.6490802945014655</v>
      </c>
      <c r="K865" s="303"/>
      <c r="L865" s="302">
        <v>4.024661149774774</v>
      </c>
      <c r="M865" s="302">
        <v>1.9485726580654981</v>
      </c>
      <c r="N865" s="302">
        <v>0.4823102961750611</v>
      </c>
      <c r="O865" s="302">
        <f t="shared" si="373"/>
        <v>6.455544104015333</v>
      </c>
    </row>
    <row r="866" spans="1:15" s="236" customFormat="1" x14ac:dyDescent="0.3">
      <c r="A866" s="237" t="str">
        <f>name!E$11</f>
        <v>Process, plant and machine operatives</v>
      </c>
      <c r="B866" s="302">
        <v>0.43777163564284799</v>
      </c>
      <c r="C866" s="302">
        <v>9.2552012768526579E-2</v>
      </c>
      <c r="D866" s="302">
        <v>4.9630362118191898E-2</v>
      </c>
      <c r="E866" s="302">
        <f t="shared" si="371"/>
        <v>0.57995401052956652</v>
      </c>
      <c r="F866" s="303"/>
      <c r="G866" s="302">
        <v>0.43507652438820538</v>
      </c>
      <c r="H866" s="302">
        <v>0.11001447878131762</v>
      </c>
      <c r="I866" s="302">
        <v>5.2239009291797291E-2</v>
      </c>
      <c r="J866" s="302">
        <f t="shared" si="374"/>
        <v>0.59733001246132023</v>
      </c>
      <c r="K866" s="303"/>
      <c r="L866" s="302">
        <v>0.46570714825757392</v>
      </c>
      <c r="M866" s="302">
        <v>0.13047843325977704</v>
      </c>
      <c r="N866" s="302">
        <v>8.4330147625226226E-2</v>
      </c>
      <c r="O866" s="302">
        <f t="shared" si="373"/>
        <v>0.68051572914257719</v>
      </c>
    </row>
    <row r="867" spans="1:15" s="236" customFormat="1" x14ac:dyDescent="0.3">
      <c r="A867" s="237" t="str">
        <f>name!E$12</f>
        <v>Elementary occupations</v>
      </c>
      <c r="B867" s="302">
        <v>0.59017687714234845</v>
      </c>
      <c r="C867" s="302">
        <v>1.0796655297987643</v>
      </c>
      <c r="D867" s="302">
        <v>0.22220394401595017</v>
      </c>
      <c r="E867" s="302">
        <f t="shared" si="371"/>
        <v>1.8920463509570631</v>
      </c>
      <c r="F867" s="303"/>
      <c r="G867" s="302">
        <v>0.59014471686413439</v>
      </c>
      <c r="H867" s="302">
        <v>0.8729970952235353</v>
      </c>
      <c r="I867" s="302">
        <v>0.17375452281631754</v>
      </c>
      <c r="J867" s="302">
        <f t="shared" si="374"/>
        <v>1.6368963349039873</v>
      </c>
      <c r="K867" s="303"/>
      <c r="L867" s="302">
        <v>0.60474418344644121</v>
      </c>
      <c r="M867" s="302">
        <v>0.58321267704365432</v>
      </c>
      <c r="N867" s="302">
        <v>0.32596730446713013</v>
      </c>
      <c r="O867" s="302">
        <f t="shared" si="373"/>
        <v>1.5139241649572255</v>
      </c>
    </row>
    <row r="868" spans="1:15" s="236" customFormat="1" x14ac:dyDescent="0.3">
      <c r="A868" s="237"/>
      <c r="B868" s="302"/>
      <c r="C868" s="302"/>
      <c r="D868" s="302"/>
      <c r="E868" s="302"/>
      <c r="F868" s="303"/>
      <c r="G868" s="302"/>
      <c r="H868" s="302"/>
      <c r="I868" s="302"/>
      <c r="J868" s="302"/>
      <c r="K868" s="303"/>
      <c r="L868" s="302"/>
      <c r="M868" s="302"/>
      <c r="N868" s="302"/>
      <c r="O868" s="302"/>
    </row>
    <row r="869" spans="1:15" s="236" customFormat="1" x14ac:dyDescent="0.3">
      <c r="A869" s="244" t="s">
        <v>32</v>
      </c>
      <c r="B869" s="311">
        <f>SUM(B859:B867)</f>
        <v>26.143999999802457</v>
      </c>
      <c r="C869" s="311">
        <f t="shared" ref="C869:E869" si="375">SUM(C859:C867)</f>
        <v>11.180000000104116</v>
      </c>
      <c r="D869" s="311">
        <f t="shared" si="375"/>
        <v>7.5610000000418438</v>
      </c>
      <c r="E869" s="311">
        <f t="shared" si="375"/>
        <v>44.88499999994842</v>
      </c>
      <c r="F869" s="311"/>
      <c r="G869" s="311">
        <f t="shared" ref="G869:J869" si="376">SUM(G859:G867)</f>
        <v>32.900999999723737</v>
      </c>
      <c r="H869" s="311">
        <f t="shared" si="376"/>
        <v>12.663999999954212</v>
      </c>
      <c r="I869" s="311">
        <f t="shared" si="376"/>
        <v>6.4199999999700132</v>
      </c>
      <c r="J869" s="311">
        <f t="shared" si="376"/>
        <v>51.984999999647968</v>
      </c>
      <c r="K869" s="311"/>
      <c r="L869" s="311">
        <f t="shared" ref="L869:O869" si="377">SUM(L859:L867)</f>
        <v>39.592999999785086</v>
      </c>
      <c r="M869" s="311">
        <f t="shared" si="377"/>
        <v>13.351999999873808</v>
      </c>
      <c r="N869" s="311">
        <f t="shared" si="377"/>
        <v>7.8820000000077268</v>
      </c>
      <c r="O869" s="311">
        <f t="shared" si="377"/>
        <v>60.826999999666626</v>
      </c>
    </row>
    <row r="870" spans="1:15" s="236" customFormat="1" x14ac:dyDescent="0.3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37"/>
      <c r="M870" s="237"/>
      <c r="N870" s="240"/>
    </row>
    <row r="871" spans="1:15" s="236" customFormat="1" x14ac:dyDescent="0.3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37"/>
      <c r="M871" s="237"/>
      <c r="N871" s="240"/>
      <c r="O871" s="251" t="s">
        <v>35</v>
      </c>
    </row>
    <row r="872" spans="1:15" s="236" customFormat="1" x14ac:dyDescent="0.3">
      <c r="A872" s="242"/>
      <c r="B872" s="242"/>
      <c r="C872" s="242"/>
      <c r="D872" s="242"/>
      <c r="E872" s="242"/>
      <c r="F872" s="242"/>
      <c r="G872" s="242"/>
      <c r="H872" s="242"/>
      <c r="I872" s="242"/>
      <c r="J872" s="242"/>
      <c r="K872" s="242"/>
      <c r="L872" s="242"/>
      <c r="M872" s="242"/>
      <c r="N872" s="242"/>
      <c r="O872" s="242"/>
    </row>
    <row r="873" spans="1:15" s="236" customFormat="1" x14ac:dyDescent="0.3">
      <c r="A873" s="241" t="str">
        <f>name!A54</f>
        <v>Legal and accounting</v>
      </c>
      <c r="B873" s="375">
        <f>$B$6</f>
        <v>2015</v>
      </c>
      <c r="C873" s="375"/>
      <c r="D873" s="375"/>
      <c r="E873" s="375"/>
      <c r="F873" s="263"/>
      <c r="G873" s="375">
        <f>$G$6</f>
        <v>2020</v>
      </c>
      <c r="H873" s="375"/>
      <c r="I873" s="375"/>
      <c r="J873" s="375"/>
      <c r="K873" s="263"/>
      <c r="L873" s="375">
        <f>$L$6</f>
        <v>2035</v>
      </c>
      <c r="M873" s="375"/>
      <c r="N873" s="375"/>
      <c r="O873" s="375"/>
    </row>
    <row r="874" spans="1:15" s="236" customFormat="1" x14ac:dyDescent="0.3">
      <c r="A874" s="254"/>
      <c r="B874" s="268" t="str">
        <f>$B$7</f>
        <v>FT</v>
      </c>
      <c r="C874" s="268" t="str">
        <f>$C$7</f>
        <v>PT</v>
      </c>
      <c r="D874" s="268" t="str">
        <f>$D$7</f>
        <v>SE</v>
      </c>
      <c r="E874" s="268" t="str">
        <f>$E$7</f>
        <v>Total</v>
      </c>
      <c r="F874" s="268"/>
      <c r="G874" s="268" t="str">
        <f>$G$7</f>
        <v>FT</v>
      </c>
      <c r="H874" s="268" t="str">
        <f>$H$7</f>
        <v>PT</v>
      </c>
      <c r="I874" s="268" t="str">
        <f>$I$7</f>
        <v>SE</v>
      </c>
      <c r="J874" s="268" t="str">
        <f>$J$7</f>
        <v>Total</v>
      </c>
      <c r="K874" s="268"/>
      <c r="L874" s="268" t="str">
        <f>$L$7</f>
        <v>FT</v>
      </c>
      <c r="M874" s="268" t="str">
        <f>$M$7</f>
        <v>PT</v>
      </c>
      <c r="N874" s="268" t="str">
        <f>$N$7</f>
        <v>SE</v>
      </c>
      <c r="O874" s="268" t="str">
        <f>$O$7</f>
        <v>Total</v>
      </c>
    </row>
    <row r="875" spans="1:15" s="236" customFormat="1" x14ac:dyDescent="0.3">
      <c r="A875" s="258"/>
      <c r="B875" s="239"/>
      <c r="C875" s="239"/>
      <c r="D875" s="239"/>
      <c r="E875" s="239"/>
      <c r="F875" s="239"/>
      <c r="G875" s="239"/>
      <c r="H875" s="239"/>
      <c r="I875" s="239"/>
      <c r="J875" s="239"/>
      <c r="K875" s="239"/>
      <c r="L875" s="239"/>
      <c r="M875" s="239"/>
      <c r="N875" s="239"/>
      <c r="O875" s="239"/>
    </row>
    <row r="876" spans="1:15" s="236" customFormat="1" x14ac:dyDescent="0.3">
      <c r="A876" s="237" t="str">
        <f>name!E$4</f>
        <v>Managers, directors and senior officials</v>
      </c>
      <c r="B876" s="302">
        <v>5.2977083322914815</v>
      </c>
      <c r="C876" s="302">
        <v>1.5374509562205694</v>
      </c>
      <c r="D876" s="302">
        <v>1.826344887297555</v>
      </c>
      <c r="E876" s="302">
        <f>SUM(B876:D876)</f>
        <v>8.6615041758096059</v>
      </c>
      <c r="F876" s="303"/>
      <c r="G876" s="302">
        <v>5.1972979600805091</v>
      </c>
      <c r="H876" s="302">
        <v>3.0420159403140246</v>
      </c>
      <c r="I876" s="302">
        <v>1.4347122116382516</v>
      </c>
      <c r="J876" s="302">
        <f>SUM(G876:I876)</f>
        <v>9.6740261120327844</v>
      </c>
      <c r="K876" s="303"/>
      <c r="L876" s="302">
        <v>6.1435332665142779</v>
      </c>
      <c r="M876" s="302">
        <v>4.2971713950076511</v>
      </c>
      <c r="N876" s="302">
        <v>1.8421470965735147</v>
      </c>
      <c r="O876" s="302">
        <f>SUM(L876:N876)</f>
        <v>12.282851758095443</v>
      </c>
    </row>
    <row r="877" spans="1:15" s="236" customFormat="1" x14ac:dyDescent="0.3">
      <c r="A877" s="237" t="str">
        <f>name!E$5</f>
        <v>Professional occupations</v>
      </c>
      <c r="B877" s="302">
        <v>14.133400742930473</v>
      </c>
      <c r="C877" s="302">
        <v>2.6980112846288384</v>
      </c>
      <c r="D877" s="302">
        <v>5.3278772942177763</v>
      </c>
      <c r="E877" s="302">
        <f t="shared" ref="E877:E884" si="378">SUM(B877:D877)</f>
        <v>22.159289321777088</v>
      </c>
      <c r="F877" s="303"/>
      <c r="G877" s="302">
        <v>16.135423069210582</v>
      </c>
      <c r="H877" s="302">
        <v>5.1688135862281221</v>
      </c>
      <c r="I877" s="302">
        <v>3.7078776510903917</v>
      </c>
      <c r="J877" s="302">
        <f t="shared" ref="J877:J879" si="379">SUM(G877:I877)</f>
        <v>25.012114306529096</v>
      </c>
      <c r="K877" s="303"/>
      <c r="L877" s="302">
        <v>21.612543077499343</v>
      </c>
      <c r="M877" s="302">
        <v>7.4934653015159016</v>
      </c>
      <c r="N877" s="302">
        <v>3.8611235365540604</v>
      </c>
      <c r="O877" s="302">
        <f t="shared" ref="O877:O884" si="380">SUM(L877:N877)</f>
        <v>32.967131915569304</v>
      </c>
    </row>
    <row r="878" spans="1:15" s="236" customFormat="1" x14ac:dyDescent="0.3">
      <c r="A878" s="237" t="str">
        <f>name!E$6</f>
        <v>Associate professional occupations</v>
      </c>
      <c r="B878" s="302">
        <v>7.7509205403585861</v>
      </c>
      <c r="C878" s="302">
        <v>2.162393635391981</v>
      </c>
      <c r="D878" s="302">
        <v>2.1517833022967556</v>
      </c>
      <c r="E878" s="302">
        <f t="shared" si="378"/>
        <v>12.065097478047324</v>
      </c>
      <c r="F878" s="303"/>
      <c r="G878" s="302">
        <v>7.845648163122438</v>
      </c>
      <c r="H878" s="302">
        <v>3.4978343359764823</v>
      </c>
      <c r="I878" s="302">
        <v>1.4143526765788206</v>
      </c>
      <c r="J878" s="302">
        <f t="shared" si="379"/>
        <v>12.757835175677741</v>
      </c>
      <c r="K878" s="303"/>
      <c r="L878" s="302">
        <v>8.8696371572744379</v>
      </c>
      <c r="M878" s="302">
        <v>4.317898654746533</v>
      </c>
      <c r="N878" s="302">
        <v>1.6036271874079995</v>
      </c>
      <c r="O878" s="302">
        <f t="shared" si="380"/>
        <v>14.791162999428972</v>
      </c>
    </row>
    <row r="879" spans="1:15" s="236" customFormat="1" x14ac:dyDescent="0.3">
      <c r="A879" s="237" t="str">
        <f>name!E$7</f>
        <v>Administrative and secretarial occupations</v>
      </c>
      <c r="B879" s="302">
        <v>6.3174953811584107</v>
      </c>
      <c r="C879" s="302">
        <v>5.6023104435703193</v>
      </c>
      <c r="D879" s="302">
        <v>1.0624993553837643</v>
      </c>
      <c r="E879" s="302">
        <f t="shared" si="378"/>
        <v>12.982305180112494</v>
      </c>
      <c r="F879" s="303"/>
      <c r="G879" s="302">
        <v>4.9329288372978306</v>
      </c>
      <c r="H879" s="302">
        <v>7.2894547673000156</v>
      </c>
      <c r="I879" s="302">
        <v>0.57636977176436877</v>
      </c>
      <c r="J879" s="302">
        <f t="shared" si="379"/>
        <v>12.798753376362216</v>
      </c>
      <c r="K879" s="303"/>
      <c r="L879" s="302">
        <v>3.0492953331638768</v>
      </c>
      <c r="M879" s="302">
        <v>6.4630831303528504</v>
      </c>
      <c r="N879" s="302">
        <v>0.59184245110030731</v>
      </c>
      <c r="O879" s="302">
        <f t="shared" si="380"/>
        <v>10.104220914617034</v>
      </c>
    </row>
    <row r="880" spans="1:15" s="236" customFormat="1" x14ac:dyDescent="0.3">
      <c r="A880" s="237" t="str">
        <f>name!E$8</f>
        <v>Skilled trades occupations</v>
      </c>
      <c r="B880" s="302">
        <v>1.0940365786363608</v>
      </c>
      <c r="C880" s="302">
        <v>0.39397340323549346</v>
      </c>
      <c r="D880" s="302">
        <v>0.32412944603465288</v>
      </c>
      <c r="E880" s="302">
        <f t="shared" si="378"/>
        <v>1.8121394279065073</v>
      </c>
      <c r="F880" s="303"/>
      <c r="G880" s="302">
        <v>0.81108708211857083</v>
      </c>
      <c r="H880" s="302">
        <v>0.30738517831700757</v>
      </c>
      <c r="I880" s="302">
        <v>0.19982329244860619</v>
      </c>
      <c r="J880" s="302">
        <f>SUM(G880:I880)</f>
        <v>1.3182955528841847</v>
      </c>
      <c r="K880" s="303"/>
      <c r="L880" s="302">
        <v>0.90011776049622938</v>
      </c>
      <c r="M880" s="302">
        <v>0.51727849935913761</v>
      </c>
      <c r="N880" s="302">
        <v>0.31356299054165276</v>
      </c>
      <c r="O880" s="302">
        <f t="shared" si="380"/>
        <v>1.7309592503970199</v>
      </c>
    </row>
    <row r="881" spans="1:15" s="236" customFormat="1" x14ac:dyDescent="0.3">
      <c r="A881" s="237" t="str">
        <f>name!E$9</f>
        <v>Caring, leisure and other service occupations</v>
      </c>
      <c r="B881" s="302">
        <v>0.129838342556828</v>
      </c>
      <c r="C881" s="302">
        <v>6.428455389357253E-2</v>
      </c>
      <c r="D881" s="302">
        <v>0.12452222938584558</v>
      </c>
      <c r="E881" s="302">
        <f t="shared" si="378"/>
        <v>0.3186451258362461</v>
      </c>
      <c r="F881" s="303"/>
      <c r="G881" s="302">
        <v>9.973442251721383E-2</v>
      </c>
      <c r="H881" s="302">
        <v>7.9218784368164305E-2</v>
      </c>
      <c r="I881" s="302">
        <v>8.7104204070907465E-2</v>
      </c>
      <c r="J881" s="302">
        <f t="shared" ref="J881:J884" si="381">SUM(G881:I881)</f>
        <v>0.2660574109562856</v>
      </c>
      <c r="K881" s="303"/>
      <c r="L881" s="302">
        <v>0.1207401791597653</v>
      </c>
      <c r="M881" s="302">
        <v>8.5924404129437859E-2</v>
      </c>
      <c r="N881" s="302">
        <v>0.1819748575942462</v>
      </c>
      <c r="O881" s="302">
        <f t="shared" si="380"/>
        <v>0.38863944088344937</v>
      </c>
    </row>
    <row r="882" spans="1:15" s="236" customFormat="1" x14ac:dyDescent="0.3">
      <c r="A882" s="237" t="str">
        <f>name!E$10</f>
        <v>Sales and customer service occupations</v>
      </c>
      <c r="B882" s="302">
        <v>1.3877355035083934</v>
      </c>
      <c r="C882" s="302">
        <v>0.93162585346330917</v>
      </c>
      <c r="D882" s="302">
        <v>0.42494596714721156</v>
      </c>
      <c r="E882" s="302">
        <f t="shared" si="378"/>
        <v>2.744307324118914</v>
      </c>
      <c r="F882" s="303"/>
      <c r="G882" s="302">
        <v>1.0587351275706478</v>
      </c>
      <c r="H882" s="302">
        <v>1.2197151024937418</v>
      </c>
      <c r="I882" s="302">
        <v>0.17734610841027901</v>
      </c>
      <c r="J882" s="302">
        <f t="shared" si="381"/>
        <v>2.4557963384746686</v>
      </c>
      <c r="K882" s="303"/>
      <c r="L882" s="302">
        <v>1.1358010005632455</v>
      </c>
      <c r="M882" s="302">
        <v>1.5714684477886494</v>
      </c>
      <c r="N882" s="302">
        <v>0.17148252322254209</v>
      </c>
      <c r="O882" s="302">
        <f t="shared" si="380"/>
        <v>2.8787519715744372</v>
      </c>
    </row>
    <row r="883" spans="1:15" s="236" customFormat="1" x14ac:dyDescent="0.3">
      <c r="A883" s="237" t="str">
        <f>name!E$11</f>
        <v>Process, plant and machine operatives</v>
      </c>
      <c r="B883" s="302">
        <v>0.3795040132122941</v>
      </c>
      <c r="C883" s="302">
        <v>0.27959867884656042</v>
      </c>
      <c r="D883" s="302">
        <v>7.8337634715429316E-2</v>
      </c>
      <c r="E883" s="302">
        <f t="shared" si="378"/>
        <v>0.73744032677428384</v>
      </c>
      <c r="F883" s="303"/>
      <c r="G883" s="302">
        <v>0.25403085911830758</v>
      </c>
      <c r="H883" s="302">
        <v>0.32176459161096077</v>
      </c>
      <c r="I883" s="302">
        <v>5.8115288800230189E-2</v>
      </c>
      <c r="J883" s="302">
        <f t="shared" si="381"/>
        <v>0.63391073952949861</v>
      </c>
      <c r="K883" s="303"/>
      <c r="L883" s="302">
        <v>0.28718224322973085</v>
      </c>
      <c r="M883" s="302">
        <v>0.52225312278284564</v>
      </c>
      <c r="N883" s="302">
        <v>8.4084256925101686E-2</v>
      </c>
      <c r="O883" s="302">
        <f t="shared" si="380"/>
        <v>0.89351962293767817</v>
      </c>
    </row>
    <row r="884" spans="1:15" s="236" customFormat="1" x14ac:dyDescent="0.3">
      <c r="A884" s="237" t="str">
        <f>name!E$12</f>
        <v>Elementary occupations</v>
      </c>
      <c r="B884" s="302">
        <v>0.64536056464110281</v>
      </c>
      <c r="C884" s="302">
        <v>0.49635119064166894</v>
      </c>
      <c r="D884" s="302">
        <v>4.8559883619524874E-2</v>
      </c>
      <c r="E884" s="302">
        <f t="shared" si="378"/>
        <v>1.1902716389022967</v>
      </c>
      <c r="F884" s="303"/>
      <c r="G884" s="302">
        <v>0.46111447869249517</v>
      </c>
      <c r="H884" s="302">
        <v>0.52579771347994508</v>
      </c>
      <c r="I884" s="302">
        <v>2.6298795242709623E-2</v>
      </c>
      <c r="J884" s="302">
        <f t="shared" si="381"/>
        <v>1.0132109874151498</v>
      </c>
      <c r="K884" s="303"/>
      <c r="L884" s="302">
        <v>0.44714998169618436</v>
      </c>
      <c r="M884" s="302">
        <v>0.49245704444158639</v>
      </c>
      <c r="N884" s="302">
        <v>3.5155100233609231E-2</v>
      </c>
      <c r="O884" s="302">
        <f t="shared" si="380"/>
        <v>0.97476212637137993</v>
      </c>
    </row>
    <row r="885" spans="1:15" s="236" customFormat="1" x14ac:dyDescent="0.3">
      <c r="A885" s="237"/>
      <c r="B885" s="302"/>
      <c r="C885" s="302"/>
      <c r="D885" s="302"/>
      <c r="E885" s="302"/>
      <c r="F885" s="303"/>
      <c r="G885" s="302"/>
      <c r="H885" s="302"/>
      <c r="I885" s="302"/>
      <c r="J885" s="302"/>
      <c r="K885" s="303"/>
      <c r="L885" s="302"/>
      <c r="M885" s="302"/>
      <c r="N885" s="302"/>
      <c r="O885" s="302"/>
    </row>
    <row r="886" spans="1:15" s="236" customFormat="1" x14ac:dyDescent="0.3">
      <c r="A886" s="244" t="s">
        <v>32</v>
      </c>
      <c r="B886" s="311">
        <f>SUM(B876:B884)</f>
        <v>37.135999999293929</v>
      </c>
      <c r="C886" s="311">
        <f t="shared" ref="C886:E886" si="382">SUM(C876:C884)</f>
        <v>14.165999999892312</v>
      </c>
      <c r="D886" s="311">
        <f t="shared" si="382"/>
        <v>11.369000000098517</v>
      </c>
      <c r="E886" s="311">
        <f t="shared" si="382"/>
        <v>62.670999999284753</v>
      </c>
      <c r="F886" s="311"/>
      <c r="G886" s="311">
        <f t="shared" ref="G886:J886" si="383">SUM(G876:G884)</f>
        <v>36.795999999728593</v>
      </c>
      <c r="H886" s="311">
        <f t="shared" si="383"/>
        <v>21.452000000088468</v>
      </c>
      <c r="I886" s="311">
        <f t="shared" si="383"/>
        <v>7.6820000000445647</v>
      </c>
      <c r="J886" s="311">
        <f t="shared" si="383"/>
        <v>65.929999999861622</v>
      </c>
      <c r="K886" s="311"/>
      <c r="L886" s="311">
        <f t="shared" ref="L886:O886" si="384">SUM(L876:L884)</f>
        <v>42.565999999597096</v>
      </c>
      <c r="M886" s="311">
        <f t="shared" si="384"/>
        <v>25.761000000124593</v>
      </c>
      <c r="N886" s="311">
        <f t="shared" si="384"/>
        <v>8.6850000001530354</v>
      </c>
      <c r="O886" s="311">
        <f t="shared" si="384"/>
        <v>77.011999999874703</v>
      </c>
    </row>
    <row r="887" spans="1:15" s="236" customFormat="1" x14ac:dyDescent="0.3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37"/>
      <c r="M887" s="237"/>
      <c r="N887" s="240"/>
    </row>
    <row r="888" spans="1:15" s="236" customFormat="1" x14ac:dyDescent="0.3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37"/>
      <c r="M888" s="237"/>
      <c r="N888" s="240"/>
      <c r="O888" s="251" t="s">
        <v>35</v>
      </c>
    </row>
    <row r="889" spans="1:15" s="236" customFormat="1" x14ac:dyDescent="0.3">
      <c r="A889" s="242"/>
      <c r="B889" s="242"/>
      <c r="C889" s="242"/>
      <c r="D889" s="242"/>
      <c r="E889" s="242"/>
      <c r="F889" s="242"/>
      <c r="G889" s="242"/>
      <c r="H889" s="242"/>
      <c r="I889" s="242"/>
      <c r="J889" s="242"/>
      <c r="K889" s="242"/>
      <c r="L889" s="242"/>
      <c r="M889" s="242"/>
      <c r="N889" s="242"/>
      <c r="O889" s="242"/>
    </row>
    <row r="890" spans="1:15" s="236" customFormat="1" x14ac:dyDescent="0.3">
      <c r="A890" s="241" t="str">
        <f>name!A55</f>
        <v>Head offices, etc</v>
      </c>
      <c r="B890" s="375">
        <f>$B$6</f>
        <v>2015</v>
      </c>
      <c r="C890" s="375"/>
      <c r="D890" s="375"/>
      <c r="E890" s="375"/>
      <c r="F890" s="263"/>
      <c r="G890" s="375">
        <f>$G$6</f>
        <v>2020</v>
      </c>
      <c r="H890" s="375"/>
      <c r="I890" s="375"/>
      <c r="J890" s="375"/>
      <c r="K890" s="263"/>
      <c r="L890" s="375">
        <f>$L$6</f>
        <v>2035</v>
      </c>
      <c r="M890" s="375"/>
      <c r="N890" s="375"/>
      <c r="O890" s="375"/>
    </row>
    <row r="891" spans="1:15" s="236" customFormat="1" x14ac:dyDescent="0.3">
      <c r="A891" s="254"/>
      <c r="B891" s="268" t="str">
        <f>$B$7</f>
        <v>FT</v>
      </c>
      <c r="C891" s="268" t="str">
        <f>$C$7</f>
        <v>PT</v>
      </c>
      <c r="D891" s="268" t="str">
        <f>$D$7</f>
        <v>SE</v>
      </c>
      <c r="E891" s="268" t="str">
        <f>$E$7</f>
        <v>Total</v>
      </c>
      <c r="F891" s="268"/>
      <c r="G891" s="268" t="str">
        <f>$G$7</f>
        <v>FT</v>
      </c>
      <c r="H891" s="268" t="str">
        <f>$H$7</f>
        <v>PT</v>
      </c>
      <c r="I891" s="268" t="str">
        <f>$I$7</f>
        <v>SE</v>
      </c>
      <c r="J891" s="268" t="str">
        <f>$J$7</f>
        <v>Total</v>
      </c>
      <c r="K891" s="268"/>
      <c r="L891" s="268" t="str">
        <f>$L$7</f>
        <v>FT</v>
      </c>
      <c r="M891" s="268" t="str">
        <f>$M$7</f>
        <v>PT</v>
      </c>
      <c r="N891" s="268" t="str">
        <f>$N$7</f>
        <v>SE</v>
      </c>
      <c r="O891" s="268" t="str">
        <f>$O$7</f>
        <v>Total</v>
      </c>
    </row>
    <row r="892" spans="1:15" s="236" customFormat="1" x14ac:dyDescent="0.3">
      <c r="A892" s="258"/>
      <c r="B892" s="239"/>
      <c r="C892" s="239"/>
      <c r="D892" s="239"/>
      <c r="E892" s="239"/>
      <c r="F892" s="239"/>
      <c r="G892" s="239"/>
      <c r="H892" s="239"/>
      <c r="I892" s="239"/>
      <c r="J892" s="239"/>
      <c r="K892" s="239"/>
      <c r="L892" s="239"/>
      <c r="M892" s="239"/>
      <c r="N892" s="239"/>
      <c r="O892" s="239"/>
    </row>
    <row r="893" spans="1:15" s="236" customFormat="1" x14ac:dyDescent="0.3">
      <c r="A893" s="237" t="str">
        <f>name!E$4</f>
        <v>Managers, directors and senior officials</v>
      </c>
      <c r="B893" s="302">
        <v>6.8091557475390587</v>
      </c>
      <c r="C893" s="302">
        <v>2.2779410588978446</v>
      </c>
      <c r="D893" s="302">
        <v>1.5002607552385008</v>
      </c>
      <c r="E893" s="302">
        <f>SUM(B893:D893)</f>
        <v>10.587357561675404</v>
      </c>
      <c r="F893" s="303"/>
      <c r="G893" s="302">
        <v>7.7535306382319007</v>
      </c>
      <c r="H893" s="302">
        <v>2.3832966979655579</v>
      </c>
      <c r="I893" s="302">
        <v>1.0689318609557412</v>
      </c>
      <c r="J893" s="302">
        <f>SUM(G893:I893)</f>
        <v>11.205759197153201</v>
      </c>
      <c r="K893" s="303"/>
      <c r="L893" s="302">
        <v>8.1112211412002058</v>
      </c>
      <c r="M893" s="302">
        <v>3.1897014829899124</v>
      </c>
      <c r="N893" s="302">
        <v>1.2397116182078594</v>
      </c>
      <c r="O893" s="302">
        <f>SUM(L893:N893)</f>
        <v>12.540634242397978</v>
      </c>
    </row>
    <row r="894" spans="1:15" s="236" customFormat="1" x14ac:dyDescent="0.3">
      <c r="A894" s="237" t="str">
        <f>name!E$5</f>
        <v>Professional occupations</v>
      </c>
      <c r="B894" s="302">
        <v>18.186857559879559</v>
      </c>
      <c r="C894" s="302">
        <v>4.0374374421847765</v>
      </c>
      <c r="D894" s="302">
        <v>3.7765298286414546</v>
      </c>
      <c r="E894" s="302">
        <f t="shared" ref="E894:E901" si="385">SUM(B894:D894)</f>
        <v>26.000824830705792</v>
      </c>
      <c r="F894" s="303"/>
      <c r="G894" s="302">
        <v>23.918175818973658</v>
      </c>
      <c r="H894" s="302">
        <v>4.0460546695406014</v>
      </c>
      <c r="I894" s="302">
        <v>2.5682171327402168</v>
      </c>
      <c r="J894" s="302">
        <f t="shared" ref="J894:J896" si="386">SUM(G894:I894)</f>
        <v>30.532447621254477</v>
      </c>
      <c r="K894" s="303"/>
      <c r="L894" s="302">
        <v>28.575518960941654</v>
      </c>
      <c r="M894" s="302">
        <v>5.5272851129893992</v>
      </c>
      <c r="N894" s="302">
        <v>2.527091017129528</v>
      </c>
      <c r="O894" s="302">
        <f t="shared" ref="O894:O901" si="387">SUM(L894:N894)</f>
        <v>36.629895091060583</v>
      </c>
    </row>
    <row r="895" spans="1:15" s="236" customFormat="1" x14ac:dyDescent="0.3">
      <c r="A895" s="237" t="str">
        <f>name!E$6</f>
        <v>Associate professional occupations</v>
      </c>
      <c r="B895" s="302">
        <v>9.536034595571623</v>
      </c>
      <c r="C895" s="302">
        <v>3.2471651057719928</v>
      </c>
      <c r="D895" s="302">
        <v>1.7318910864312598</v>
      </c>
      <c r="E895" s="302">
        <f t="shared" si="385"/>
        <v>14.515090787774875</v>
      </c>
      <c r="F895" s="303"/>
      <c r="G895" s="302">
        <v>11.18333518325705</v>
      </c>
      <c r="H895" s="302">
        <v>2.7371165054740336</v>
      </c>
      <c r="I895" s="302">
        <v>1.0312697183521422</v>
      </c>
      <c r="J895" s="302">
        <f t="shared" si="386"/>
        <v>14.951721407083227</v>
      </c>
      <c r="K895" s="303"/>
      <c r="L895" s="302">
        <v>11.350081046445215</v>
      </c>
      <c r="M895" s="302">
        <v>3.2287599624664902</v>
      </c>
      <c r="N895" s="302">
        <v>1.0831488126458644</v>
      </c>
      <c r="O895" s="302">
        <f t="shared" si="387"/>
        <v>15.661989821557571</v>
      </c>
    </row>
    <row r="896" spans="1:15" s="236" customFormat="1" x14ac:dyDescent="0.3">
      <c r="A896" s="237" t="str">
        <f>name!E$7</f>
        <v>Administrative and secretarial occupations</v>
      </c>
      <c r="B896" s="302">
        <v>6.3499205808897159</v>
      </c>
      <c r="C896" s="302">
        <v>8.9015430827126831</v>
      </c>
      <c r="D896" s="302">
        <v>0.98232411591929891</v>
      </c>
      <c r="E896" s="302">
        <f t="shared" si="385"/>
        <v>16.233787779521698</v>
      </c>
      <c r="F896" s="303"/>
      <c r="G896" s="302">
        <v>5.5866903044847831</v>
      </c>
      <c r="H896" s="302">
        <v>5.7874370141682121</v>
      </c>
      <c r="I896" s="302">
        <v>0.4636519848134586</v>
      </c>
      <c r="J896" s="302">
        <f t="shared" si="386"/>
        <v>11.837779303466453</v>
      </c>
      <c r="K896" s="303"/>
      <c r="L896" s="302">
        <v>3.4443929435510943</v>
      </c>
      <c r="M896" s="302">
        <v>4.9515560325812862</v>
      </c>
      <c r="N896" s="302">
        <v>0.40789612517602059</v>
      </c>
      <c r="O896" s="302">
        <f t="shared" si="387"/>
        <v>8.8038451013084007</v>
      </c>
    </row>
    <row r="897" spans="1:15" s="236" customFormat="1" x14ac:dyDescent="0.3">
      <c r="A897" s="237" t="str">
        <f>name!E$8</f>
        <v>Skilled trades occupations</v>
      </c>
      <c r="B897" s="302">
        <v>1.5666761790726678</v>
      </c>
      <c r="C897" s="302">
        <v>0.51355469523890085</v>
      </c>
      <c r="D897" s="302">
        <v>0.2324099684579414</v>
      </c>
      <c r="E897" s="302">
        <f t="shared" si="385"/>
        <v>2.3126408427695102</v>
      </c>
      <c r="F897" s="303"/>
      <c r="G897" s="302">
        <v>1.3410489124006437</v>
      </c>
      <c r="H897" s="302">
        <v>0.23532445665269228</v>
      </c>
      <c r="I897" s="302">
        <v>0.1418476722003072</v>
      </c>
      <c r="J897" s="302">
        <f>SUM(G897:I897)</f>
        <v>1.7182210412536432</v>
      </c>
      <c r="K897" s="303"/>
      <c r="L897" s="302">
        <v>1.2168833277876459</v>
      </c>
      <c r="M897" s="302">
        <v>0.37045934239910971</v>
      </c>
      <c r="N897" s="302">
        <v>0.21002519665167116</v>
      </c>
      <c r="O897" s="302">
        <f t="shared" si="387"/>
        <v>1.7973678668384265</v>
      </c>
    </row>
    <row r="898" spans="1:15" s="236" customFormat="1" x14ac:dyDescent="0.3">
      <c r="A898" s="237" t="str">
        <f>name!E$9</f>
        <v>Caring, leisure and other service occupations</v>
      </c>
      <c r="B898" s="302">
        <v>0.1463525890460427</v>
      </c>
      <c r="C898" s="302">
        <v>9.4942961434418202E-2</v>
      </c>
      <c r="D898" s="302">
        <v>0.10216797989963816</v>
      </c>
      <c r="E898" s="302">
        <f t="shared" si="385"/>
        <v>0.34346353038009908</v>
      </c>
      <c r="F898" s="303"/>
      <c r="G898" s="302">
        <v>0.13225580859721822</v>
      </c>
      <c r="H898" s="302">
        <v>6.1779516062656317E-2</v>
      </c>
      <c r="I898" s="302">
        <v>6.4828837711144088E-2</v>
      </c>
      <c r="J898" s="302">
        <f t="shared" ref="J898:J901" si="388">SUM(G898:I898)</f>
        <v>0.25886416237101861</v>
      </c>
      <c r="K898" s="303"/>
      <c r="L898" s="302">
        <v>0.15019991527112378</v>
      </c>
      <c r="M898" s="302">
        <v>6.2475977028415022E-2</v>
      </c>
      <c r="N898" s="302">
        <v>0.12263858918175663</v>
      </c>
      <c r="O898" s="302">
        <f t="shared" si="387"/>
        <v>0.33531448148129545</v>
      </c>
    </row>
    <row r="899" spans="1:15" s="236" customFormat="1" x14ac:dyDescent="0.3">
      <c r="A899" s="237" t="str">
        <f>name!E$10</f>
        <v>Sales and customer service occupations</v>
      </c>
      <c r="B899" s="302">
        <v>1.4485477050441986</v>
      </c>
      <c r="C899" s="302">
        <v>1.4231323258441493</v>
      </c>
      <c r="D899" s="302">
        <v>0.39842255419133249</v>
      </c>
      <c r="E899" s="302">
        <f t="shared" si="385"/>
        <v>3.2701025850796803</v>
      </c>
      <c r="F899" s="303"/>
      <c r="G899" s="302">
        <v>1.2525142723679228</v>
      </c>
      <c r="H899" s="302">
        <v>0.96007527675733717</v>
      </c>
      <c r="I899" s="302">
        <v>0.1408630798817086</v>
      </c>
      <c r="J899" s="302">
        <f t="shared" si="388"/>
        <v>2.3534526290069686</v>
      </c>
      <c r="K899" s="303"/>
      <c r="L899" s="302">
        <v>1.30984975438014</v>
      </c>
      <c r="M899" s="302">
        <v>1.1737430644229374</v>
      </c>
      <c r="N899" s="302">
        <v>0.11957967617227903</v>
      </c>
      <c r="O899" s="302">
        <f t="shared" si="387"/>
        <v>2.6031724949753565</v>
      </c>
    </row>
    <row r="900" spans="1:15" s="236" customFormat="1" x14ac:dyDescent="0.3">
      <c r="A900" s="237" t="str">
        <f>name!E$11</f>
        <v>Process, plant and machine operatives</v>
      </c>
      <c r="B900" s="302">
        <v>0.5408783171166599</v>
      </c>
      <c r="C900" s="302">
        <v>0.38435103810105009</v>
      </c>
      <c r="D900" s="302">
        <v>5.88572881600158E-2</v>
      </c>
      <c r="E900" s="302">
        <f t="shared" si="385"/>
        <v>0.98408664337772578</v>
      </c>
      <c r="F900" s="303"/>
      <c r="G900" s="302">
        <v>0.42606189138216927</v>
      </c>
      <c r="H900" s="302">
        <v>0.24681808375671871</v>
      </c>
      <c r="I900" s="302">
        <v>4.1429862109425543E-2</v>
      </c>
      <c r="J900" s="302">
        <f t="shared" si="388"/>
        <v>0.71430983724831354</v>
      </c>
      <c r="K900" s="303"/>
      <c r="L900" s="302">
        <v>0.41691826078906513</v>
      </c>
      <c r="M900" s="302">
        <v>0.37314943986187027</v>
      </c>
      <c r="N900" s="302">
        <v>5.5517036432234136E-2</v>
      </c>
      <c r="O900" s="302">
        <f t="shared" si="387"/>
        <v>0.8455847370831695</v>
      </c>
    </row>
    <row r="901" spans="1:15" s="236" customFormat="1" x14ac:dyDescent="0.3">
      <c r="A901" s="237" t="str">
        <f>name!E$12</f>
        <v>Elementary occupations</v>
      </c>
      <c r="B901" s="302">
        <v>0.72757672501925397</v>
      </c>
      <c r="C901" s="302">
        <v>0.72493228965525913</v>
      </c>
      <c r="D901" s="302">
        <v>3.9136423110775094E-2</v>
      </c>
      <c r="E901" s="302">
        <f t="shared" si="385"/>
        <v>1.4916454377852884</v>
      </c>
      <c r="F901" s="303"/>
      <c r="G901" s="302">
        <v>0.59238716971087668</v>
      </c>
      <c r="H901" s="302">
        <v>0.41009777969433603</v>
      </c>
      <c r="I901" s="302">
        <v>1.8959851268088246E-2</v>
      </c>
      <c r="J901" s="302">
        <f t="shared" si="388"/>
        <v>1.0214448006733008</v>
      </c>
      <c r="K901" s="303"/>
      <c r="L901" s="302">
        <v>0.53093464890486142</v>
      </c>
      <c r="M901" s="302">
        <v>0.35586958536207991</v>
      </c>
      <c r="N901" s="302">
        <v>2.3391928503224791E-2</v>
      </c>
      <c r="O901" s="302">
        <f t="shared" si="387"/>
        <v>0.91019616277016613</v>
      </c>
    </row>
    <row r="902" spans="1:15" s="236" customFormat="1" x14ac:dyDescent="0.3">
      <c r="A902" s="237"/>
      <c r="B902" s="302"/>
      <c r="C902" s="302"/>
      <c r="D902" s="302"/>
      <c r="E902" s="302"/>
      <c r="F902" s="303"/>
      <c r="G902" s="302"/>
      <c r="H902" s="302"/>
      <c r="I902" s="302"/>
      <c r="J902" s="302"/>
      <c r="K902" s="303"/>
      <c r="L902" s="302"/>
      <c r="M902" s="302"/>
      <c r="N902" s="302"/>
      <c r="O902" s="302"/>
    </row>
    <row r="903" spans="1:15" s="236" customFormat="1" x14ac:dyDescent="0.3">
      <c r="A903" s="244" t="s">
        <v>32</v>
      </c>
      <c r="B903" s="311">
        <f>SUM(B893:B901)</f>
        <v>45.311999999178781</v>
      </c>
      <c r="C903" s="311">
        <f t="shared" ref="C903:E903" si="389">SUM(C893:C901)</f>
        <v>21.60499999984108</v>
      </c>
      <c r="D903" s="311">
        <f t="shared" si="389"/>
        <v>8.8220000000502186</v>
      </c>
      <c r="E903" s="311">
        <f t="shared" si="389"/>
        <v>75.738999999070089</v>
      </c>
      <c r="F903" s="311"/>
      <c r="G903" s="311">
        <f t="shared" ref="G903:J903" si="390">SUM(G893:G901)</f>
        <v>52.185999999406221</v>
      </c>
      <c r="H903" s="311">
        <f t="shared" si="390"/>
        <v>16.868000000072147</v>
      </c>
      <c r="I903" s="311">
        <f t="shared" si="390"/>
        <v>5.5400000000322338</v>
      </c>
      <c r="J903" s="311">
        <f t="shared" si="390"/>
        <v>74.593999999510572</v>
      </c>
      <c r="K903" s="311"/>
      <c r="L903" s="311">
        <f t="shared" ref="L903:O903" si="391">SUM(L893:L901)</f>
        <v>55.105999999271013</v>
      </c>
      <c r="M903" s="311">
        <f t="shared" si="391"/>
        <v>19.233000000101498</v>
      </c>
      <c r="N903" s="311">
        <f t="shared" si="391"/>
        <v>5.7890000001004376</v>
      </c>
      <c r="O903" s="311">
        <f t="shared" si="391"/>
        <v>80.127999999472934</v>
      </c>
    </row>
    <row r="904" spans="1:15" s="236" customFormat="1" x14ac:dyDescent="0.3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37"/>
      <c r="M904" s="237"/>
      <c r="N904" s="240"/>
    </row>
    <row r="905" spans="1:15" s="236" customFormat="1" x14ac:dyDescent="0.3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37"/>
      <c r="M905" s="237"/>
      <c r="N905" s="240"/>
      <c r="O905" s="251" t="s">
        <v>35</v>
      </c>
    </row>
    <row r="906" spans="1:15" s="236" customFormat="1" x14ac:dyDescent="0.3">
      <c r="A906" s="242"/>
      <c r="B906" s="242"/>
      <c r="C906" s="242"/>
      <c r="D906" s="242"/>
      <c r="E906" s="242"/>
      <c r="F906" s="242"/>
      <c r="G906" s="242"/>
      <c r="H906" s="242"/>
      <c r="I906" s="242"/>
      <c r="J906" s="242"/>
      <c r="K906" s="242"/>
      <c r="L906" s="242"/>
      <c r="M906" s="242"/>
      <c r="N906" s="242"/>
      <c r="O906" s="242"/>
    </row>
    <row r="907" spans="1:15" s="236" customFormat="1" x14ac:dyDescent="0.3">
      <c r="A907" s="241" t="str">
        <f>name!A56</f>
        <v>Architectural and related</v>
      </c>
      <c r="B907" s="375">
        <f>$B$6</f>
        <v>2015</v>
      </c>
      <c r="C907" s="375"/>
      <c r="D907" s="375"/>
      <c r="E907" s="375"/>
      <c r="F907" s="263"/>
      <c r="G907" s="375">
        <f>$G$6</f>
        <v>2020</v>
      </c>
      <c r="H907" s="375"/>
      <c r="I907" s="375"/>
      <c r="J907" s="375"/>
      <c r="K907" s="263"/>
      <c r="L907" s="375">
        <f>$L$6</f>
        <v>2035</v>
      </c>
      <c r="M907" s="375"/>
      <c r="N907" s="375"/>
      <c r="O907" s="375"/>
    </row>
    <row r="908" spans="1:15" s="236" customFormat="1" x14ac:dyDescent="0.3">
      <c r="A908" s="254"/>
      <c r="B908" s="268" t="str">
        <f>$B$7</f>
        <v>FT</v>
      </c>
      <c r="C908" s="268" t="str">
        <f>$C$7</f>
        <v>PT</v>
      </c>
      <c r="D908" s="268" t="str">
        <f>$D$7</f>
        <v>SE</v>
      </c>
      <c r="E908" s="268" t="str">
        <f>$E$7</f>
        <v>Total</v>
      </c>
      <c r="F908" s="268"/>
      <c r="G908" s="268" t="str">
        <f>$G$7</f>
        <v>FT</v>
      </c>
      <c r="H908" s="268" t="str">
        <f>$H$7</f>
        <v>PT</v>
      </c>
      <c r="I908" s="268" t="str">
        <f>$I$7</f>
        <v>SE</v>
      </c>
      <c r="J908" s="268" t="str">
        <f>$J$7</f>
        <v>Total</v>
      </c>
      <c r="K908" s="268"/>
      <c r="L908" s="268" t="str">
        <f>$L$7</f>
        <v>FT</v>
      </c>
      <c r="M908" s="268" t="str">
        <f>$M$7</f>
        <v>PT</v>
      </c>
      <c r="N908" s="268" t="str">
        <f>$N$7</f>
        <v>SE</v>
      </c>
      <c r="O908" s="268" t="str">
        <f>$O$7</f>
        <v>Total</v>
      </c>
    </row>
    <row r="909" spans="1:15" s="236" customFormat="1" x14ac:dyDescent="0.3">
      <c r="A909" s="258"/>
      <c r="B909" s="239"/>
      <c r="C909" s="239"/>
      <c r="D909" s="239"/>
      <c r="E909" s="239"/>
      <c r="F909" s="239"/>
      <c r="G909" s="239"/>
      <c r="H909" s="239"/>
      <c r="I909" s="239"/>
      <c r="J909" s="239"/>
      <c r="K909" s="239"/>
      <c r="L909" s="239"/>
      <c r="M909" s="239"/>
      <c r="N909" s="239"/>
      <c r="O909" s="239"/>
    </row>
    <row r="910" spans="1:15" s="236" customFormat="1" x14ac:dyDescent="0.3">
      <c r="A910" s="237" t="str">
        <f>name!E$4</f>
        <v>Managers, directors and senior officials</v>
      </c>
      <c r="B910" s="302">
        <v>5.5823627483794533</v>
      </c>
      <c r="C910" s="302">
        <v>0.65901576032246212</v>
      </c>
      <c r="D910" s="302">
        <v>0.98609570104996624</v>
      </c>
      <c r="E910" s="302">
        <f>SUM(B910:D910)</f>
        <v>7.2274742097518816</v>
      </c>
      <c r="F910" s="303"/>
      <c r="G910" s="302">
        <v>7.5274243799594949</v>
      </c>
      <c r="H910" s="302">
        <v>1.3333091010069977</v>
      </c>
      <c r="I910" s="302">
        <v>1.1967671349470816</v>
      </c>
      <c r="J910" s="302">
        <f>SUM(G910:I910)</f>
        <v>10.057500615913575</v>
      </c>
      <c r="K910" s="303"/>
      <c r="L910" s="302">
        <v>7.7780611061974323</v>
      </c>
      <c r="M910" s="302">
        <v>1.7513976831677203</v>
      </c>
      <c r="N910" s="302">
        <v>1.4764778151396485</v>
      </c>
      <c r="O910" s="302">
        <f>SUM(L910:N910)</f>
        <v>11.005936604504802</v>
      </c>
    </row>
    <row r="911" spans="1:15" s="236" customFormat="1" x14ac:dyDescent="0.3">
      <c r="A911" s="237" t="str">
        <f>name!E$5</f>
        <v>Professional occupations</v>
      </c>
      <c r="B911" s="302">
        <v>14.927213253353704</v>
      </c>
      <c r="C911" s="302">
        <v>1.1333780001407261</v>
      </c>
      <c r="D911" s="302">
        <v>3.445920329967461</v>
      </c>
      <c r="E911" s="302">
        <f t="shared" ref="E911:E918" si="392">SUM(B911:D911)</f>
        <v>19.50651158346189</v>
      </c>
      <c r="F911" s="303"/>
      <c r="G911" s="302">
        <v>23.083116986422013</v>
      </c>
      <c r="H911" s="302">
        <v>2.3013666124013827</v>
      </c>
      <c r="I911" s="302">
        <v>3.7486376330794928</v>
      </c>
      <c r="J911" s="302">
        <f t="shared" ref="J911:J913" si="393">SUM(G911:I911)</f>
        <v>29.133121231902887</v>
      </c>
      <c r="K911" s="303"/>
      <c r="L911" s="302">
        <v>27.453081246203581</v>
      </c>
      <c r="M911" s="302">
        <v>3.210882578928683</v>
      </c>
      <c r="N911" s="302">
        <v>3.5296781878061827</v>
      </c>
      <c r="O911" s="302">
        <f t="shared" ref="O911:O918" si="394">SUM(L911:N911)</f>
        <v>34.193642012938447</v>
      </c>
    </row>
    <row r="912" spans="1:15" s="236" customFormat="1" x14ac:dyDescent="0.3">
      <c r="A912" s="237" t="str">
        <f>name!E$6</f>
        <v>Associate professional occupations</v>
      </c>
      <c r="B912" s="302">
        <v>7.4746556444397951</v>
      </c>
      <c r="C912" s="302">
        <v>0.90187237470800297</v>
      </c>
      <c r="D912" s="302">
        <v>1.1956773451805665</v>
      </c>
      <c r="E912" s="302">
        <f t="shared" si="392"/>
        <v>9.5722053643283651</v>
      </c>
      <c r="F912" s="303"/>
      <c r="G912" s="302">
        <v>10.389515220542085</v>
      </c>
      <c r="H912" s="302">
        <v>1.5668626244322936</v>
      </c>
      <c r="I912" s="302">
        <v>1.2556785078222621</v>
      </c>
      <c r="J912" s="302">
        <f t="shared" si="393"/>
        <v>13.21205635279664</v>
      </c>
      <c r="K912" s="303"/>
      <c r="L912" s="302">
        <v>10.430793468380466</v>
      </c>
      <c r="M912" s="302">
        <v>1.6536856986560111</v>
      </c>
      <c r="N912" s="302">
        <v>1.2611916826678151</v>
      </c>
      <c r="O912" s="302">
        <f t="shared" si="394"/>
        <v>13.345670849704293</v>
      </c>
    </row>
    <row r="913" spans="1:15" s="236" customFormat="1" x14ac:dyDescent="0.3">
      <c r="A913" s="237" t="str">
        <f>name!E$7</f>
        <v>Administrative and secretarial occupations</v>
      </c>
      <c r="B913" s="302">
        <v>3.7803521410108596</v>
      </c>
      <c r="C913" s="302">
        <v>2.0540274495598818</v>
      </c>
      <c r="D913" s="302">
        <v>0.46977360629143772</v>
      </c>
      <c r="E913" s="302">
        <f t="shared" si="392"/>
        <v>6.3041531968621785</v>
      </c>
      <c r="F913" s="303"/>
      <c r="G913" s="302">
        <v>3.8330000601864636</v>
      </c>
      <c r="H913" s="302">
        <v>2.4116309768765536</v>
      </c>
      <c r="I913" s="302">
        <v>0.36529174734028269</v>
      </c>
      <c r="J913" s="302">
        <f t="shared" si="393"/>
        <v>6.6099227844033006</v>
      </c>
      <c r="K913" s="303"/>
      <c r="L913" s="302">
        <v>2.5717481050441346</v>
      </c>
      <c r="M913" s="302">
        <v>1.9429170077013262</v>
      </c>
      <c r="N913" s="302">
        <v>0.4157992413274717</v>
      </c>
      <c r="O913" s="302">
        <f t="shared" si="394"/>
        <v>4.9304643540729325</v>
      </c>
    </row>
    <row r="914" spans="1:15" s="236" customFormat="1" x14ac:dyDescent="0.3">
      <c r="A914" s="237" t="str">
        <f>name!E$8</f>
        <v>Skilled trades occupations</v>
      </c>
      <c r="B914" s="302">
        <v>1.4136830109585616</v>
      </c>
      <c r="C914" s="302">
        <v>0.20943174077329177</v>
      </c>
      <c r="D914" s="302">
        <v>0.20711531374849945</v>
      </c>
      <c r="E914" s="302">
        <f t="shared" si="392"/>
        <v>1.8302300654803529</v>
      </c>
      <c r="F914" s="303"/>
      <c r="G914" s="302">
        <v>1.4195483077164361</v>
      </c>
      <c r="H914" s="302">
        <v>0.19107925363431924</v>
      </c>
      <c r="I914" s="302">
        <v>0.19040475619164476</v>
      </c>
      <c r="J914" s="302">
        <f>SUM(G914:I914)</f>
        <v>1.8010323175424001</v>
      </c>
      <c r="K914" s="303"/>
      <c r="L914" s="302">
        <v>1.2026963922575298</v>
      </c>
      <c r="M914" s="302">
        <v>0.2713926959436227</v>
      </c>
      <c r="N914" s="302">
        <v>0.25737930326381392</v>
      </c>
      <c r="O914" s="302">
        <f t="shared" si="394"/>
        <v>1.7314683914649662</v>
      </c>
    </row>
    <row r="915" spans="1:15" s="236" customFormat="1" x14ac:dyDescent="0.3">
      <c r="A915" s="237" t="str">
        <f>name!E$9</f>
        <v>Caring, leisure and other service occupations</v>
      </c>
      <c r="B915" s="302">
        <v>0.10345074641954713</v>
      </c>
      <c r="C915" s="302">
        <v>2.7730343157730871E-2</v>
      </c>
      <c r="D915" s="302">
        <v>6.7348331781533405E-2</v>
      </c>
      <c r="E915" s="302">
        <f t="shared" si="392"/>
        <v>0.19852942135881141</v>
      </c>
      <c r="F915" s="303"/>
      <c r="G915" s="302">
        <v>0.11356161053844274</v>
      </c>
      <c r="H915" s="302">
        <v>3.7643928467286612E-2</v>
      </c>
      <c r="I915" s="302">
        <v>7.2887935613639238E-2</v>
      </c>
      <c r="J915" s="302">
        <f t="shared" ref="J915:J918" si="395">SUM(G915:I915)</f>
        <v>0.2240934746193686</v>
      </c>
      <c r="K915" s="303"/>
      <c r="L915" s="302">
        <v>0.13244897864163413</v>
      </c>
      <c r="M915" s="302">
        <v>4.0867568312929474E-2</v>
      </c>
      <c r="N915" s="302">
        <v>0.1447867078820845</v>
      </c>
      <c r="O915" s="302">
        <f t="shared" si="394"/>
        <v>0.31810325483664814</v>
      </c>
    </row>
    <row r="916" spans="1:15" s="236" customFormat="1" x14ac:dyDescent="0.3">
      <c r="A916" s="237" t="str">
        <f>name!E$10</f>
        <v>Sales and customer service occupations</v>
      </c>
      <c r="B916" s="302">
        <v>0.91767010825918371</v>
      </c>
      <c r="C916" s="302">
        <v>0.37459372899149457</v>
      </c>
      <c r="D916" s="302">
        <v>0.18262785587751798</v>
      </c>
      <c r="E916" s="302">
        <f t="shared" si="392"/>
        <v>1.4748916931281963</v>
      </c>
      <c r="F916" s="303"/>
      <c r="G916" s="302">
        <v>0.92255236249215045</v>
      </c>
      <c r="H916" s="302">
        <v>0.48871492694619473</v>
      </c>
      <c r="I916" s="302">
        <v>0.11847291327856234</v>
      </c>
      <c r="J916" s="302">
        <f t="shared" si="395"/>
        <v>1.5297402027169074</v>
      </c>
      <c r="K916" s="303"/>
      <c r="L916" s="302">
        <v>1.0175022529092344</v>
      </c>
      <c r="M916" s="302">
        <v>0.60786124933935026</v>
      </c>
      <c r="N916" s="302">
        <v>0.11197194202648202</v>
      </c>
      <c r="O916" s="302">
        <f t="shared" si="394"/>
        <v>1.7373354442750666</v>
      </c>
    </row>
    <row r="917" spans="1:15" s="236" customFormat="1" x14ac:dyDescent="0.3">
      <c r="A917" s="237" t="str">
        <f>name!E$11</f>
        <v>Process, plant and machine operatives</v>
      </c>
      <c r="B917" s="302">
        <v>0.48619626377453345</v>
      </c>
      <c r="C917" s="302">
        <v>0.13713688474198071</v>
      </c>
      <c r="D917" s="302">
        <v>4.7508009312795189E-2</v>
      </c>
      <c r="E917" s="302">
        <f t="shared" si="392"/>
        <v>0.67084115782930931</v>
      </c>
      <c r="F917" s="303"/>
      <c r="G917" s="302">
        <v>0.45589950623447384</v>
      </c>
      <c r="H917" s="302">
        <v>0.19504603067044077</v>
      </c>
      <c r="I917" s="302">
        <v>5.4782830157251119E-2</v>
      </c>
      <c r="J917" s="302">
        <f t="shared" si="395"/>
        <v>0.7057283670621658</v>
      </c>
      <c r="K917" s="303"/>
      <c r="L917" s="302">
        <v>0.44726307558658857</v>
      </c>
      <c r="M917" s="302">
        <v>0.27791565924085593</v>
      </c>
      <c r="N917" s="302">
        <v>7.3913628532785394E-2</v>
      </c>
      <c r="O917" s="302">
        <f t="shared" si="394"/>
        <v>0.79909236336022993</v>
      </c>
    </row>
    <row r="918" spans="1:15" s="236" customFormat="1" x14ac:dyDescent="0.3">
      <c r="A918" s="237" t="str">
        <f>name!E$12</f>
        <v>Elementary occupations</v>
      </c>
      <c r="B918" s="302">
        <v>0.51441608280065398</v>
      </c>
      <c r="C918" s="302">
        <v>0.21881371755789797</v>
      </c>
      <c r="D918" s="302">
        <v>2.6933506872542222E-2</v>
      </c>
      <c r="E918" s="302">
        <f t="shared" si="392"/>
        <v>0.76016330723109427</v>
      </c>
      <c r="F918" s="303"/>
      <c r="G918" s="302">
        <v>0.48938156516245868</v>
      </c>
      <c r="H918" s="302">
        <v>0.24934654557427194</v>
      </c>
      <c r="I918" s="302">
        <v>2.4076541610238814E-2</v>
      </c>
      <c r="J918" s="302">
        <f t="shared" si="395"/>
        <v>0.76280465234696948</v>
      </c>
      <c r="K918" s="303"/>
      <c r="L918" s="302">
        <v>0.43440537383253364</v>
      </c>
      <c r="M918" s="302">
        <v>0.24407985871989354</v>
      </c>
      <c r="N918" s="302">
        <v>2.9801491491903039E-2</v>
      </c>
      <c r="O918" s="302">
        <f t="shared" si="394"/>
        <v>0.70828672404433024</v>
      </c>
    </row>
    <row r="919" spans="1:15" s="236" customFormat="1" x14ac:dyDescent="0.3">
      <c r="A919" s="237"/>
      <c r="B919" s="302"/>
      <c r="C919" s="302"/>
      <c r="D919" s="302"/>
      <c r="E919" s="302"/>
      <c r="F919" s="303"/>
      <c r="G919" s="302"/>
      <c r="H919" s="302"/>
      <c r="I919" s="302"/>
      <c r="J919" s="302"/>
      <c r="K919" s="303"/>
      <c r="L919" s="302"/>
      <c r="M919" s="302"/>
      <c r="N919" s="302"/>
      <c r="O919" s="302"/>
    </row>
    <row r="920" spans="1:15" s="236" customFormat="1" x14ac:dyDescent="0.3">
      <c r="A920" s="244" t="s">
        <v>32</v>
      </c>
      <c r="B920" s="311">
        <f>SUM(B910:B918)</f>
        <v>35.199999999396283</v>
      </c>
      <c r="C920" s="311">
        <f t="shared" ref="C920:E920" si="396">SUM(C910:C918)</f>
        <v>5.7159999999534694</v>
      </c>
      <c r="D920" s="311">
        <f t="shared" si="396"/>
        <v>6.6290000000823204</v>
      </c>
      <c r="E920" s="311">
        <f t="shared" si="396"/>
        <v>47.544999999432086</v>
      </c>
      <c r="F920" s="311"/>
      <c r="G920" s="311">
        <f t="shared" ref="G920:J920" si="397">SUM(G910:G918)</f>
        <v>48.233999999254017</v>
      </c>
      <c r="H920" s="311">
        <f t="shared" si="397"/>
        <v>8.7750000000097383</v>
      </c>
      <c r="I920" s="311">
        <f t="shared" si="397"/>
        <v>7.0270000000404558</v>
      </c>
      <c r="J920" s="311">
        <f t="shared" si="397"/>
        <v>64.035999999304209</v>
      </c>
      <c r="K920" s="311"/>
      <c r="L920" s="311">
        <f t="shared" ref="L920:O920" si="398">SUM(L910:L918)</f>
        <v>51.467999999053134</v>
      </c>
      <c r="M920" s="311">
        <f t="shared" si="398"/>
        <v>10.001000000010393</v>
      </c>
      <c r="N920" s="311">
        <f t="shared" si="398"/>
        <v>7.3010000001381865</v>
      </c>
      <c r="O920" s="311">
        <f t="shared" si="398"/>
        <v>68.769999999201701</v>
      </c>
    </row>
    <row r="921" spans="1:15" s="236" customFormat="1" x14ac:dyDescent="0.3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37"/>
      <c r="M921" s="237"/>
      <c r="N921" s="240"/>
    </row>
    <row r="922" spans="1:15" s="236" customFormat="1" x14ac:dyDescent="0.3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37"/>
      <c r="M922" s="237"/>
      <c r="N922" s="240"/>
      <c r="O922" s="251" t="s">
        <v>35</v>
      </c>
    </row>
    <row r="923" spans="1:15" s="236" customFormat="1" x14ac:dyDescent="0.3">
      <c r="A923" s="242"/>
      <c r="B923" s="242"/>
      <c r="C923" s="242"/>
      <c r="D923" s="242"/>
      <c r="E923" s="242"/>
      <c r="F923" s="242"/>
      <c r="G923" s="242"/>
      <c r="H923" s="242"/>
      <c r="I923" s="242"/>
      <c r="J923" s="242"/>
      <c r="K923" s="242"/>
      <c r="L923" s="242"/>
      <c r="M923" s="242"/>
      <c r="N923" s="242"/>
      <c r="O923" s="242"/>
    </row>
    <row r="924" spans="1:15" s="236" customFormat="1" x14ac:dyDescent="0.3">
      <c r="A924" s="241" t="str">
        <f>name!A57</f>
        <v>Scientific research and development</v>
      </c>
      <c r="B924" s="375">
        <f>$B$6</f>
        <v>2015</v>
      </c>
      <c r="C924" s="375"/>
      <c r="D924" s="375"/>
      <c r="E924" s="375"/>
      <c r="F924" s="263"/>
      <c r="G924" s="375">
        <f>$G$6</f>
        <v>2020</v>
      </c>
      <c r="H924" s="375"/>
      <c r="I924" s="375"/>
      <c r="J924" s="375"/>
      <c r="K924" s="263"/>
      <c r="L924" s="375">
        <f>$L$6</f>
        <v>2035</v>
      </c>
      <c r="M924" s="375"/>
      <c r="N924" s="375"/>
      <c r="O924" s="375"/>
    </row>
    <row r="925" spans="1:15" s="236" customFormat="1" x14ac:dyDescent="0.3">
      <c r="A925" s="254"/>
      <c r="B925" s="268" t="str">
        <f>$B$7</f>
        <v>FT</v>
      </c>
      <c r="C925" s="268" t="str">
        <f>$C$7</f>
        <v>PT</v>
      </c>
      <c r="D925" s="268" t="str">
        <f>$D$7</f>
        <v>SE</v>
      </c>
      <c r="E925" s="268" t="str">
        <f>$E$7</f>
        <v>Total</v>
      </c>
      <c r="F925" s="268"/>
      <c r="G925" s="268" t="str">
        <f>$G$7</f>
        <v>FT</v>
      </c>
      <c r="H925" s="268" t="str">
        <f>$H$7</f>
        <v>PT</v>
      </c>
      <c r="I925" s="268" t="str">
        <f>$I$7</f>
        <v>SE</v>
      </c>
      <c r="J925" s="268" t="str">
        <f>$J$7</f>
        <v>Total</v>
      </c>
      <c r="K925" s="268"/>
      <c r="L925" s="268" t="str">
        <f>$L$7</f>
        <v>FT</v>
      </c>
      <c r="M925" s="268" t="str">
        <f>$M$7</f>
        <v>PT</v>
      </c>
      <c r="N925" s="268" t="str">
        <f>$N$7</f>
        <v>SE</v>
      </c>
      <c r="O925" s="268" t="str">
        <f>$O$7</f>
        <v>Total</v>
      </c>
    </row>
    <row r="926" spans="1:15" s="236" customFormat="1" x14ac:dyDescent="0.3">
      <c r="A926" s="258"/>
      <c r="B926" s="239"/>
      <c r="C926" s="239"/>
      <c r="D926" s="239"/>
      <c r="E926" s="239"/>
      <c r="F926" s="239"/>
      <c r="G926" s="239"/>
      <c r="H926" s="239"/>
      <c r="I926" s="239"/>
      <c r="J926" s="239"/>
      <c r="K926" s="239"/>
      <c r="L926" s="239"/>
      <c r="M926" s="239"/>
      <c r="N926" s="239"/>
      <c r="O926" s="239"/>
    </row>
    <row r="927" spans="1:15" s="236" customFormat="1" x14ac:dyDescent="0.3">
      <c r="A927" s="237" t="str">
        <f>name!E$4</f>
        <v>Managers, directors and senior officials</v>
      </c>
      <c r="B927" s="302">
        <v>2.34706786729256</v>
      </c>
      <c r="C927" s="302">
        <v>0.23354932485720303</v>
      </c>
      <c r="D927" s="302">
        <v>1.8245273140533786</v>
      </c>
      <c r="E927" s="302">
        <f>SUM(B927:D927)</f>
        <v>4.4051445062031416</v>
      </c>
      <c r="F927" s="303"/>
      <c r="G927" s="302">
        <v>3.2039131677627997</v>
      </c>
      <c r="H927" s="302">
        <v>0.26875220753211493</v>
      </c>
      <c r="I927" s="302">
        <v>1.7162390187048207</v>
      </c>
      <c r="J927" s="302">
        <f>SUM(G927:I927)</f>
        <v>5.188904393999735</v>
      </c>
      <c r="K927" s="303"/>
      <c r="L927" s="302">
        <v>3.4263644873196193</v>
      </c>
      <c r="M927" s="302">
        <v>0.38117080809343051</v>
      </c>
      <c r="N927" s="302">
        <v>2.5042191495440069</v>
      </c>
      <c r="O927" s="302">
        <f>SUM(L927:N927)</f>
        <v>6.3117544449570566</v>
      </c>
    </row>
    <row r="928" spans="1:15" s="236" customFormat="1" x14ac:dyDescent="0.3">
      <c r="A928" s="237" t="str">
        <f>name!E$5</f>
        <v>Professional occupations</v>
      </c>
      <c r="B928" s="302">
        <v>11.879845214255875</v>
      </c>
      <c r="C928" s="302">
        <v>1.2348573440411106</v>
      </c>
      <c r="D928" s="302">
        <v>7.1201421698527589</v>
      </c>
      <c r="E928" s="302">
        <f t="shared" ref="E928:E935" si="399">SUM(B928:D928)</f>
        <v>20.234844728149746</v>
      </c>
      <c r="F928" s="303"/>
      <c r="G928" s="302">
        <v>17.867049739161189</v>
      </c>
      <c r="H928" s="302">
        <v>1.3138764158513108</v>
      </c>
      <c r="I928" s="302">
        <v>6.0118878761190144</v>
      </c>
      <c r="J928" s="302">
        <f t="shared" ref="J928:J930" si="400">SUM(G928:I928)</f>
        <v>25.192814031131515</v>
      </c>
      <c r="K928" s="303"/>
      <c r="L928" s="302">
        <v>22.784196718337657</v>
      </c>
      <c r="M928" s="302">
        <v>1.9917227580051649</v>
      </c>
      <c r="N928" s="302">
        <v>6.9681424969141794</v>
      </c>
      <c r="O928" s="302">
        <f t="shared" ref="O928:O935" si="401">SUM(L928:N928)</f>
        <v>31.744061973257001</v>
      </c>
    </row>
    <row r="929" spans="1:15" s="236" customFormat="1" x14ac:dyDescent="0.3">
      <c r="A929" s="237" t="str">
        <f>name!E$6</f>
        <v>Associate professional occupations</v>
      </c>
      <c r="B929" s="302">
        <v>3.3399016410593738</v>
      </c>
      <c r="C929" s="302">
        <v>0.57407804215151215</v>
      </c>
      <c r="D929" s="302">
        <v>1.4844624010677467</v>
      </c>
      <c r="E929" s="302">
        <f t="shared" si="399"/>
        <v>5.3984420842786331</v>
      </c>
      <c r="F929" s="303"/>
      <c r="G929" s="302">
        <v>4.8458899869199383</v>
      </c>
      <c r="H929" s="302">
        <v>0.5727505018211746</v>
      </c>
      <c r="I929" s="302">
        <v>1.1245507526819123</v>
      </c>
      <c r="J929" s="302">
        <f t="shared" si="400"/>
        <v>6.5431912414230258</v>
      </c>
      <c r="K929" s="303"/>
      <c r="L929" s="302">
        <v>5.1298516525643674</v>
      </c>
      <c r="M929" s="302">
        <v>0.6168274080617645</v>
      </c>
      <c r="N929" s="302">
        <v>1.5018857683063447</v>
      </c>
      <c r="O929" s="302">
        <f t="shared" si="401"/>
        <v>7.2485648289324764</v>
      </c>
    </row>
    <row r="930" spans="1:15" s="236" customFormat="1" x14ac:dyDescent="0.3">
      <c r="A930" s="237" t="str">
        <f>name!E$7</f>
        <v>Administrative and secretarial occupations</v>
      </c>
      <c r="B930" s="302">
        <v>1.1642097772908904</v>
      </c>
      <c r="C930" s="302">
        <v>0.69872057346171801</v>
      </c>
      <c r="D930" s="302">
        <v>1.0917733019754581</v>
      </c>
      <c r="E930" s="302">
        <f t="shared" si="399"/>
        <v>2.9547036527280666</v>
      </c>
      <c r="F930" s="303"/>
      <c r="G930" s="302">
        <v>1.3124271551118463</v>
      </c>
      <c r="H930" s="302">
        <v>0.56368860316837821</v>
      </c>
      <c r="I930" s="302">
        <v>0.71263139238004258</v>
      </c>
      <c r="J930" s="302">
        <f t="shared" si="400"/>
        <v>2.5887471506602671</v>
      </c>
      <c r="K930" s="303"/>
      <c r="L930" s="302">
        <v>0.885701984086395</v>
      </c>
      <c r="M930" s="302">
        <v>0.44639834515161081</v>
      </c>
      <c r="N930" s="302">
        <v>0.80148946119254838</v>
      </c>
      <c r="O930" s="302">
        <f t="shared" si="401"/>
        <v>2.1335897904305541</v>
      </c>
    </row>
    <row r="931" spans="1:15" s="236" customFormat="1" x14ac:dyDescent="0.3">
      <c r="A931" s="237" t="str">
        <f>name!E$8</f>
        <v>Skilled trades occupations</v>
      </c>
      <c r="B931" s="302">
        <v>0.78596160036255158</v>
      </c>
      <c r="C931" s="302">
        <v>0.21904225555978951</v>
      </c>
      <c r="D931" s="302">
        <v>0.5829733878330976</v>
      </c>
      <c r="E931" s="302">
        <f t="shared" si="399"/>
        <v>1.5879772437554387</v>
      </c>
      <c r="F931" s="303"/>
      <c r="G931" s="302">
        <v>0.76046971680533804</v>
      </c>
      <c r="H931" s="302">
        <v>9.9736516447729573E-2</v>
      </c>
      <c r="I931" s="302">
        <v>0.44036458034797382</v>
      </c>
      <c r="J931" s="302">
        <f>SUM(G931:I931)</f>
        <v>1.3005708136010414</v>
      </c>
      <c r="K931" s="303"/>
      <c r="L931" s="302">
        <v>0.63627480997447283</v>
      </c>
      <c r="M931" s="302">
        <v>0.13385242343381423</v>
      </c>
      <c r="N931" s="302">
        <v>0.7400106114525834</v>
      </c>
      <c r="O931" s="302">
        <f t="shared" si="401"/>
        <v>1.5101378448608704</v>
      </c>
    </row>
    <row r="932" spans="1:15" s="236" customFormat="1" x14ac:dyDescent="0.3">
      <c r="A932" s="237" t="str">
        <f>name!E$9</f>
        <v>Caring, leisure and other service occupations</v>
      </c>
      <c r="B932" s="302">
        <v>0.46964688654976205</v>
      </c>
      <c r="C932" s="302">
        <v>0.11930957519885907</v>
      </c>
      <c r="D932" s="302">
        <v>0.61702333938471721</v>
      </c>
      <c r="E932" s="302">
        <f t="shared" si="399"/>
        <v>1.2059798011333385</v>
      </c>
      <c r="F932" s="303"/>
      <c r="G932" s="302">
        <v>0.54269651844274913</v>
      </c>
      <c r="H932" s="302">
        <v>8.9135389615184801E-2</v>
      </c>
      <c r="I932" s="302">
        <v>0.44050276802106442</v>
      </c>
      <c r="J932" s="302">
        <f t="shared" ref="J932:J935" si="402">SUM(G932:I932)</f>
        <v>1.0723346760789985</v>
      </c>
      <c r="K932" s="303"/>
      <c r="L932" s="302">
        <v>0.63716770974330761</v>
      </c>
      <c r="M932" s="302">
        <v>0.11259317629228481</v>
      </c>
      <c r="N932" s="302">
        <v>0.93489444030382951</v>
      </c>
      <c r="O932" s="302">
        <f t="shared" si="401"/>
        <v>1.6846553263394219</v>
      </c>
    </row>
    <row r="933" spans="1:15" s="236" customFormat="1" x14ac:dyDescent="0.3">
      <c r="A933" s="237" t="str">
        <f>name!E$10</f>
        <v>Sales and customer service occupations</v>
      </c>
      <c r="B933" s="302">
        <v>0.24443614403664782</v>
      </c>
      <c r="C933" s="302">
        <v>0.35754492866074111</v>
      </c>
      <c r="D933" s="302">
        <v>0.57294138184525567</v>
      </c>
      <c r="E933" s="302">
        <f t="shared" si="399"/>
        <v>1.1749224545426444</v>
      </c>
      <c r="F933" s="303"/>
      <c r="G933" s="302">
        <v>0.28725624136098143</v>
      </c>
      <c r="H933" s="302">
        <v>0.25255718308450048</v>
      </c>
      <c r="I933" s="302">
        <v>0.31935366518375863</v>
      </c>
      <c r="J933" s="302">
        <f t="shared" si="402"/>
        <v>0.8591670896292406</v>
      </c>
      <c r="K933" s="303"/>
      <c r="L933" s="302">
        <v>0.3670951756528501</v>
      </c>
      <c r="M933" s="302">
        <v>0.30003684520887491</v>
      </c>
      <c r="N933" s="302">
        <v>0.43123398444421668</v>
      </c>
      <c r="O933" s="302">
        <f t="shared" si="401"/>
        <v>1.0983660053059419</v>
      </c>
    </row>
    <row r="934" spans="1:15" s="236" customFormat="1" x14ac:dyDescent="0.3">
      <c r="A934" s="237" t="str">
        <f>name!E$11</f>
        <v>Process, plant and machine operatives</v>
      </c>
      <c r="B934" s="302">
        <v>0.27154310327167935</v>
      </c>
      <c r="C934" s="302">
        <v>0.23892140348880286</v>
      </c>
      <c r="D934" s="302">
        <v>0.23780929722119157</v>
      </c>
      <c r="E934" s="302">
        <f t="shared" si="399"/>
        <v>0.74827380398167387</v>
      </c>
      <c r="F934" s="303"/>
      <c r="G934" s="302">
        <v>0.24785398363710634</v>
      </c>
      <c r="H934" s="302">
        <v>0.16675517154238287</v>
      </c>
      <c r="I934" s="302">
        <v>0.20719144746759963</v>
      </c>
      <c r="J934" s="302">
        <f t="shared" si="402"/>
        <v>0.62180060264708881</v>
      </c>
      <c r="K934" s="303"/>
      <c r="L934" s="302">
        <v>0.23777559870140333</v>
      </c>
      <c r="M934" s="302">
        <v>0.21151954290272912</v>
      </c>
      <c r="N934" s="302">
        <v>0.32444576722200019</v>
      </c>
      <c r="O934" s="302">
        <f t="shared" si="401"/>
        <v>0.77374090882613267</v>
      </c>
    </row>
    <row r="935" spans="1:15" s="236" customFormat="1" x14ac:dyDescent="0.3">
      <c r="A935" s="237" t="str">
        <f>name!E$12</f>
        <v>Elementary occupations</v>
      </c>
      <c r="B935" s="302">
        <v>0.2093877656744681</v>
      </c>
      <c r="C935" s="302">
        <v>9.5976552510061999E-2</v>
      </c>
      <c r="D935" s="302">
        <v>0.41034740679299575</v>
      </c>
      <c r="E935" s="302">
        <f t="shared" si="399"/>
        <v>0.71571172497752578</v>
      </c>
      <c r="F935" s="303"/>
      <c r="G935" s="302">
        <v>0.20544349076718882</v>
      </c>
      <c r="H935" s="302">
        <v>5.1748010944260826E-2</v>
      </c>
      <c r="I935" s="302">
        <v>0.24327849914359864</v>
      </c>
      <c r="J935" s="302">
        <f t="shared" si="402"/>
        <v>0.50047000085504834</v>
      </c>
      <c r="K935" s="303"/>
      <c r="L935" s="302">
        <v>0.16457186325301201</v>
      </c>
      <c r="M935" s="302">
        <v>4.2878692847842147E-2</v>
      </c>
      <c r="N935" s="302">
        <v>0.30667832079596341</v>
      </c>
      <c r="O935" s="302">
        <f t="shared" si="401"/>
        <v>0.51412887689681752</v>
      </c>
    </row>
    <row r="936" spans="1:15" s="236" customFormat="1" x14ac:dyDescent="0.3">
      <c r="A936" s="237"/>
      <c r="B936" s="302"/>
      <c r="C936" s="302"/>
      <c r="D936" s="302"/>
      <c r="E936" s="302"/>
      <c r="F936" s="303"/>
      <c r="G936" s="302"/>
      <c r="H936" s="302"/>
      <c r="I936" s="302"/>
      <c r="J936" s="302"/>
      <c r="K936" s="303"/>
      <c r="L936" s="302"/>
      <c r="M936" s="302"/>
      <c r="N936" s="302"/>
      <c r="O936" s="302"/>
    </row>
    <row r="937" spans="1:15" s="236" customFormat="1" x14ac:dyDescent="0.3">
      <c r="A937" s="244" t="s">
        <v>32</v>
      </c>
      <c r="B937" s="311">
        <f>SUM(B927:B935)</f>
        <v>20.711999999793804</v>
      </c>
      <c r="C937" s="311">
        <f t="shared" ref="C937:E937" si="403">SUM(C927:C935)</f>
        <v>3.7719999999297982</v>
      </c>
      <c r="D937" s="311">
        <f t="shared" si="403"/>
        <v>13.942000000026601</v>
      </c>
      <c r="E937" s="311">
        <f t="shared" si="403"/>
        <v>38.425999999750211</v>
      </c>
      <c r="F937" s="311"/>
      <c r="G937" s="311">
        <f t="shared" ref="G937:J937" si="404">SUM(G927:G935)</f>
        <v>29.272999999969137</v>
      </c>
      <c r="H937" s="311">
        <f t="shared" si="404"/>
        <v>3.379000000007037</v>
      </c>
      <c r="I937" s="311">
        <f t="shared" si="404"/>
        <v>11.216000000049783</v>
      </c>
      <c r="J937" s="311">
        <f t="shared" si="404"/>
        <v>43.868000000025958</v>
      </c>
      <c r="K937" s="311"/>
      <c r="L937" s="311">
        <f t="shared" ref="L937:O937" si="405">SUM(L927:L935)</f>
        <v>34.268999999633088</v>
      </c>
      <c r="M937" s="311">
        <f t="shared" si="405"/>
        <v>4.2369999999975159</v>
      </c>
      <c r="N937" s="311">
        <f t="shared" si="405"/>
        <v>14.513000000175673</v>
      </c>
      <c r="O937" s="311">
        <f t="shared" si="405"/>
        <v>53.018999999806283</v>
      </c>
    </row>
    <row r="938" spans="1:15" s="236" customFormat="1" x14ac:dyDescent="0.3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37"/>
      <c r="M938" s="237"/>
      <c r="N938" s="240"/>
    </row>
    <row r="939" spans="1:15" s="236" customFormat="1" x14ac:dyDescent="0.3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37"/>
      <c r="M939" s="237"/>
      <c r="N939" s="240"/>
      <c r="O939" s="251" t="s">
        <v>35</v>
      </c>
    </row>
    <row r="940" spans="1:15" s="236" customFormat="1" x14ac:dyDescent="0.3">
      <c r="A940" s="242"/>
      <c r="B940" s="242"/>
      <c r="C940" s="242"/>
      <c r="D940" s="242"/>
      <c r="E940" s="242"/>
      <c r="F940" s="242"/>
      <c r="G940" s="242"/>
      <c r="H940" s="242"/>
      <c r="I940" s="242"/>
      <c r="J940" s="242"/>
      <c r="K940" s="242"/>
      <c r="L940" s="242"/>
      <c r="M940" s="242"/>
      <c r="N940" s="242"/>
      <c r="O940" s="242"/>
    </row>
    <row r="941" spans="1:15" s="236" customFormat="1" x14ac:dyDescent="0.3">
      <c r="A941" s="241" t="str">
        <f>name!A58</f>
        <v>Advertising, etc</v>
      </c>
      <c r="B941" s="375">
        <f>$B$6</f>
        <v>2015</v>
      </c>
      <c r="C941" s="375"/>
      <c r="D941" s="375"/>
      <c r="E941" s="375"/>
      <c r="F941" s="263"/>
      <c r="G941" s="375">
        <f>$G$6</f>
        <v>2020</v>
      </c>
      <c r="H941" s="375"/>
      <c r="I941" s="375"/>
      <c r="J941" s="375"/>
      <c r="K941" s="263"/>
      <c r="L941" s="375">
        <f>$L$6</f>
        <v>2035</v>
      </c>
      <c r="M941" s="375"/>
      <c r="N941" s="375"/>
      <c r="O941" s="375"/>
    </row>
    <row r="942" spans="1:15" s="236" customFormat="1" x14ac:dyDescent="0.3">
      <c r="A942" s="254"/>
      <c r="B942" s="268" t="str">
        <f>$B$7</f>
        <v>FT</v>
      </c>
      <c r="C942" s="268" t="str">
        <f>$C$7</f>
        <v>PT</v>
      </c>
      <c r="D942" s="268" t="str">
        <f>$D$7</f>
        <v>SE</v>
      </c>
      <c r="E942" s="268" t="str">
        <f>$E$7</f>
        <v>Total</v>
      </c>
      <c r="F942" s="268"/>
      <c r="G942" s="268" t="str">
        <f>$G$7</f>
        <v>FT</v>
      </c>
      <c r="H942" s="268" t="str">
        <f>$H$7</f>
        <v>PT</v>
      </c>
      <c r="I942" s="268" t="str">
        <f>$I$7</f>
        <v>SE</v>
      </c>
      <c r="J942" s="268" t="str">
        <f>$J$7</f>
        <v>Total</v>
      </c>
      <c r="K942" s="268"/>
      <c r="L942" s="268" t="str">
        <f>$L$7</f>
        <v>FT</v>
      </c>
      <c r="M942" s="268" t="str">
        <f>$M$7</f>
        <v>PT</v>
      </c>
      <c r="N942" s="268" t="str">
        <f>$N$7</f>
        <v>SE</v>
      </c>
      <c r="O942" s="268" t="str">
        <f>$O$7</f>
        <v>Total</v>
      </c>
    </row>
    <row r="943" spans="1:15" s="236" customFormat="1" x14ac:dyDescent="0.3">
      <c r="A943" s="258"/>
      <c r="B943" s="239"/>
      <c r="C943" s="239"/>
      <c r="D943" s="239"/>
      <c r="E943" s="239"/>
      <c r="F943" s="239"/>
      <c r="G943" s="239"/>
      <c r="H943" s="239"/>
      <c r="I943" s="239"/>
      <c r="J943" s="239"/>
      <c r="K943" s="239"/>
      <c r="L943" s="239"/>
      <c r="M943" s="239"/>
      <c r="N943" s="239"/>
      <c r="O943" s="239"/>
    </row>
    <row r="944" spans="1:15" s="236" customFormat="1" x14ac:dyDescent="0.3">
      <c r="A944" s="237" t="str">
        <f>name!E$4</f>
        <v>Managers, directors and senior officials</v>
      </c>
      <c r="B944" s="302">
        <v>1.1466657221436249</v>
      </c>
      <c r="C944" s="302">
        <v>0.31034142212019467</v>
      </c>
      <c r="D944" s="302">
        <v>0.7396263141171725</v>
      </c>
      <c r="E944" s="302">
        <f>SUM(B944:D944)</f>
        <v>2.1966334583809921</v>
      </c>
      <c r="F944" s="303"/>
      <c r="G944" s="302">
        <v>1.0122221264573876</v>
      </c>
      <c r="H944" s="302">
        <v>0.45738283513817457</v>
      </c>
      <c r="I944" s="302">
        <v>0.47826308436607329</v>
      </c>
      <c r="J944" s="302">
        <f>SUM(G944:I944)</f>
        <v>1.9478680459616355</v>
      </c>
      <c r="K944" s="303"/>
      <c r="L944" s="302">
        <v>1.2562094630809522</v>
      </c>
      <c r="M944" s="302">
        <v>0.65703058907957568</v>
      </c>
      <c r="N944" s="302">
        <v>0.68167762811970234</v>
      </c>
      <c r="O944" s="302">
        <f>SUM(L944:N944)</f>
        <v>2.5949176802802301</v>
      </c>
    </row>
    <row r="945" spans="1:15" s="236" customFormat="1" x14ac:dyDescent="0.3">
      <c r="A945" s="237" t="str">
        <f>name!E$5</f>
        <v>Professional occupations</v>
      </c>
      <c r="B945" s="302">
        <v>3.0544128141763731</v>
      </c>
      <c r="C945" s="302">
        <v>0.55255409565618441</v>
      </c>
      <c r="D945" s="302">
        <v>1.6898111139982113</v>
      </c>
      <c r="E945" s="302">
        <f t="shared" ref="E945:E952" si="406">SUM(B945:D945)</f>
        <v>5.2967780238307691</v>
      </c>
      <c r="F945" s="303"/>
      <c r="G945" s="302">
        <v>3.1670704994914169</v>
      </c>
      <c r="H945" s="302">
        <v>0.77054640073632308</v>
      </c>
      <c r="I945" s="302">
        <v>0.94918567256004205</v>
      </c>
      <c r="J945" s="302">
        <f t="shared" ref="J945:J947" si="407">SUM(G945:I945)</f>
        <v>4.886802572787782</v>
      </c>
      <c r="K945" s="303"/>
      <c r="L945" s="302">
        <v>4.4072045513381255</v>
      </c>
      <c r="M945" s="302">
        <v>1.1161134996169575</v>
      </c>
      <c r="N945" s="302">
        <v>1.1705443632459522</v>
      </c>
      <c r="O945" s="302">
        <f t="shared" ref="O945:O952" si="408">SUM(L945:N945)</f>
        <v>6.6938624142010354</v>
      </c>
    </row>
    <row r="946" spans="1:15" s="236" customFormat="1" x14ac:dyDescent="0.3">
      <c r="A946" s="237" t="str">
        <f>name!E$6</f>
        <v>Associate professional occupations</v>
      </c>
      <c r="B946" s="302">
        <v>1.7722889985047259</v>
      </c>
      <c r="C946" s="302">
        <v>0.44509696580407693</v>
      </c>
      <c r="D946" s="302">
        <v>0.84358560298278873</v>
      </c>
      <c r="E946" s="302">
        <f t="shared" si="406"/>
        <v>3.0609715672915914</v>
      </c>
      <c r="F946" s="303"/>
      <c r="G946" s="302">
        <v>1.6114679786915214</v>
      </c>
      <c r="H946" s="302">
        <v>0.51969610784236375</v>
      </c>
      <c r="I946" s="302">
        <v>0.4382761142893874</v>
      </c>
      <c r="J946" s="302">
        <f t="shared" si="407"/>
        <v>2.5694402008232724</v>
      </c>
      <c r="K946" s="303"/>
      <c r="L946" s="302">
        <v>1.9201835274045771</v>
      </c>
      <c r="M946" s="302">
        <v>0.68026085651010471</v>
      </c>
      <c r="N946" s="302">
        <v>0.60772970268114346</v>
      </c>
      <c r="O946" s="302">
        <f t="shared" si="408"/>
        <v>3.2081740865958253</v>
      </c>
    </row>
    <row r="947" spans="1:15" s="236" customFormat="1" x14ac:dyDescent="0.3">
      <c r="A947" s="237" t="str">
        <f>name!E$7</f>
        <v>Administrative and secretarial occupations</v>
      </c>
      <c r="B947" s="302">
        <v>1.7603729969763169</v>
      </c>
      <c r="C947" s="302">
        <v>1.2503588595524362</v>
      </c>
      <c r="D947" s="302">
        <v>0.51568035999312622</v>
      </c>
      <c r="E947" s="302">
        <f t="shared" si="406"/>
        <v>3.5264122165218792</v>
      </c>
      <c r="F947" s="303"/>
      <c r="G947" s="302">
        <v>1.2445898036106857</v>
      </c>
      <c r="H947" s="302">
        <v>1.2403200577548492</v>
      </c>
      <c r="I947" s="302">
        <v>0.24265394351787395</v>
      </c>
      <c r="J947" s="302">
        <f t="shared" si="407"/>
        <v>2.7275638048834088</v>
      </c>
      <c r="K947" s="303"/>
      <c r="L947" s="302">
        <v>0.79545108938172582</v>
      </c>
      <c r="M947" s="302">
        <v>1.1188194017008832</v>
      </c>
      <c r="N947" s="302">
        <v>0.25377501222265592</v>
      </c>
      <c r="O947" s="302">
        <f t="shared" si="408"/>
        <v>2.1680455033052648</v>
      </c>
    </row>
    <row r="948" spans="1:15" s="236" customFormat="1" x14ac:dyDescent="0.3">
      <c r="A948" s="237" t="str">
        <f>name!E$8</f>
        <v>Skilled trades occupations</v>
      </c>
      <c r="B948" s="302">
        <v>0.20116236341126517</v>
      </c>
      <c r="C948" s="302">
        <v>6.5571356699298824E-2</v>
      </c>
      <c r="D948" s="302">
        <v>0.1048753505555956</v>
      </c>
      <c r="E948" s="302">
        <f t="shared" si="406"/>
        <v>0.37160907066615961</v>
      </c>
      <c r="F948" s="303"/>
      <c r="G948" s="302">
        <v>0.13698112668702522</v>
      </c>
      <c r="H948" s="302">
        <v>3.5834933567400772E-2</v>
      </c>
      <c r="I948" s="302">
        <v>5.6234161307418207E-2</v>
      </c>
      <c r="J948" s="302">
        <f>SUM(G948:I948)</f>
        <v>0.22905022156184421</v>
      </c>
      <c r="K948" s="303"/>
      <c r="L948" s="302">
        <v>0.17563553144193905</v>
      </c>
      <c r="M948" s="302">
        <v>6.7645927598941252E-2</v>
      </c>
      <c r="N948" s="302">
        <v>0.11243532970911221</v>
      </c>
      <c r="O948" s="302">
        <f t="shared" si="408"/>
        <v>0.35571678874999252</v>
      </c>
    </row>
    <row r="949" spans="1:15" s="236" customFormat="1" x14ac:dyDescent="0.3">
      <c r="A949" s="237" t="str">
        <f>name!E$9</f>
        <v>Caring, leisure and other service occupations</v>
      </c>
      <c r="B949" s="302">
        <v>3.2660885788709432E-2</v>
      </c>
      <c r="C949" s="302">
        <v>1.2915817701561937E-2</v>
      </c>
      <c r="D949" s="302">
        <v>5.0333842577816638E-2</v>
      </c>
      <c r="E949" s="302">
        <f t="shared" si="406"/>
        <v>9.5910546068088007E-2</v>
      </c>
      <c r="F949" s="303"/>
      <c r="G949" s="302">
        <v>2.2071777054520989E-2</v>
      </c>
      <c r="H949" s="302">
        <v>1.1372535548793593E-2</v>
      </c>
      <c r="I949" s="302">
        <v>2.8935747371066231E-2</v>
      </c>
      <c r="J949" s="302">
        <f t="shared" ref="J949:J952" si="409">SUM(G949:I949)</f>
        <v>6.2380059974380814E-2</v>
      </c>
      <c r="K949" s="303"/>
      <c r="L949" s="302">
        <v>2.7412079347332856E-2</v>
      </c>
      <c r="M949" s="302">
        <v>1.2032721125004364E-2</v>
      </c>
      <c r="N949" s="302">
        <v>6.7971677996307822E-2</v>
      </c>
      <c r="O949" s="302">
        <f t="shared" si="408"/>
        <v>0.10741647846864505</v>
      </c>
    </row>
    <row r="950" spans="1:15" s="236" customFormat="1" x14ac:dyDescent="0.3">
      <c r="A950" s="237" t="str">
        <f>name!E$10</f>
        <v>Sales and customer service occupations</v>
      </c>
      <c r="B950" s="302">
        <v>0.37477268408139375</v>
      </c>
      <c r="C950" s="302">
        <v>0.1965646348973292</v>
      </c>
      <c r="D950" s="302">
        <v>0.21056733039640504</v>
      </c>
      <c r="E950" s="302">
        <f t="shared" si="406"/>
        <v>0.78190464937512805</v>
      </c>
      <c r="F950" s="303"/>
      <c r="G950" s="302">
        <v>0.2585590432035666</v>
      </c>
      <c r="H950" s="302">
        <v>0.19184369991061612</v>
      </c>
      <c r="I950" s="302">
        <v>7.2006126305236534E-2</v>
      </c>
      <c r="J950" s="302">
        <f t="shared" si="409"/>
        <v>0.52240886941941922</v>
      </c>
      <c r="K950" s="303"/>
      <c r="L950" s="302">
        <v>0.28834127812910332</v>
      </c>
      <c r="M950" s="302">
        <v>0.24643959775022617</v>
      </c>
      <c r="N950" s="302">
        <v>7.8577817396536367E-2</v>
      </c>
      <c r="O950" s="302">
        <f t="shared" si="408"/>
        <v>0.6133586932758659</v>
      </c>
    </row>
    <row r="951" spans="1:15" s="236" customFormat="1" x14ac:dyDescent="0.3">
      <c r="A951" s="237" t="str">
        <f>name!E$11</f>
        <v>Process, plant and machine operatives</v>
      </c>
      <c r="B951" s="302">
        <v>7.0352187714264561E-2</v>
      </c>
      <c r="C951" s="302">
        <v>5.0489957038359408E-2</v>
      </c>
      <c r="D951" s="302">
        <v>2.7441833848319743E-2</v>
      </c>
      <c r="E951" s="302">
        <f t="shared" si="406"/>
        <v>0.14828397860094372</v>
      </c>
      <c r="F951" s="303"/>
      <c r="G951" s="302">
        <v>4.1933625297413686E-2</v>
      </c>
      <c r="H951" s="302">
        <v>3.8427261233042201E-2</v>
      </c>
      <c r="I951" s="302">
        <v>1.6614283760854762E-2</v>
      </c>
      <c r="J951" s="302">
        <f t="shared" si="409"/>
        <v>9.6975170291310656E-2</v>
      </c>
      <c r="K951" s="303"/>
      <c r="L951" s="302">
        <v>4.7559245050500534E-2</v>
      </c>
      <c r="M951" s="302">
        <v>6.7557029402734253E-2</v>
      </c>
      <c r="N951" s="302">
        <v>2.7244062019508946E-2</v>
      </c>
      <c r="O951" s="302">
        <f t="shared" si="408"/>
        <v>0.14236033647274374</v>
      </c>
    </row>
    <row r="952" spans="1:15" s="236" customFormat="1" x14ac:dyDescent="0.3">
      <c r="A952" s="237" t="str">
        <f>name!E$12</f>
        <v>Elementary occupations</v>
      </c>
      <c r="B952" s="302">
        <v>0.16231134703132968</v>
      </c>
      <c r="C952" s="302">
        <v>9.8106890508946609E-2</v>
      </c>
      <c r="D952" s="302">
        <v>1.9078251546520136E-2</v>
      </c>
      <c r="E952" s="302">
        <f t="shared" si="406"/>
        <v>0.27949648908679642</v>
      </c>
      <c r="F952" s="303"/>
      <c r="G952" s="302">
        <v>0.1051040194838444</v>
      </c>
      <c r="H952" s="302">
        <v>7.5576168287087506E-2</v>
      </c>
      <c r="I952" s="302">
        <v>7.8308665354721047E-3</v>
      </c>
      <c r="J952" s="302">
        <f t="shared" si="409"/>
        <v>0.18851105430640402</v>
      </c>
      <c r="K952" s="303"/>
      <c r="L952" s="302">
        <v>0.10900323480163143</v>
      </c>
      <c r="M952" s="302">
        <v>6.7100377242258091E-2</v>
      </c>
      <c r="N952" s="302">
        <v>1.2044406656489443E-2</v>
      </c>
      <c r="O952" s="302">
        <f t="shared" si="408"/>
        <v>0.18814801870037898</v>
      </c>
    </row>
    <row r="953" spans="1:15" s="236" customFormat="1" x14ac:dyDescent="0.3">
      <c r="A953" s="237"/>
      <c r="B953" s="302"/>
      <c r="C953" s="302"/>
      <c r="D953" s="302"/>
      <c r="E953" s="302"/>
      <c r="F953" s="303"/>
      <c r="G953" s="302"/>
      <c r="H953" s="302"/>
      <c r="I953" s="302"/>
      <c r="J953" s="302"/>
      <c r="K953" s="303"/>
      <c r="L953" s="302"/>
      <c r="M953" s="302"/>
      <c r="N953" s="302"/>
      <c r="O953" s="302"/>
    </row>
    <row r="954" spans="1:15" s="236" customFormat="1" x14ac:dyDescent="0.3">
      <c r="A954" s="244" t="s">
        <v>32</v>
      </c>
      <c r="B954" s="311">
        <f>SUM(B944:B952)</f>
        <v>8.5749999998280035</v>
      </c>
      <c r="C954" s="311">
        <f t="shared" ref="C954:E954" si="410">SUM(C944:C952)</f>
        <v>2.9819999999783882</v>
      </c>
      <c r="D954" s="311">
        <f t="shared" si="410"/>
        <v>4.2010000000159549</v>
      </c>
      <c r="E954" s="311">
        <f t="shared" si="410"/>
        <v>15.757999999822347</v>
      </c>
      <c r="F954" s="311"/>
      <c r="G954" s="311">
        <f t="shared" ref="G954:J954" si="411">SUM(G944:G952)</f>
        <v>7.5999999999773831</v>
      </c>
      <c r="H954" s="311">
        <f t="shared" si="411"/>
        <v>3.3410000000186511</v>
      </c>
      <c r="I954" s="311">
        <f t="shared" si="411"/>
        <v>2.2900000000134244</v>
      </c>
      <c r="J954" s="311">
        <f t="shared" si="411"/>
        <v>13.231000000009457</v>
      </c>
      <c r="K954" s="311"/>
      <c r="L954" s="311">
        <f t="shared" ref="L954:O954" si="412">SUM(L944:L952)</f>
        <v>9.026999999975887</v>
      </c>
      <c r="M954" s="311">
        <f t="shared" si="412"/>
        <v>4.0330000000266848</v>
      </c>
      <c r="N954" s="311">
        <f t="shared" si="412"/>
        <v>3.0120000000474088</v>
      </c>
      <c r="O954" s="311">
        <f t="shared" si="412"/>
        <v>16.072000000049982</v>
      </c>
    </row>
    <row r="955" spans="1:15" s="236" customFormat="1" x14ac:dyDescent="0.3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37"/>
      <c r="M955" s="237"/>
      <c r="N955" s="240"/>
    </row>
    <row r="956" spans="1:15" s="236" customFormat="1" x14ac:dyDescent="0.3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40"/>
      <c r="O956" s="251" t="s">
        <v>35</v>
      </c>
    </row>
    <row r="957" spans="1:15" s="236" customFormat="1" x14ac:dyDescent="0.3">
      <c r="A957" s="242"/>
      <c r="B957" s="242"/>
      <c r="C957" s="242"/>
      <c r="D957" s="242"/>
      <c r="E957" s="242"/>
      <c r="F957" s="242"/>
      <c r="G957" s="242"/>
      <c r="H957" s="242"/>
      <c r="I957" s="242"/>
      <c r="J957" s="242"/>
      <c r="K957" s="242"/>
      <c r="L957" s="242"/>
      <c r="M957" s="242"/>
      <c r="N957" s="242"/>
      <c r="O957" s="242"/>
    </row>
    <row r="958" spans="1:15" s="236" customFormat="1" x14ac:dyDescent="0.3">
      <c r="A958" s="241" t="str">
        <f>name!A59</f>
        <v>Other professional</v>
      </c>
      <c r="B958" s="375">
        <f>$B$6</f>
        <v>2015</v>
      </c>
      <c r="C958" s="375"/>
      <c r="D958" s="375"/>
      <c r="E958" s="375"/>
      <c r="F958" s="263"/>
      <c r="G958" s="375">
        <f>$G$6</f>
        <v>2020</v>
      </c>
      <c r="H958" s="375"/>
      <c r="I958" s="375"/>
      <c r="J958" s="375"/>
      <c r="K958" s="263"/>
      <c r="L958" s="375">
        <f>$L$6</f>
        <v>2035</v>
      </c>
      <c r="M958" s="375"/>
      <c r="N958" s="375"/>
      <c r="O958" s="375"/>
    </row>
    <row r="959" spans="1:15" s="236" customFormat="1" x14ac:dyDescent="0.3">
      <c r="A959" s="254"/>
      <c r="B959" s="268" t="str">
        <f>$B$7</f>
        <v>FT</v>
      </c>
      <c r="C959" s="268" t="str">
        <f>$C$7</f>
        <v>PT</v>
      </c>
      <c r="D959" s="268" t="str">
        <f>$D$7</f>
        <v>SE</v>
      </c>
      <c r="E959" s="268" t="str">
        <f>$E$7</f>
        <v>Total</v>
      </c>
      <c r="F959" s="268"/>
      <c r="G959" s="268" t="str">
        <f>$G$7</f>
        <v>FT</v>
      </c>
      <c r="H959" s="268" t="str">
        <f>$H$7</f>
        <v>PT</v>
      </c>
      <c r="I959" s="268" t="str">
        <f>$I$7</f>
        <v>SE</v>
      </c>
      <c r="J959" s="268" t="str">
        <f>$J$7</f>
        <v>Total</v>
      </c>
      <c r="K959" s="268"/>
      <c r="L959" s="268" t="str">
        <f>$L$7</f>
        <v>FT</v>
      </c>
      <c r="M959" s="268" t="str">
        <f>$M$7</f>
        <v>PT</v>
      </c>
      <c r="N959" s="268" t="str">
        <f>$N$7</f>
        <v>SE</v>
      </c>
      <c r="O959" s="268" t="str">
        <f>$O$7</f>
        <v>Total</v>
      </c>
    </row>
    <row r="960" spans="1:15" s="236" customFormat="1" x14ac:dyDescent="0.3">
      <c r="A960" s="258"/>
      <c r="B960" s="239"/>
      <c r="C960" s="239"/>
      <c r="D960" s="239"/>
      <c r="E960" s="239"/>
      <c r="F960" s="239"/>
      <c r="G960" s="239"/>
      <c r="H960" s="239"/>
      <c r="I960" s="239"/>
      <c r="J960" s="239"/>
      <c r="K960" s="239"/>
      <c r="L960" s="239"/>
      <c r="M960" s="239"/>
      <c r="N960" s="239"/>
      <c r="O960" s="239"/>
    </row>
    <row r="961" spans="1:15" s="236" customFormat="1" x14ac:dyDescent="0.3">
      <c r="A961" s="237" t="str">
        <f>name!E$4</f>
        <v>Managers, directors and senior officials</v>
      </c>
      <c r="B961" s="302">
        <v>1.7203231062978506</v>
      </c>
      <c r="C961" s="302">
        <v>0.34394791146781589</v>
      </c>
      <c r="D961" s="302">
        <v>1.1291738309158461</v>
      </c>
      <c r="E961" s="302">
        <f>SUM(B961:D961)</f>
        <v>3.1934448486815126</v>
      </c>
      <c r="F961" s="303"/>
      <c r="G961" s="302">
        <v>2.4876374832700101</v>
      </c>
      <c r="H961" s="302">
        <v>0.66639107740401138</v>
      </c>
      <c r="I961" s="302">
        <v>1.1004750311133671</v>
      </c>
      <c r="J961" s="302">
        <f>SUM(G961:I961)</f>
        <v>4.2545035917873886</v>
      </c>
      <c r="K961" s="303"/>
      <c r="L961" s="302">
        <v>3.1227804794593803</v>
      </c>
      <c r="M961" s="302">
        <v>0.98729192829803314</v>
      </c>
      <c r="N961" s="302">
        <v>1.5639241184636876</v>
      </c>
      <c r="O961" s="302">
        <f>SUM(L961:N961)</f>
        <v>5.6739965262211012</v>
      </c>
    </row>
    <row r="962" spans="1:15" s="236" customFormat="1" x14ac:dyDescent="0.3">
      <c r="A962" s="237" t="str">
        <f>name!E$5</f>
        <v>Professional occupations</v>
      </c>
      <c r="B962" s="302">
        <v>3.5437920903976519</v>
      </c>
      <c r="C962" s="302">
        <v>0.56536022457275092</v>
      </c>
      <c r="D962" s="302">
        <v>2.7814048307607897</v>
      </c>
      <c r="E962" s="302">
        <f t="shared" ref="E962:E969" si="413">SUM(B962:D962)</f>
        <v>6.8905571457311918</v>
      </c>
      <c r="F962" s="303"/>
      <c r="G962" s="302">
        <v>6.0245472484207916</v>
      </c>
      <c r="H962" s="302">
        <v>1.0823326739976278</v>
      </c>
      <c r="I962" s="302">
        <v>2.4208248287496366</v>
      </c>
      <c r="J962" s="302">
        <f t="shared" ref="J962:J964" si="414">SUM(G962:I962)</f>
        <v>9.5277047511680557</v>
      </c>
      <c r="K962" s="303"/>
      <c r="L962" s="302">
        <v>8.434230943884323</v>
      </c>
      <c r="M962" s="302">
        <v>1.7602758469980235</v>
      </c>
      <c r="N962" s="302">
        <v>2.9756921046376275</v>
      </c>
      <c r="O962" s="302">
        <f t="shared" ref="O962:O969" si="415">SUM(L962:N962)</f>
        <v>13.170198895519974</v>
      </c>
    </row>
    <row r="963" spans="1:15" s="236" customFormat="1" x14ac:dyDescent="0.3">
      <c r="A963" s="237" t="str">
        <f>name!E$6</f>
        <v>Associate professional occupations</v>
      </c>
      <c r="B963" s="302">
        <v>2.591135716013985</v>
      </c>
      <c r="C963" s="302">
        <v>0.55651887582209181</v>
      </c>
      <c r="D963" s="302">
        <v>1.6543962804326775</v>
      </c>
      <c r="E963" s="302">
        <f t="shared" si="413"/>
        <v>4.8020508722687545</v>
      </c>
      <c r="F963" s="303"/>
      <c r="G963" s="302">
        <v>3.870778972896487</v>
      </c>
      <c r="H963" s="302">
        <v>0.85272219172526054</v>
      </c>
      <c r="I963" s="302">
        <v>1.3430893674438971</v>
      </c>
      <c r="J963" s="302">
        <f t="shared" si="414"/>
        <v>6.0665905320656446</v>
      </c>
      <c r="K963" s="303"/>
      <c r="L963" s="302">
        <v>4.6422581760918087</v>
      </c>
      <c r="M963" s="302">
        <v>1.213828698367543</v>
      </c>
      <c r="N963" s="302">
        <v>1.7001471866237448</v>
      </c>
      <c r="O963" s="302">
        <f t="shared" si="415"/>
        <v>7.5562340610830958</v>
      </c>
    </row>
    <row r="964" spans="1:15" s="236" customFormat="1" x14ac:dyDescent="0.3">
      <c r="A964" s="237" t="str">
        <f>name!E$7</f>
        <v>Administrative and secretarial occupations</v>
      </c>
      <c r="B964" s="302">
        <v>2.4608372970954004</v>
      </c>
      <c r="C964" s="302">
        <v>1.5102979411645703</v>
      </c>
      <c r="D964" s="302">
        <v>0.68908065482428749</v>
      </c>
      <c r="E964" s="302">
        <f t="shared" si="413"/>
        <v>4.6602158930842581</v>
      </c>
      <c r="F964" s="303"/>
      <c r="G964" s="302">
        <v>2.9134373851287294</v>
      </c>
      <c r="H964" s="302">
        <v>2.0185847707063953</v>
      </c>
      <c r="I964" s="302">
        <v>0.4902552640403956</v>
      </c>
      <c r="J964" s="302">
        <f t="shared" si="414"/>
        <v>5.4222774198755195</v>
      </c>
      <c r="K964" s="303"/>
      <c r="L964" s="302">
        <v>2.0699588710812971</v>
      </c>
      <c r="M964" s="302">
        <v>2.5716080808683079</v>
      </c>
      <c r="N964" s="302">
        <v>0.57136387301037839</v>
      </c>
      <c r="O964" s="302">
        <f t="shared" si="415"/>
        <v>5.2129308249599831</v>
      </c>
    </row>
    <row r="965" spans="1:15" s="236" customFormat="1" x14ac:dyDescent="0.3">
      <c r="A965" s="237" t="str">
        <f>name!E$8</f>
        <v>Skilled trades occupations</v>
      </c>
      <c r="B965" s="302">
        <v>0.36147217355420547</v>
      </c>
      <c r="C965" s="302">
        <v>9.0346924259246536E-2</v>
      </c>
      <c r="D965" s="302">
        <v>0.30903619716078018</v>
      </c>
      <c r="E965" s="302">
        <f t="shared" si="413"/>
        <v>0.76085529497423221</v>
      </c>
      <c r="F965" s="303"/>
      <c r="G965" s="302">
        <v>0.40138587435757428</v>
      </c>
      <c r="H965" s="302">
        <v>7.2917623019542716E-2</v>
      </c>
      <c r="I965" s="302">
        <v>0.22314829233078842</v>
      </c>
      <c r="J965" s="302">
        <f>SUM(G965:I965)</f>
        <v>0.69745178970790533</v>
      </c>
      <c r="K965" s="303"/>
      <c r="L965" s="302">
        <v>0.47182691170440577</v>
      </c>
      <c r="M965" s="302">
        <v>0.13373153973641139</v>
      </c>
      <c r="N965" s="302">
        <v>0.32230537611129478</v>
      </c>
      <c r="O965" s="302">
        <f t="shared" si="415"/>
        <v>0.92786382755211205</v>
      </c>
    </row>
    <row r="966" spans="1:15" s="236" customFormat="1" x14ac:dyDescent="0.3">
      <c r="A966" s="237" t="str">
        <f>name!E$9</f>
        <v>Caring, leisure and other service occupations</v>
      </c>
      <c r="B966" s="302">
        <v>0.49794835822939337</v>
      </c>
      <c r="C966" s="302">
        <v>0.29085797552677173</v>
      </c>
      <c r="D966" s="302">
        <v>0.31939458669457121</v>
      </c>
      <c r="E966" s="302">
        <f t="shared" si="413"/>
        <v>1.1082009204507361</v>
      </c>
      <c r="F966" s="303"/>
      <c r="G966" s="302">
        <v>0.59396876685789657</v>
      </c>
      <c r="H966" s="302">
        <v>0.32170777077532081</v>
      </c>
      <c r="I966" s="302">
        <v>0.26815136151511637</v>
      </c>
      <c r="J966" s="302">
        <f t="shared" ref="J966:J969" si="416">SUM(G966:I966)</f>
        <v>1.1838278991483338</v>
      </c>
      <c r="K966" s="303"/>
      <c r="L966" s="302">
        <v>0.77094027188289338</v>
      </c>
      <c r="M966" s="302">
        <v>0.27414013436607076</v>
      </c>
      <c r="N966" s="302">
        <v>0.5215435905214969</v>
      </c>
      <c r="O966" s="302">
        <f t="shared" si="415"/>
        <v>1.5666239967704612</v>
      </c>
    </row>
    <row r="967" spans="1:15" s="236" customFormat="1" x14ac:dyDescent="0.3">
      <c r="A967" s="237" t="str">
        <f>name!E$10</f>
        <v>Sales and customer service occupations</v>
      </c>
      <c r="B967" s="302">
        <v>0.76145078139120304</v>
      </c>
      <c r="C967" s="302">
        <v>0.32730769072149785</v>
      </c>
      <c r="D967" s="302">
        <v>0.29483753787856232</v>
      </c>
      <c r="E967" s="302">
        <f t="shared" si="413"/>
        <v>1.3835960099912632</v>
      </c>
      <c r="F967" s="303"/>
      <c r="G967" s="302">
        <v>0.9039290278951998</v>
      </c>
      <c r="H967" s="302">
        <v>0.43821550208898835</v>
      </c>
      <c r="I967" s="302">
        <v>0.16226029934516148</v>
      </c>
      <c r="J967" s="302">
        <f t="shared" si="416"/>
        <v>1.5044048293293495</v>
      </c>
      <c r="K967" s="303"/>
      <c r="L967" s="302">
        <v>1.1296205958506598</v>
      </c>
      <c r="M967" s="302">
        <v>0.63140414405940803</v>
      </c>
      <c r="N967" s="302">
        <v>0.17276946762974421</v>
      </c>
      <c r="O967" s="302">
        <f t="shared" si="415"/>
        <v>1.933794207539812</v>
      </c>
    </row>
    <row r="968" spans="1:15" s="236" customFormat="1" x14ac:dyDescent="0.3">
      <c r="A968" s="237" t="str">
        <f>name!E$11</f>
        <v>Process, plant and machine operatives</v>
      </c>
      <c r="B968" s="302">
        <v>0.25190414922397142</v>
      </c>
      <c r="C968" s="302">
        <v>0.13133921413708208</v>
      </c>
      <c r="D968" s="302">
        <v>6.2481968256233644E-2</v>
      </c>
      <c r="E968" s="302">
        <f t="shared" si="413"/>
        <v>0.44572533161728711</v>
      </c>
      <c r="F968" s="303"/>
      <c r="G968" s="302">
        <v>0.25994086276660638</v>
      </c>
      <c r="H968" s="302">
        <v>0.13677092078693354</v>
      </c>
      <c r="I968" s="302">
        <v>5.6637089874258709E-2</v>
      </c>
      <c r="J968" s="302">
        <f t="shared" si="416"/>
        <v>0.45334887342779862</v>
      </c>
      <c r="K968" s="303"/>
      <c r="L968" s="302">
        <v>0.28061520617542124</v>
      </c>
      <c r="M968" s="302">
        <v>0.20301110148890439</v>
      </c>
      <c r="N968" s="302">
        <v>8.2346150042353822E-2</v>
      </c>
      <c r="O968" s="302">
        <f t="shared" si="415"/>
        <v>0.56597245770667948</v>
      </c>
    </row>
    <row r="969" spans="1:15" s="236" customFormat="1" x14ac:dyDescent="0.3">
      <c r="A969" s="237" t="str">
        <f>name!E$12</f>
        <v>Elementary occupations</v>
      </c>
      <c r="B969" s="302">
        <v>1.3991363275927053</v>
      </c>
      <c r="C969" s="302">
        <v>2.2520232423853925</v>
      </c>
      <c r="D969" s="302">
        <v>0.39419411313313973</v>
      </c>
      <c r="E969" s="302">
        <f t="shared" si="413"/>
        <v>4.0453536831112373</v>
      </c>
      <c r="F969" s="303"/>
      <c r="G969" s="302">
        <v>1.581374378342854</v>
      </c>
      <c r="H969" s="302">
        <v>2.1593574695145961</v>
      </c>
      <c r="I969" s="302">
        <v>0.25315846562559163</v>
      </c>
      <c r="J969" s="302">
        <f t="shared" si="416"/>
        <v>3.9938903134830417</v>
      </c>
      <c r="K969" s="303"/>
      <c r="L969" s="302">
        <v>1.6527685438108575</v>
      </c>
      <c r="M969" s="302">
        <v>1.6227085258707743</v>
      </c>
      <c r="N969" s="302">
        <v>0.27690813309249868</v>
      </c>
      <c r="O969" s="302">
        <f t="shared" si="415"/>
        <v>3.5523852027741301</v>
      </c>
    </row>
    <row r="970" spans="1:15" s="236" customFormat="1" x14ac:dyDescent="0.3">
      <c r="A970" s="237"/>
      <c r="B970" s="302"/>
      <c r="C970" s="302"/>
      <c r="D970" s="302"/>
      <c r="E970" s="302"/>
      <c r="F970" s="303"/>
      <c r="G970" s="302"/>
      <c r="H970" s="302"/>
      <c r="I970" s="302"/>
      <c r="J970" s="302"/>
      <c r="K970" s="303"/>
      <c r="L970" s="302"/>
      <c r="M970" s="302"/>
      <c r="N970" s="302"/>
      <c r="O970" s="302"/>
    </row>
    <row r="971" spans="1:15" s="236" customFormat="1" x14ac:dyDescent="0.3">
      <c r="A971" s="244" t="s">
        <v>32</v>
      </c>
      <c r="B971" s="311">
        <f>SUM(B961:B969)</f>
        <v>13.587999999796367</v>
      </c>
      <c r="C971" s="311">
        <f t="shared" ref="C971:E971" si="417">SUM(C961:C969)</f>
        <v>6.0680000000572196</v>
      </c>
      <c r="D971" s="311">
        <f t="shared" si="417"/>
        <v>7.6340000000568882</v>
      </c>
      <c r="E971" s="311">
        <f t="shared" si="417"/>
        <v>27.289999999910471</v>
      </c>
      <c r="F971" s="311"/>
      <c r="G971" s="311">
        <f t="shared" ref="G971:J971" si="418">SUM(G961:G969)</f>
        <v>19.036999999936146</v>
      </c>
      <c r="H971" s="311">
        <f t="shared" si="418"/>
        <v>7.7490000000186763</v>
      </c>
      <c r="I971" s="311">
        <f t="shared" si="418"/>
        <v>6.3180000000382126</v>
      </c>
      <c r="J971" s="311">
        <f t="shared" si="418"/>
        <v>33.103999999993036</v>
      </c>
      <c r="K971" s="311"/>
      <c r="L971" s="311">
        <f t="shared" ref="L971:O971" si="419">SUM(L961:L969)</f>
        <v>22.574999999941046</v>
      </c>
      <c r="M971" s="311">
        <f t="shared" si="419"/>
        <v>9.3980000000534751</v>
      </c>
      <c r="N971" s="311">
        <f t="shared" si="419"/>
        <v>8.1870000001328265</v>
      </c>
      <c r="O971" s="311">
        <f t="shared" si="419"/>
        <v>40.160000000127347</v>
      </c>
    </row>
    <row r="972" spans="1:15" s="236" customFormat="1" x14ac:dyDescent="0.3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37"/>
      <c r="M972" s="237"/>
      <c r="N972" s="240"/>
    </row>
    <row r="973" spans="1:15" s="236" customFormat="1" x14ac:dyDescent="0.3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37"/>
      <c r="M973" s="237"/>
      <c r="N973" s="240"/>
      <c r="O973" s="251" t="s">
        <v>35</v>
      </c>
    </row>
    <row r="974" spans="1:15" s="236" customFormat="1" x14ac:dyDescent="0.3">
      <c r="A974" s="242"/>
      <c r="B974" s="242"/>
      <c r="C974" s="242"/>
      <c r="D974" s="242"/>
      <c r="E974" s="242"/>
      <c r="F974" s="242"/>
      <c r="G974" s="242"/>
      <c r="H974" s="242"/>
      <c r="I974" s="242"/>
      <c r="J974" s="242"/>
      <c r="K974" s="242"/>
      <c r="L974" s="242"/>
      <c r="M974" s="242"/>
      <c r="N974" s="242"/>
      <c r="O974" s="242"/>
    </row>
    <row r="975" spans="1:15" s="236" customFormat="1" x14ac:dyDescent="0.3">
      <c r="A975" s="241" t="str">
        <f>name!A60</f>
        <v>Veterinary</v>
      </c>
      <c r="B975" s="375">
        <f>$B$6</f>
        <v>2015</v>
      </c>
      <c r="C975" s="375"/>
      <c r="D975" s="375"/>
      <c r="E975" s="375"/>
      <c r="F975" s="263"/>
      <c r="G975" s="375">
        <f>$G$6</f>
        <v>2020</v>
      </c>
      <c r="H975" s="375"/>
      <c r="I975" s="375"/>
      <c r="J975" s="375"/>
      <c r="K975" s="263"/>
      <c r="L975" s="375">
        <f>$L$6</f>
        <v>2035</v>
      </c>
      <c r="M975" s="375"/>
      <c r="N975" s="375"/>
      <c r="O975" s="375"/>
    </row>
    <row r="976" spans="1:15" s="236" customFormat="1" x14ac:dyDescent="0.3">
      <c r="A976" s="254"/>
      <c r="B976" s="268" t="str">
        <f>$B$7</f>
        <v>FT</v>
      </c>
      <c r="C976" s="268" t="str">
        <f>$C$7</f>
        <v>PT</v>
      </c>
      <c r="D976" s="268" t="str">
        <f>$D$7</f>
        <v>SE</v>
      </c>
      <c r="E976" s="268" t="str">
        <f>$E$7</f>
        <v>Total</v>
      </c>
      <c r="F976" s="268"/>
      <c r="G976" s="268" t="str">
        <f>$G$7</f>
        <v>FT</v>
      </c>
      <c r="H976" s="268" t="str">
        <f>$H$7</f>
        <v>PT</v>
      </c>
      <c r="I976" s="268" t="str">
        <f>$I$7</f>
        <v>SE</v>
      </c>
      <c r="J976" s="268" t="str">
        <f>$J$7</f>
        <v>Total</v>
      </c>
      <c r="K976" s="268"/>
      <c r="L976" s="268" t="str">
        <f>$L$7</f>
        <v>FT</v>
      </c>
      <c r="M976" s="268" t="str">
        <f>$M$7</f>
        <v>PT</v>
      </c>
      <c r="N976" s="268" t="str">
        <f>$N$7</f>
        <v>SE</v>
      </c>
      <c r="O976" s="268" t="str">
        <f>$O$7</f>
        <v>Total</v>
      </c>
    </row>
    <row r="977" spans="1:15" s="236" customFormat="1" x14ac:dyDescent="0.3">
      <c r="A977" s="258"/>
      <c r="B977" s="239"/>
      <c r="C977" s="239"/>
      <c r="D977" s="239"/>
      <c r="E977" s="239"/>
      <c r="F977" s="239"/>
      <c r="G977" s="239"/>
      <c r="H977" s="239"/>
      <c r="I977" s="239"/>
      <c r="J977" s="239"/>
      <c r="K977" s="239"/>
      <c r="L977" s="239"/>
      <c r="M977" s="239"/>
      <c r="N977" s="239"/>
      <c r="O977" s="239"/>
    </row>
    <row r="978" spans="1:15" s="236" customFormat="1" x14ac:dyDescent="0.3">
      <c r="A978" s="237" t="str">
        <f>name!E$4</f>
        <v>Managers, directors and senior officials</v>
      </c>
      <c r="B978" s="302">
        <v>0.39081969187255594</v>
      </c>
      <c r="C978" s="302">
        <v>4.3871039679199419E-2</v>
      </c>
      <c r="D978" s="302">
        <v>0.15367594290464404</v>
      </c>
      <c r="E978" s="302">
        <f>SUM(B978:D978)</f>
        <v>0.58836667445639934</v>
      </c>
      <c r="F978" s="303"/>
      <c r="G978" s="302">
        <v>0.56419938800473701</v>
      </c>
      <c r="H978" s="302">
        <v>0.11360974054552513</v>
      </c>
      <c r="I978" s="302">
        <v>0.15824144170182872</v>
      </c>
      <c r="J978" s="302">
        <f>SUM(G978:I978)</f>
        <v>0.83605057025209084</v>
      </c>
      <c r="K978" s="303"/>
      <c r="L978" s="302">
        <v>0.64221925508869138</v>
      </c>
      <c r="M978" s="302">
        <v>0.14334224693416237</v>
      </c>
      <c r="N978" s="302">
        <v>0.22694642032036977</v>
      </c>
      <c r="O978" s="302">
        <f>SUM(L978:N978)</f>
        <v>1.0125079223432234</v>
      </c>
    </row>
    <row r="979" spans="1:15" s="236" customFormat="1" x14ac:dyDescent="0.3">
      <c r="A979" s="237" t="str">
        <f>name!E$5</f>
        <v>Professional occupations</v>
      </c>
      <c r="B979" s="302">
        <v>1.8360853305560751</v>
      </c>
      <c r="C979" s="302">
        <v>0.30073602016145112</v>
      </c>
      <c r="D979" s="302">
        <v>0.79050822127184017</v>
      </c>
      <c r="E979" s="302">
        <f t="shared" ref="E979:E986" si="420">SUM(B979:D979)</f>
        <v>2.9273295719893664</v>
      </c>
      <c r="F979" s="303"/>
      <c r="G979" s="302">
        <v>2.8853172501408411</v>
      </c>
      <c r="H979" s="302">
        <v>0.78470982790860588</v>
      </c>
      <c r="I979" s="302">
        <v>0.84146988338610151</v>
      </c>
      <c r="J979" s="302">
        <f t="shared" ref="J979:J981" si="421">SUM(G979:I979)</f>
        <v>4.5114969614355482</v>
      </c>
      <c r="K979" s="303"/>
      <c r="L979" s="302">
        <v>3.5409541013072938</v>
      </c>
      <c r="M979" s="302">
        <v>1.0669519371514813</v>
      </c>
      <c r="N979" s="302">
        <v>1.1219845979248049</v>
      </c>
      <c r="O979" s="302">
        <f t="shared" ref="O979:O986" si="422">SUM(L979:N979)</f>
        <v>5.7298906363835806</v>
      </c>
    </row>
    <row r="980" spans="1:15" s="236" customFormat="1" x14ac:dyDescent="0.3">
      <c r="A980" s="237" t="str">
        <f>name!E$6</f>
        <v>Associate professional occupations</v>
      </c>
      <c r="B980" s="302">
        <v>0.7500386197523935</v>
      </c>
      <c r="C980" s="302">
        <v>0.1769942409126499</v>
      </c>
      <c r="D980" s="302">
        <v>0.38698528040462088</v>
      </c>
      <c r="E980" s="302">
        <f t="shared" si="420"/>
        <v>1.3140181410696643</v>
      </c>
      <c r="F980" s="303"/>
      <c r="G980" s="302">
        <v>1.1057549174612984</v>
      </c>
      <c r="H980" s="302">
        <v>0.43493091059632233</v>
      </c>
      <c r="I980" s="302">
        <v>0.29747046795944143</v>
      </c>
      <c r="J980" s="302">
        <f t="shared" si="421"/>
        <v>1.8381562960170621</v>
      </c>
      <c r="K980" s="303"/>
      <c r="L980" s="302">
        <v>1.2902372012357393</v>
      </c>
      <c r="M980" s="302">
        <v>0.53044499538713186</v>
      </c>
      <c r="N980" s="302">
        <v>0.41216862030312723</v>
      </c>
      <c r="O980" s="302">
        <f t="shared" si="422"/>
        <v>2.2328508169259984</v>
      </c>
    </row>
    <row r="981" spans="1:15" s="236" customFormat="1" x14ac:dyDescent="0.3">
      <c r="A981" s="237" t="str">
        <f>name!E$7</f>
        <v>Administrative and secretarial occupations</v>
      </c>
      <c r="B981" s="302">
        <v>0.54767864131352217</v>
      </c>
      <c r="C981" s="302">
        <v>0.26409456168662571</v>
      </c>
      <c r="D981" s="302">
        <v>0.11298029074227656</v>
      </c>
      <c r="E981" s="302">
        <f t="shared" si="420"/>
        <v>0.92475349374242444</v>
      </c>
      <c r="F981" s="303"/>
      <c r="G981" s="302">
        <v>0.65722276179383587</v>
      </c>
      <c r="H981" s="302">
        <v>0.5130791073453318</v>
      </c>
      <c r="I981" s="302">
        <v>6.3263721654801805E-2</v>
      </c>
      <c r="J981" s="302">
        <f t="shared" si="421"/>
        <v>1.2335655907939693</v>
      </c>
      <c r="K981" s="303"/>
      <c r="L981" s="302">
        <v>0.53950645989731105</v>
      </c>
      <c r="M981" s="302">
        <v>0.3331445256408358</v>
      </c>
      <c r="N981" s="302">
        <v>4.0610877773158319E-2</v>
      </c>
      <c r="O981" s="302">
        <f t="shared" si="422"/>
        <v>0.9132618633113051</v>
      </c>
    </row>
    <row r="982" spans="1:15" s="236" customFormat="1" x14ac:dyDescent="0.3">
      <c r="A982" s="237" t="str">
        <f>name!E$8</f>
        <v>Skilled trades occupations</v>
      </c>
      <c r="B982" s="302">
        <v>9.0736492346510988E-2</v>
      </c>
      <c r="C982" s="302">
        <v>3.2401982341755224E-2</v>
      </c>
      <c r="D982" s="302">
        <v>4.5553956606823272E-2</v>
      </c>
      <c r="E982" s="302">
        <f t="shared" si="420"/>
        <v>0.16869243129508948</v>
      </c>
      <c r="F982" s="303"/>
      <c r="G982" s="302">
        <v>8.9858945262571835E-2</v>
      </c>
      <c r="H982" s="302">
        <v>4.2177831182948829E-2</v>
      </c>
      <c r="I982" s="302">
        <v>4.3964556382327047E-2</v>
      </c>
      <c r="J982" s="302">
        <f>SUM(G982:I982)</f>
        <v>0.17600133282784772</v>
      </c>
      <c r="K982" s="303"/>
      <c r="L982" s="302">
        <v>4.8848978143910073E-2</v>
      </c>
      <c r="M982" s="302">
        <v>2.7983282666818522E-2</v>
      </c>
      <c r="N982" s="302">
        <v>6.7856409192549275E-2</v>
      </c>
      <c r="O982" s="302">
        <f t="shared" si="422"/>
        <v>0.14468867000327787</v>
      </c>
    </row>
    <row r="983" spans="1:15" s="236" customFormat="1" x14ac:dyDescent="0.3">
      <c r="A983" s="237" t="str">
        <f>name!E$9</f>
        <v>Caring, leisure and other service occupations</v>
      </c>
      <c r="B983" s="302">
        <v>1.9926667475267033</v>
      </c>
      <c r="C983" s="302">
        <v>0.62001848154277905</v>
      </c>
      <c r="D983" s="302">
        <v>1.0381879761976069</v>
      </c>
      <c r="E983" s="302">
        <f t="shared" si="420"/>
        <v>3.6508732052670894</v>
      </c>
      <c r="F983" s="303"/>
      <c r="G983" s="302">
        <v>2.5403788693654064</v>
      </c>
      <c r="H983" s="302">
        <v>1.3476736524758732</v>
      </c>
      <c r="I983" s="302">
        <v>0.8732671230416128</v>
      </c>
      <c r="J983" s="302">
        <f t="shared" ref="J983:J986" si="423">SUM(G983:I983)</f>
        <v>4.7613196448828923</v>
      </c>
      <c r="K983" s="303"/>
      <c r="L983" s="302">
        <v>3.3450511261206031</v>
      </c>
      <c r="M983" s="302">
        <v>1.9013297214353961</v>
      </c>
      <c r="N983" s="302">
        <v>1.2144029183737948</v>
      </c>
      <c r="O983" s="302">
        <f t="shared" si="422"/>
        <v>6.4607837659297935</v>
      </c>
    </row>
    <row r="984" spans="1:15" s="236" customFormat="1" x14ac:dyDescent="0.3">
      <c r="A984" s="237" t="str">
        <f>name!E$10</f>
        <v>Sales and customer service occupations</v>
      </c>
      <c r="B984" s="302">
        <v>7.3449318517195744E-2</v>
      </c>
      <c r="C984" s="302">
        <v>3.2123003445505914E-2</v>
      </c>
      <c r="D984" s="302">
        <v>3.2797186635173364E-2</v>
      </c>
      <c r="E984" s="302">
        <f t="shared" si="420"/>
        <v>0.13836950859787503</v>
      </c>
      <c r="F984" s="303"/>
      <c r="G984" s="302">
        <v>8.8962499407466089E-2</v>
      </c>
      <c r="H984" s="302">
        <v>6.2677963610950016E-2</v>
      </c>
      <c r="I984" s="302">
        <v>1.8329400348609297E-2</v>
      </c>
      <c r="J984" s="302">
        <f t="shared" si="423"/>
        <v>0.16996986336702541</v>
      </c>
      <c r="K984" s="303"/>
      <c r="L984" s="302">
        <v>0.10275053539745409</v>
      </c>
      <c r="M984" s="302">
        <v>7.1455661512428936E-2</v>
      </c>
      <c r="N984" s="302">
        <v>2.9807533376117908E-2</v>
      </c>
      <c r="O984" s="302">
        <f t="shared" si="422"/>
        <v>0.20401373028600095</v>
      </c>
    </row>
    <row r="985" spans="1:15" s="236" customFormat="1" x14ac:dyDescent="0.3">
      <c r="A985" s="237" t="str">
        <f>name!E$11</f>
        <v>Process, plant and machine operatives</v>
      </c>
      <c r="B985" s="302">
        <v>1.8905427365691282E-2</v>
      </c>
      <c r="C985" s="302">
        <v>1.7040915489430361E-2</v>
      </c>
      <c r="D985" s="302">
        <v>8.6574855356756075E-3</v>
      </c>
      <c r="E985" s="302">
        <f t="shared" si="420"/>
        <v>4.4603828390797254E-2</v>
      </c>
      <c r="F985" s="303"/>
      <c r="G985" s="302">
        <v>1.8350282533351199E-2</v>
      </c>
      <c r="H985" s="302">
        <v>2.567584214659701E-2</v>
      </c>
      <c r="I985" s="302">
        <v>1.0140245520100387E-2</v>
      </c>
      <c r="J985" s="302">
        <f t="shared" si="423"/>
        <v>5.4166370200048594E-2</v>
      </c>
      <c r="K985" s="303"/>
      <c r="L985" s="302">
        <v>1.3151119653123751E-2</v>
      </c>
      <c r="M985" s="302">
        <v>2.2089143379178566E-2</v>
      </c>
      <c r="N985" s="302">
        <v>1.0248894218868392E-2</v>
      </c>
      <c r="O985" s="302">
        <f t="shared" si="422"/>
        <v>4.5489157251170705E-2</v>
      </c>
    </row>
    <row r="986" spans="1:15" s="236" customFormat="1" x14ac:dyDescent="0.3">
      <c r="A986" s="237" t="str">
        <f>name!E$12</f>
        <v>Elementary occupations</v>
      </c>
      <c r="B986" s="302">
        <v>0.11461973069104159</v>
      </c>
      <c r="C986" s="302">
        <v>0.12971975472030534</v>
      </c>
      <c r="D986" s="302">
        <v>1.765365954767972E-2</v>
      </c>
      <c r="E986" s="302">
        <f t="shared" si="420"/>
        <v>0.26199314495902665</v>
      </c>
      <c r="F986" s="303"/>
      <c r="G986" s="302">
        <v>0.12195508607383497</v>
      </c>
      <c r="H986" s="302">
        <v>0.1904651241413548</v>
      </c>
      <c r="I986" s="302">
        <v>8.853160172908929E-3</v>
      </c>
      <c r="J986" s="302">
        <f t="shared" si="423"/>
        <v>0.32127337038809872</v>
      </c>
      <c r="K986" s="303"/>
      <c r="L986" s="302">
        <v>6.0281223163670142E-2</v>
      </c>
      <c r="M986" s="302">
        <v>0.19325848587401584</v>
      </c>
      <c r="N986" s="302">
        <v>3.9737285446971079E-3</v>
      </c>
      <c r="O986" s="302">
        <f t="shared" si="422"/>
        <v>0.2575134375823831</v>
      </c>
    </row>
    <row r="987" spans="1:15" s="236" customFormat="1" x14ac:dyDescent="0.3">
      <c r="A987" s="237"/>
      <c r="B987" s="302"/>
      <c r="C987" s="302"/>
      <c r="D987" s="302"/>
      <c r="E987" s="302"/>
      <c r="F987" s="303"/>
      <c r="G987" s="302"/>
      <c r="H987" s="302"/>
      <c r="I987" s="302"/>
      <c r="J987" s="302"/>
      <c r="K987" s="303"/>
      <c r="L987" s="302"/>
      <c r="M987" s="302"/>
      <c r="N987" s="302"/>
      <c r="O987" s="302"/>
    </row>
    <row r="988" spans="1:15" s="236" customFormat="1" x14ac:dyDescent="0.3">
      <c r="A988" s="244" t="s">
        <v>32</v>
      </c>
      <c r="B988" s="311">
        <f>SUM(B978:B986)</f>
        <v>5.8149999999416888</v>
      </c>
      <c r="C988" s="311">
        <f t="shared" ref="C988:E988" si="424">SUM(C978:C986)</f>
        <v>1.616999999979702</v>
      </c>
      <c r="D988" s="311">
        <f t="shared" si="424"/>
        <v>2.5869999998463409</v>
      </c>
      <c r="E988" s="311">
        <f t="shared" si="424"/>
        <v>10.018999999767734</v>
      </c>
      <c r="F988" s="311"/>
      <c r="G988" s="311">
        <f t="shared" ref="G988:J988" si="425">SUM(G978:G986)</f>
        <v>8.0720000000433423</v>
      </c>
      <c r="H988" s="311">
        <f t="shared" si="425"/>
        <v>3.5149999999535089</v>
      </c>
      <c r="I988" s="311">
        <f t="shared" si="425"/>
        <v>2.315000000167732</v>
      </c>
      <c r="J988" s="311">
        <f t="shared" si="425"/>
        <v>13.902000000164584</v>
      </c>
      <c r="K988" s="311"/>
      <c r="L988" s="311">
        <f t="shared" ref="L988:O988" si="426">SUM(L978:L986)</f>
        <v>9.5830000000077966</v>
      </c>
      <c r="M988" s="311">
        <f t="shared" si="426"/>
        <v>4.2899999999814495</v>
      </c>
      <c r="N988" s="311">
        <f t="shared" si="426"/>
        <v>3.1280000000274879</v>
      </c>
      <c r="O988" s="311">
        <f t="shared" si="426"/>
        <v>17.001000000016735</v>
      </c>
    </row>
    <row r="989" spans="1:15" s="236" customFormat="1" x14ac:dyDescent="0.3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37"/>
      <c r="M989" s="237"/>
      <c r="N989" s="240"/>
    </row>
    <row r="990" spans="1:15" s="236" customFormat="1" x14ac:dyDescent="0.3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37"/>
      <c r="M990" s="237"/>
      <c r="N990" s="240"/>
      <c r="O990" s="251" t="s">
        <v>35</v>
      </c>
    </row>
    <row r="991" spans="1:15" s="236" customFormat="1" x14ac:dyDescent="0.3">
      <c r="A991" s="242"/>
      <c r="B991" s="242"/>
      <c r="C991" s="242"/>
      <c r="D991" s="242"/>
      <c r="E991" s="242"/>
      <c r="F991" s="242"/>
      <c r="G991" s="242"/>
      <c r="H991" s="242"/>
      <c r="I991" s="242"/>
      <c r="J991" s="242"/>
      <c r="K991" s="242"/>
      <c r="L991" s="242"/>
      <c r="M991" s="242"/>
      <c r="N991" s="242"/>
      <c r="O991" s="242"/>
    </row>
    <row r="992" spans="1:15" s="236" customFormat="1" x14ac:dyDescent="0.3">
      <c r="A992" s="241" t="str">
        <f>name!A61</f>
        <v>Rental and leasing</v>
      </c>
      <c r="B992" s="375">
        <f>$B$6</f>
        <v>2015</v>
      </c>
      <c r="C992" s="375"/>
      <c r="D992" s="375"/>
      <c r="E992" s="375"/>
      <c r="F992" s="263"/>
      <c r="G992" s="375">
        <f>$G$6</f>
        <v>2020</v>
      </c>
      <c r="H992" s="375"/>
      <c r="I992" s="375"/>
      <c r="J992" s="375"/>
      <c r="K992" s="263"/>
      <c r="L992" s="375">
        <f>$L$6</f>
        <v>2035</v>
      </c>
      <c r="M992" s="375"/>
      <c r="N992" s="375"/>
      <c r="O992" s="375"/>
    </row>
    <row r="993" spans="1:15" s="236" customFormat="1" x14ac:dyDescent="0.3">
      <c r="A993" s="254"/>
      <c r="B993" s="268" t="str">
        <f>$B$7</f>
        <v>FT</v>
      </c>
      <c r="C993" s="268" t="str">
        <f>$C$7</f>
        <v>PT</v>
      </c>
      <c r="D993" s="268" t="str">
        <f>$D$7</f>
        <v>SE</v>
      </c>
      <c r="E993" s="268" t="str">
        <f>$E$7</f>
        <v>Total</v>
      </c>
      <c r="F993" s="268"/>
      <c r="G993" s="268" t="str">
        <f>$G$7</f>
        <v>FT</v>
      </c>
      <c r="H993" s="268" t="str">
        <f>$H$7</f>
        <v>PT</v>
      </c>
      <c r="I993" s="268" t="str">
        <f>$I$7</f>
        <v>SE</v>
      </c>
      <c r="J993" s="268" t="str">
        <f>$J$7</f>
        <v>Total</v>
      </c>
      <c r="K993" s="268"/>
      <c r="L993" s="268" t="str">
        <f>$L$7</f>
        <v>FT</v>
      </c>
      <c r="M993" s="268" t="str">
        <f>$M$7</f>
        <v>PT</v>
      </c>
      <c r="N993" s="268" t="str">
        <f>$N$7</f>
        <v>SE</v>
      </c>
      <c r="O993" s="268" t="str">
        <f>$O$7</f>
        <v>Total</v>
      </c>
    </row>
    <row r="994" spans="1:15" s="236" customFormat="1" x14ac:dyDescent="0.3">
      <c r="A994" s="258"/>
      <c r="B994" s="239"/>
      <c r="C994" s="239"/>
      <c r="D994" s="239"/>
      <c r="E994" s="239"/>
      <c r="F994" s="239"/>
      <c r="G994" s="239"/>
      <c r="H994" s="239"/>
      <c r="I994" s="239"/>
      <c r="J994" s="239"/>
      <c r="K994" s="239"/>
      <c r="L994" s="239"/>
      <c r="M994" s="239"/>
      <c r="N994" s="239"/>
      <c r="O994" s="239"/>
    </row>
    <row r="995" spans="1:15" s="236" customFormat="1" x14ac:dyDescent="0.3">
      <c r="A995" s="237" t="str">
        <f>name!E$4</f>
        <v>Managers, directors and senior officials</v>
      </c>
      <c r="B995" s="302">
        <v>4.2641777954870665</v>
      </c>
      <c r="C995" s="302">
        <v>9.2050445716365531E-2</v>
      </c>
      <c r="D995" s="302">
        <v>1.2513559017739599</v>
      </c>
      <c r="E995" s="302">
        <f>SUM(B995:D995)</f>
        <v>5.6075841429773918</v>
      </c>
      <c r="F995" s="303"/>
      <c r="G995" s="302">
        <v>2.0974275265294238</v>
      </c>
      <c r="H995" s="302">
        <v>0.14746739873226355</v>
      </c>
      <c r="I995" s="302">
        <v>0.60166784406277174</v>
      </c>
      <c r="J995" s="302">
        <f>SUM(G995:I995)</f>
        <v>2.8465627693244588</v>
      </c>
      <c r="K995" s="303"/>
      <c r="L995" s="302">
        <v>2.4297059823572291</v>
      </c>
      <c r="M995" s="302">
        <v>0.17818776613154821</v>
      </c>
      <c r="N995" s="302">
        <v>0.75076330372999733</v>
      </c>
      <c r="O995" s="302">
        <f>SUM(L995:N995)</f>
        <v>3.3586570522187746</v>
      </c>
    </row>
    <row r="996" spans="1:15" s="236" customFormat="1" x14ac:dyDescent="0.3">
      <c r="A996" s="237" t="str">
        <f>name!E$5</f>
        <v>Professional occupations</v>
      </c>
      <c r="B996" s="302">
        <v>4.0838959467512987</v>
      </c>
      <c r="C996" s="302">
        <v>0.10800293817149717</v>
      </c>
      <c r="D996" s="302">
        <v>0.53899588947230992</v>
      </c>
      <c r="E996" s="302">
        <f t="shared" ref="E996:E1003" si="427">SUM(B996:D996)</f>
        <v>4.7308947743951055</v>
      </c>
      <c r="F996" s="303"/>
      <c r="G996" s="302">
        <v>2.2118588027514803</v>
      </c>
      <c r="H996" s="302">
        <v>0.18842405547675162</v>
      </c>
      <c r="I996" s="302">
        <v>0.24073967855728651</v>
      </c>
      <c r="J996" s="302">
        <f t="shared" ref="J996:J998" si="428">SUM(G996:I996)</f>
        <v>2.6410225367855182</v>
      </c>
      <c r="K996" s="303"/>
      <c r="L996" s="302">
        <v>3.0385356869164197</v>
      </c>
      <c r="M996" s="302">
        <v>0.2904969333727197</v>
      </c>
      <c r="N996" s="302">
        <v>0.20446475504839351</v>
      </c>
      <c r="O996" s="302">
        <f t="shared" ref="O996:O1003" si="429">SUM(L996:N996)</f>
        <v>3.5334973753375327</v>
      </c>
    </row>
    <row r="997" spans="1:15" s="236" customFormat="1" x14ac:dyDescent="0.3">
      <c r="A997" s="237" t="str">
        <f>name!E$6</f>
        <v>Associate professional occupations</v>
      </c>
      <c r="B997" s="302">
        <v>2.8954005279845383</v>
      </c>
      <c r="C997" s="302">
        <v>0.13361081950054648</v>
      </c>
      <c r="D997" s="302">
        <v>0.47052847112283486</v>
      </c>
      <c r="E997" s="302">
        <f t="shared" si="427"/>
        <v>3.4995398186079196</v>
      </c>
      <c r="F997" s="303"/>
      <c r="G997" s="302">
        <v>1.4662934021150407</v>
      </c>
      <c r="H997" s="302">
        <v>0.18509621606467946</v>
      </c>
      <c r="I997" s="302">
        <v>0.18917648461718811</v>
      </c>
      <c r="J997" s="302">
        <f t="shared" si="428"/>
        <v>1.8405661027969082</v>
      </c>
      <c r="K997" s="303"/>
      <c r="L997" s="302">
        <v>1.6401080471271881</v>
      </c>
      <c r="M997" s="302">
        <v>0.17849908094500722</v>
      </c>
      <c r="N997" s="302">
        <v>0.19075240806068883</v>
      </c>
      <c r="O997" s="302">
        <f t="shared" si="429"/>
        <v>2.0093595361328838</v>
      </c>
    </row>
    <row r="998" spans="1:15" s="236" customFormat="1" x14ac:dyDescent="0.3">
      <c r="A998" s="237" t="str">
        <f>name!E$7</f>
        <v>Administrative and secretarial occupations</v>
      </c>
      <c r="B998" s="302">
        <v>1.8048607338853884</v>
      </c>
      <c r="C998" s="302">
        <v>0.31098916561000323</v>
      </c>
      <c r="D998" s="302">
        <v>0.3317572174870535</v>
      </c>
      <c r="E998" s="302">
        <f t="shared" si="427"/>
        <v>2.4476071169824452</v>
      </c>
      <c r="F998" s="303"/>
      <c r="G998" s="302">
        <v>0.8043890033613651</v>
      </c>
      <c r="H998" s="302">
        <v>0.34032375954919969</v>
      </c>
      <c r="I998" s="302">
        <v>0.12360348161938757</v>
      </c>
      <c r="J998" s="302">
        <f t="shared" si="428"/>
        <v>1.2683162445299523</v>
      </c>
      <c r="K998" s="303"/>
      <c r="L998" s="302">
        <v>0.88134312621745292</v>
      </c>
      <c r="M998" s="302">
        <v>0.31263732066527755</v>
      </c>
      <c r="N998" s="302">
        <v>0.16953842116734233</v>
      </c>
      <c r="O998" s="302">
        <f t="shared" si="429"/>
        <v>1.3635188680500727</v>
      </c>
    </row>
    <row r="999" spans="1:15" s="236" customFormat="1" x14ac:dyDescent="0.3">
      <c r="A999" s="237" t="str">
        <f>name!E$8</f>
        <v>Skilled trades occupations</v>
      </c>
      <c r="B999" s="302">
        <v>2.9513007926780888</v>
      </c>
      <c r="C999" s="302">
        <v>8.5451039922704086E-2</v>
      </c>
      <c r="D999" s="302">
        <v>0.50196016600585425</v>
      </c>
      <c r="E999" s="302">
        <f t="shared" si="427"/>
        <v>3.5387119986066473</v>
      </c>
      <c r="F999" s="303"/>
      <c r="G999" s="302">
        <v>1.0604859631490622</v>
      </c>
      <c r="H999" s="302">
        <v>5.8341811752608594E-2</v>
      </c>
      <c r="I999" s="302">
        <v>0.19941959456664088</v>
      </c>
      <c r="J999" s="302">
        <f>SUM(G999:I999)</f>
        <v>1.3182473694683117</v>
      </c>
      <c r="K999" s="303"/>
      <c r="L999" s="302">
        <v>0.96187376013689796</v>
      </c>
      <c r="M999" s="302">
        <v>7.6332931333267864E-2</v>
      </c>
      <c r="N999" s="302">
        <v>0.2488759564657636</v>
      </c>
      <c r="O999" s="302">
        <f t="shared" si="429"/>
        <v>1.2870826479359294</v>
      </c>
    </row>
    <row r="1000" spans="1:15" s="236" customFormat="1" x14ac:dyDescent="0.3">
      <c r="A1000" s="237" t="str">
        <f>name!E$9</f>
        <v>Caring, leisure and other service occupations</v>
      </c>
      <c r="B1000" s="302">
        <v>0.49968580530013634</v>
      </c>
      <c r="C1000" s="302">
        <v>6.7244088063019763E-2</v>
      </c>
      <c r="D1000" s="302">
        <v>0.21185316881704921</v>
      </c>
      <c r="E1000" s="302">
        <f t="shared" si="427"/>
        <v>0.77878306218020532</v>
      </c>
      <c r="F1000" s="303"/>
      <c r="G1000" s="302">
        <v>0.21960113799558537</v>
      </c>
      <c r="H1000" s="302">
        <v>8.3266124166866434E-2</v>
      </c>
      <c r="I1000" s="302">
        <v>9.0223237457239827E-2</v>
      </c>
      <c r="J1000" s="302">
        <f t="shared" ref="J1000:J1003" si="430">SUM(G1000:I1000)</f>
        <v>0.39309049961969161</v>
      </c>
      <c r="K1000" s="303"/>
      <c r="L1000" s="302">
        <v>0.33188353481921401</v>
      </c>
      <c r="M1000" s="302">
        <v>0.10327214478623307</v>
      </c>
      <c r="N1000" s="302">
        <v>0.14080505403001048</v>
      </c>
      <c r="O1000" s="302">
        <f t="shared" si="429"/>
        <v>0.57596073363545752</v>
      </c>
    </row>
    <row r="1001" spans="1:15" s="236" customFormat="1" x14ac:dyDescent="0.3">
      <c r="A1001" s="237" t="str">
        <f>name!E$10</f>
        <v>Sales and customer service occupations</v>
      </c>
      <c r="B1001" s="302">
        <v>1.093233731840263</v>
      </c>
      <c r="C1001" s="302">
        <v>0.42678250870634021</v>
      </c>
      <c r="D1001" s="302">
        <v>0.57383106213416679</v>
      </c>
      <c r="E1001" s="302">
        <f t="shared" si="427"/>
        <v>2.09384730268077</v>
      </c>
      <c r="F1001" s="303"/>
      <c r="G1001" s="302">
        <v>0.43001620487404774</v>
      </c>
      <c r="H1001" s="302">
        <v>0.44814873653434445</v>
      </c>
      <c r="I1001" s="302">
        <v>0.18857210030261498</v>
      </c>
      <c r="J1001" s="302">
        <f t="shared" si="430"/>
        <v>1.0667370417110071</v>
      </c>
      <c r="K1001" s="303"/>
      <c r="L1001" s="302">
        <v>0.52308592032820045</v>
      </c>
      <c r="M1001" s="302">
        <v>0.51403440764241648</v>
      </c>
      <c r="N1001" s="302">
        <v>0.15542181635408772</v>
      </c>
      <c r="O1001" s="302">
        <f t="shared" si="429"/>
        <v>1.1925421443247046</v>
      </c>
    </row>
    <row r="1002" spans="1:15" s="236" customFormat="1" x14ac:dyDescent="0.3">
      <c r="A1002" s="237" t="str">
        <f>name!E$11</f>
        <v>Process, plant and machine operatives</v>
      </c>
      <c r="B1002" s="302">
        <v>2.3164674997872572</v>
      </c>
      <c r="C1002" s="302">
        <v>0.50932286875683375</v>
      </c>
      <c r="D1002" s="302">
        <v>0.21044970356523157</v>
      </c>
      <c r="E1002" s="302">
        <f t="shared" si="427"/>
        <v>3.0362400721093223</v>
      </c>
      <c r="F1002" s="303"/>
      <c r="G1002" s="302">
        <v>0.84589045822267861</v>
      </c>
      <c r="H1002" s="302">
        <v>0.58505602172480176</v>
      </c>
      <c r="I1002" s="302">
        <v>0.1215872015221383</v>
      </c>
      <c r="J1002" s="302">
        <f t="shared" si="430"/>
        <v>1.5525336814696187</v>
      </c>
      <c r="K1002" s="303"/>
      <c r="L1002" s="302">
        <v>0.76177201543211326</v>
      </c>
      <c r="M1002" s="302">
        <v>0.6591243945326718</v>
      </c>
      <c r="N1002" s="302">
        <v>0.10778937238152052</v>
      </c>
      <c r="O1002" s="302">
        <f t="shared" si="429"/>
        <v>1.5286857823463056</v>
      </c>
    </row>
    <row r="1003" spans="1:15" s="236" customFormat="1" x14ac:dyDescent="0.3">
      <c r="A1003" s="237" t="str">
        <f>name!E$12</f>
        <v>Elementary occupations</v>
      </c>
      <c r="B1003" s="302">
        <v>0.29497716623604209</v>
      </c>
      <c r="C1003" s="302">
        <v>0.14654612557641164</v>
      </c>
      <c r="D1003" s="302">
        <v>0.33326841966550369</v>
      </c>
      <c r="E1003" s="302">
        <f t="shared" si="427"/>
        <v>0.77479171147795745</v>
      </c>
      <c r="F1003" s="303"/>
      <c r="G1003" s="302">
        <v>0.10103750096720006</v>
      </c>
      <c r="H1003" s="302">
        <v>0.12887587601399547</v>
      </c>
      <c r="I1003" s="302">
        <v>0.12101037730535204</v>
      </c>
      <c r="J1003" s="302">
        <f t="shared" si="430"/>
        <v>0.35092375428654754</v>
      </c>
      <c r="K1003" s="303"/>
      <c r="L1003" s="302">
        <v>0.10269192663106418</v>
      </c>
      <c r="M1003" s="302">
        <v>0.10641502059305297</v>
      </c>
      <c r="N1003" s="302">
        <v>0.16158891278543155</v>
      </c>
      <c r="O1003" s="302">
        <f t="shared" si="429"/>
        <v>0.37069586000954868</v>
      </c>
    </row>
    <row r="1004" spans="1:15" s="236" customFormat="1" x14ac:dyDescent="0.3">
      <c r="A1004" s="237"/>
      <c r="B1004" s="302"/>
      <c r="C1004" s="302"/>
      <c r="D1004" s="302"/>
      <c r="E1004" s="302"/>
      <c r="F1004" s="303"/>
      <c r="G1004" s="302"/>
      <c r="H1004" s="302"/>
      <c r="I1004" s="302"/>
      <c r="J1004" s="302"/>
      <c r="K1004" s="303"/>
      <c r="L1004" s="302"/>
      <c r="M1004" s="302"/>
      <c r="N1004" s="302"/>
      <c r="O1004" s="302"/>
    </row>
    <row r="1005" spans="1:15" s="236" customFormat="1" x14ac:dyDescent="0.3">
      <c r="A1005" s="244" t="s">
        <v>32</v>
      </c>
      <c r="B1005" s="311">
        <f>SUM(B995:B1003)</f>
        <v>20.203999999950081</v>
      </c>
      <c r="C1005" s="311">
        <f t="shared" ref="C1005:E1005" si="431">SUM(C995:C1003)</f>
        <v>1.8800000000237216</v>
      </c>
      <c r="D1005" s="311">
        <f t="shared" si="431"/>
        <v>4.4240000000439643</v>
      </c>
      <c r="E1005" s="311">
        <f t="shared" si="431"/>
        <v>26.508000000017766</v>
      </c>
      <c r="F1005" s="311"/>
      <c r="G1005" s="311">
        <f t="shared" ref="G1005:J1005" si="432">SUM(G995:G1003)</f>
        <v>9.2369999999658852</v>
      </c>
      <c r="H1005" s="311">
        <f t="shared" si="432"/>
        <v>2.1650000000155112</v>
      </c>
      <c r="I1005" s="311">
        <f t="shared" si="432"/>
        <v>1.8760000000106201</v>
      </c>
      <c r="J1005" s="311">
        <f t="shared" si="432"/>
        <v>13.277999999992016</v>
      </c>
      <c r="K1005" s="311"/>
      <c r="L1005" s="311">
        <f t="shared" ref="L1005:O1005" si="433">SUM(L995:L1003)</f>
        <v>10.67099999996578</v>
      </c>
      <c r="M1005" s="311">
        <f t="shared" si="433"/>
        <v>2.4190000000021952</v>
      </c>
      <c r="N1005" s="311">
        <f t="shared" si="433"/>
        <v>2.130000000023236</v>
      </c>
      <c r="O1005" s="311">
        <f t="shared" si="433"/>
        <v>15.219999999991209</v>
      </c>
    </row>
    <row r="1006" spans="1:15" s="236" customFormat="1" x14ac:dyDescent="0.3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37"/>
      <c r="M1006" s="237"/>
      <c r="N1006" s="240"/>
    </row>
    <row r="1007" spans="1:15" s="236" customFormat="1" x14ac:dyDescent="0.3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37"/>
      <c r="M1007" s="237"/>
      <c r="N1007" s="240"/>
      <c r="O1007" s="251" t="s">
        <v>35</v>
      </c>
    </row>
    <row r="1008" spans="1:15" s="236" customFormat="1" x14ac:dyDescent="0.3">
      <c r="A1008" s="242"/>
      <c r="B1008" s="242"/>
      <c r="C1008" s="242"/>
      <c r="D1008" s="242"/>
      <c r="E1008" s="242"/>
      <c r="F1008" s="242"/>
      <c r="G1008" s="242"/>
      <c r="H1008" s="242"/>
      <c r="I1008" s="242"/>
      <c r="J1008" s="242"/>
      <c r="K1008" s="242"/>
      <c r="L1008" s="242"/>
      <c r="M1008" s="242"/>
      <c r="N1008" s="242"/>
      <c r="O1008" s="242"/>
    </row>
    <row r="1009" spans="1:15" s="236" customFormat="1" x14ac:dyDescent="0.3">
      <c r="A1009" s="241" t="str">
        <f>name!A62</f>
        <v>Employment activities</v>
      </c>
      <c r="B1009" s="375">
        <f>$B$6</f>
        <v>2015</v>
      </c>
      <c r="C1009" s="375"/>
      <c r="D1009" s="375"/>
      <c r="E1009" s="375"/>
      <c r="F1009" s="263"/>
      <c r="G1009" s="375">
        <f>$G$6</f>
        <v>2020</v>
      </c>
      <c r="H1009" s="375"/>
      <c r="I1009" s="375"/>
      <c r="J1009" s="375"/>
      <c r="K1009" s="263"/>
      <c r="L1009" s="375">
        <f>$L$6</f>
        <v>2035</v>
      </c>
      <c r="M1009" s="375"/>
      <c r="N1009" s="375"/>
      <c r="O1009" s="375"/>
    </row>
    <row r="1010" spans="1:15" s="236" customFormat="1" x14ac:dyDescent="0.3">
      <c r="A1010" s="254"/>
      <c r="B1010" s="268" t="str">
        <f>$B$7</f>
        <v>FT</v>
      </c>
      <c r="C1010" s="268" t="str">
        <f>$C$7</f>
        <v>PT</v>
      </c>
      <c r="D1010" s="268" t="str">
        <f>$D$7</f>
        <v>SE</v>
      </c>
      <c r="E1010" s="268" t="str">
        <f>$E$7</f>
        <v>Total</v>
      </c>
      <c r="F1010" s="268"/>
      <c r="G1010" s="268" t="str">
        <f>$G$7</f>
        <v>FT</v>
      </c>
      <c r="H1010" s="268" t="str">
        <f>$H$7</f>
        <v>PT</v>
      </c>
      <c r="I1010" s="268" t="str">
        <f>$I$7</f>
        <v>SE</v>
      </c>
      <c r="J1010" s="268" t="str">
        <f>$J$7</f>
        <v>Total</v>
      </c>
      <c r="K1010" s="268"/>
      <c r="L1010" s="268" t="str">
        <f>$L$7</f>
        <v>FT</v>
      </c>
      <c r="M1010" s="268" t="str">
        <f>$M$7</f>
        <v>PT</v>
      </c>
      <c r="N1010" s="268" t="str">
        <f>$N$7</f>
        <v>SE</v>
      </c>
      <c r="O1010" s="268" t="str">
        <f>$O$7</f>
        <v>Total</v>
      </c>
    </row>
    <row r="1011" spans="1:15" s="236" customFormat="1" x14ac:dyDescent="0.3">
      <c r="A1011" s="258"/>
      <c r="B1011" s="239"/>
      <c r="C1011" s="239"/>
      <c r="D1011" s="239"/>
      <c r="E1011" s="239"/>
      <c r="F1011" s="239"/>
      <c r="G1011" s="239"/>
      <c r="H1011" s="239"/>
      <c r="I1011" s="239"/>
      <c r="J1011" s="239"/>
      <c r="K1011" s="239"/>
      <c r="L1011" s="239"/>
      <c r="M1011" s="239"/>
      <c r="N1011" s="239"/>
      <c r="O1011" s="239"/>
    </row>
    <row r="1012" spans="1:15" s="236" customFormat="1" x14ac:dyDescent="0.3">
      <c r="A1012" s="237" t="str">
        <f>name!E$4</f>
        <v>Managers, directors and senior officials</v>
      </c>
      <c r="B1012" s="302">
        <v>7.8419653464880277</v>
      </c>
      <c r="C1012" s="302">
        <v>1.5130297122654484</v>
      </c>
      <c r="D1012" s="302">
        <v>2.137543678628171</v>
      </c>
      <c r="E1012" s="302">
        <f>SUM(B1012:D1012)</f>
        <v>11.492538737381647</v>
      </c>
      <c r="F1012" s="303"/>
      <c r="G1012" s="302">
        <v>7.2994262764946685</v>
      </c>
      <c r="H1012" s="302">
        <v>2.6988257364247463</v>
      </c>
      <c r="I1012" s="302">
        <v>1.8267793949437059</v>
      </c>
      <c r="J1012" s="302">
        <f>SUM(G1012:I1012)</f>
        <v>11.825031407863122</v>
      </c>
      <c r="K1012" s="303"/>
      <c r="L1012" s="302">
        <v>8.7128820829397444</v>
      </c>
      <c r="M1012" s="302">
        <v>3.4209188869103584</v>
      </c>
      <c r="N1012" s="302">
        <v>2.1392756946513232</v>
      </c>
      <c r="O1012" s="302">
        <f>SUM(L1012:N1012)</f>
        <v>14.273076664501426</v>
      </c>
    </row>
    <row r="1013" spans="1:15" s="236" customFormat="1" x14ac:dyDescent="0.3">
      <c r="A1013" s="237" t="str">
        <f>name!E$5</f>
        <v>Professional occupations</v>
      </c>
      <c r="B1013" s="302">
        <v>8.3266522343519007</v>
      </c>
      <c r="C1013" s="302">
        <v>1.3404849089709632</v>
      </c>
      <c r="D1013" s="302">
        <v>2.4709981000949539</v>
      </c>
      <c r="E1013" s="302">
        <f t="shared" ref="E1013:E1020" si="434">SUM(B1013:D1013)</f>
        <v>12.138135243417818</v>
      </c>
      <c r="F1013" s="303"/>
      <c r="G1013" s="302">
        <v>8.8325267594302606</v>
      </c>
      <c r="H1013" s="302">
        <v>2.8360855761348578</v>
      </c>
      <c r="I1013" s="302">
        <v>1.794676668901755</v>
      </c>
      <c r="J1013" s="302">
        <f t="shared" ref="J1013:J1015" si="435">SUM(G1013:I1013)</f>
        <v>13.463289004466873</v>
      </c>
      <c r="K1013" s="303"/>
      <c r="L1013" s="302">
        <v>11.744691385197514</v>
      </c>
      <c r="M1013" s="302">
        <v>4.5432446905039514</v>
      </c>
      <c r="N1013" s="302">
        <v>1.6356364705549027</v>
      </c>
      <c r="O1013" s="302">
        <f t="shared" ref="O1013:O1020" si="436">SUM(L1013:N1013)</f>
        <v>17.92357254625637</v>
      </c>
    </row>
    <row r="1014" spans="1:15" s="236" customFormat="1" x14ac:dyDescent="0.3">
      <c r="A1014" s="237" t="str">
        <f>name!E$6</f>
        <v>Associate professional occupations</v>
      </c>
      <c r="B1014" s="302">
        <v>11.506697176516248</v>
      </c>
      <c r="C1014" s="302">
        <v>2.099751362608183</v>
      </c>
      <c r="D1014" s="302">
        <v>6.8590998674284496</v>
      </c>
      <c r="E1014" s="302">
        <f t="shared" si="434"/>
        <v>20.46554840655288</v>
      </c>
      <c r="F1014" s="303"/>
      <c r="G1014" s="302">
        <v>11.029081056893322</v>
      </c>
      <c r="H1014" s="302">
        <v>3.2361112985199254</v>
      </c>
      <c r="I1014" s="302">
        <v>4.957652093078698</v>
      </c>
      <c r="J1014" s="302">
        <f t="shared" si="435"/>
        <v>19.222844448491948</v>
      </c>
      <c r="K1014" s="303"/>
      <c r="L1014" s="302">
        <v>11.752757867199209</v>
      </c>
      <c r="M1014" s="302">
        <v>3.8189361694349171</v>
      </c>
      <c r="N1014" s="302">
        <v>5.084525678145102</v>
      </c>
      <c r="O1014" s="302">
        <f t="shared" si="436"/>
        <v>20.656219714779226</v>
      </c>
    </row>
    <row r="1015" spans="1:15" s="236" customFormat="1" x14ac:dyDescent="0.3">
      <c r="A1015" s="237" t="str">
        <f>name!E$7</f>
        <v>Administrative and secretarial occupations</v>
      </c>
      <c r="B1015" s="302">
        <v>5.8919302017089406</v>
      </c>
      <c r="C1015" s="302">
        <v>2.7517806841177861</v>
      </c>
      <c r="D1015" s="302">
        <v>1.373774182996248</v>
      </c>
      <c r="E1015" s="302">
        <f t="shared" si="434"/>
        <v>10.017485068822975</v>
      </c>
      <c r="F1015" s="303"/>
      <c r="G1015" s="302">
        <v>4.9158481840258581</v>
      </c>
      <c r="H1015" s="302">
        <v>3.455034146798329</v>
      </c>
      <c r="I1015" s="302">
        <v>0.91769638056228386</v>
      </c>
      <c r="J1015" s="302">
        <f t="shared" si="435"/>
        <v>9.2885787113864708</v>
      </c>
      <c r="K1015" s="303"/>
      <c r="L1015" s="302">
        <v>4.8657499963848823</v>
      </c>
      <c r="M1015" s="302">
        <v>3.9717025262880732</v>
      </c>
      <c r="N1015" s="302">
        <v>1.2323168721553646</v>
      </c>
      <c r="O1015" s="302">
        <f t="shared" si="436"/>
        <v>10.069769394828318</v>
      </c>
    </row>
    <row r="1016" spans="1:15" s="236" customFormat="1" x14ac:dyDescent="0.3">
      <c r="A1016" s="237" t="str">
        <f>name!E$8</f>
        <v>Skilled trades occupations</v>
      </c>
      <c r="B1016" s="302">
        <v>2.8262849994366346</v>
      </c>
      <c r="C1016" s="302">
        <v>0.93876421498732887</v>
      </c>
      <c r="D1016" s="302">
        <v>1.7241142805162413</v>
      </c>
      <c r="E1016" s="302">
        <f t="shared" si="434"/>
        <v>5.4891634949402048</v>
      </c>
      <c r="F1016" s="303"/>
      <c r="G1016" s="302">
        <v>1.9009204281968168</v>
      </c>
      <c r="H1016" s="302">
        <v>0.84060182744103384</v>
      </c>
      <c r="I1016" s="302">
        <v>1.0791026788980147</v>
      </c>
      <c r="J1016" s="302">
        <f>SUM(G1016:I1016)</f>
        <v>3.8206249345358652</v>
      </c>
      <c r="K1016" s="303"/>
      <c r="L1016" s="302">
        <v>1.7786824155602003</v>
      </c>
      <c r="M1016" s="302">
        <v>1.2442859691864041</v>
      </c>
      <c r="N1016" s="302">
        <v>1.0800148569871686</v>
      </c>
      <c r="O1016" s="302">
        <f t="shared" si="436"/>
        <v>4.1029832417337726</v>
      </c>
    </row>
    <row r="1017" spans="1:15" s="236" customFormat="1" x14ac:dyDescent="0.3">
      <c r="A1017" s="237" t="str">
        <f>name!E$9</f>
        <v>Caring, leisure and other service occupations</v>
      </c>
      <c r="B1017" s="302">
        <v>2.8944149278414049</v>
      </c>
      <c r="C1017" s="302">
        <v>2.7103055063036532</v>
      </c>
      <c r="D1017" s="302">
        <v>1.6499638593773147</v>
      </c>
      <c r="E1017" s="302">
        <f t="shared" si="434"/>
        <v>7.2546842935223728</v>
      </c>
      <c r="F1017" s="303"/>
      <c r="G1017" s="302">
        <v>2.3254431693451321</v>
      </c>
      <c r="H1017" s="302">
        <v>3.6044637603703351</v>
      </c>
      <c r="I1017" s="302">
        <v>1.3669922857100651</v>
      </c>
      <c r="J1017" s="302">
        <f t="shared" ref="J1017:J1020" si="437">SUM(G1017:I1017)</f>
        <v>7.2968992154255323</v>
      </c>
      <c r="K1017" s="303"/>
      <c r="L1017" s="302">
        <v>2.8368095990154112</v>
      </c>
      <c r="M1017" s="302">
        <v>4.4811976473263213</v>
      </c>
      <c r="N1017" s="302">
        <v>2.0819948211692831</v>
      </c>
      <c r="O1017" s="302">
        <f t="shared" si="436"/>
        <v>9.4000020675110161</v>
      </c>
    </row>
    <row r="1018" spans="1:15" s="236" customFormat="1" x14ac:dyDescent="0.3">
      <c r="A1018" s="237" t="str">
        <f>name!E$10</f>
        <v>Sales and customer service occupations</v>
      </c>
      <c r="B1018" s="302">
        <v>3.6729153976784632</v>
      </c>
      <c r="C1018" s="302">
        <v>1.6146787841311803</v>
      </c>
      <c r="D1018" s="302">
        <v>0.69143223245396301</v>
      </c>
      <c r="E1018" s="302">
        <f t="shared" si="434"/>
        <v>5.9790264142636058</v>
      </c>
      <c r="F1018" s="303"/>
      <c r="G1018" s="302">
        <v>2.9989054481708792</v>
      </c>
      <c r="H1018" s="302">
        <v>2.0559760153961251</v>
      </c>
      <c r="I1018" s="302">
        <v>0.41509567756393195</v>
      </c>
      <c r="J1018" s="302">
        <f t="shared" si="437"/>
        <v>5.4699771411309364</v>
      </c>
      <c r="K1018" s="303"/>
      <c r="L1018" s="302">
        <v>4.1071547586759936</v>
      </c>
      <c r="M1018" s="302">
        <v>2.9208149156687297</v>
      </c>
      <c r="N1018" s="302">
        <v>0.4082833859647485</v>
      </c>
      <c r="O1018" s="302">
        <f t="shared" si="436"/>
        <v>7.436253060309471</v>
      </c>
    </row>
    <row r="1019" spans="1:15" s="236" customFormat="1" x14ac:dyDescent="0.3">
      <c r="A1019" s="237" t="str">
        <f>name!E$11</f>
        <v>Process, plant and machine operatives</v>
      </c>
      <c r="B1019" s="302">
        <v>2.4941484085102656</v>
      </c>
      <c r="C1019" s="302">
        <v>1.8291537748280808</v>
      </c>
      <c r="D1019" s="302">
        <v>0.24728903450672526</v>
      </c>
      <c r="E1019" s="302">
        <f t="shared" si="434"/>
        <v>4.5705912178450712</v>
      </c>
      <c r="F1019" s="303"/>
      <c r="G1019" s="302">
        <v>1.7481173597671165</v>
      </c>
      <c r="H1019" s="302">
        <v>2.4449205550824202</v>
      </c>
      <c r="I1019" s="302">
        <v>0.19312841467721176</v>
      </c>
      <c r="J1019" s="302">
        <f t="shared" si="437"/>
        <v>4.3861663295267483</v>
      </c>
      <c r="K1019" s="303"/>
      <c r="L1019" s="302">
        <v>1.6928901792795426</v>
      </c>
      <c r="M1019" s="302">
        <v>3.121752182922974</v>
      </c>
      <c r="N1019" s="302">
        <v>0.25253479487095187</v>
      </c>
      <c r="O1019" s="302">
        <f t="shared" si="436"/>
        <v>5.0671771570734681</v>
      </c>
    </row>
    <row r="1020" spans="1:15" s="236" customFormat="1" x14ac:dyDescent="0.3">
      <c r="A1020" s="237" t="str">
        <f>name!E$12</f>
        <v>Elementary occupations</v>
      </c>
      <c r="B1020" s="302">
        <v>15.229991307480297</v>
      </c>
      <c r="C1020" s="302">
        <v>23.826051052453078</v>
      </c>
      <c r="D1020" s="302">
        <v>3.2557847642483968</v>
      </c>
      <c r="E1020" s="302">
        <f t="shared" si="434"/>
        <v>42.311827124181768</v>
      </c>
      <c r="F1020" s="303"/>
      <c r="G1020" s="302">
        <v>11.440731317559839</v>
      </c>
      <c r="H1020" s="302">
        <v>25.266981083939282</v>
      </c>
      <c r="I1020" s="302">
        <v>2.1678764057550612</v>
      </c>
      <c r="J1020" s="302">
        <f t="shared" si="437"/>
        <v>38.875588807254182</v>
      </c>
      <c r="K1020" s="303"/>
      <c r="L1020" s="302">
        <v>13.461381715775335</v>
      </c>
      <c r="M1020" s="302">
        <v>24.469147012121667</v>
      </c>
      <c r="N1020" s="302">
        <v>2.8214174257545421</v>
      </c>
      <c r="O1020" s="302">
        <f t="shared" si="436"/>
        <v>40.751946153651538</v>
      </c>
    </row>
    <row r="1021" spans="1:15" s="236" customFormat="1" x14ac:dyDescent="0.3">
      <c r="A1021" s="237"/>
      <c r="B1021" s="302"/>
      <c r="C1021" s="302"/>
      <c r="D1021" s="302"/>
      <c r="E1021" s="302"/>
      <c r="F1021" s="303"/>
      <c r="G1021" s="302"/>
      <c r="H1021" s="302"/>
      <c r="I1021" s="302"/>
      <c r="J1021" s="302"/>
      <c r="K1021" s="303"/>
      <c r="L1021" s="302"/>
      <c r="M1021" s="302"/>
      <c r="N1021" s="302"/>
      <c r="O1021" s="302"/>
    </row>
    <row r="1022" spans="1:15" s="236" customFormat="1" x14ac:dyDescent="0.3">
      <c r="A1022" s="244" t="s">
        <v>32</v>
      </c>
      <c r="B1022" s="311">
        <f>SUM(B1012:B1020)</f>
        <v>60.685000000012181</v>
      </c>
      <c r="C1022" s="311">
        <f t="shared" ref="C1022:E1022" si="438">SUM(C1012:C1020)</f>
        <v>38.624000000665703</v>
      </c>
      <c r="D1022" s="311">
        <f t="shared" si="438"/>
        <v>20.410000000250463</v>
      </c>
      <c r="E1022" s="311">
        <f t="shared" si="438"/>
        <v>119.71900000092833</v>
      </c>
      <c r="F1022" s="311"/>
      <c r="G1022" s="311">
        <f t="shared" ref="G1022:J1022" si="439">SUM(G1012:G1020)</f>
        <v>52.490999999883897</v>
      </c>
      <c r="H1022" s="311">
        <f t="shared" si="439"/>
        <v>46.439000000107058</v>
      </c>
      <c r="I1022" s="311">
        <f t="shared" si="439"/>
        <v>14.719000000090725</v>
      </c>
      <c r="J1022" s="311">
        <f t="shared" si="439"/>
        <v>113.64900000008168</v>
      </c>
      <c r="K1022" s="311"/>
      <c r="L1022" s="311">
        <f t="shared" ref="L1022:O1022" si="440">SUM(L1012:L1020)</f>
        <v>60.953000000027842</v>
      </c>
      <c r="M1022" s="311">
        <f t="shared" si="440"/>
        <v>51.992000000363397</v>
      </c>
      <c r="N1022" s="311">
        <f t="shared" si="440"/>
        <v>16.736000000253387</v>
      </c>
      <c r="O1022" s="311">
        <f t="shared" si="440"/>
        <v>129.68100000064462</v>
      </c>
    </row>
    <row r="1023" spans="1:15" s="236" customFormat="1" x14ac:dyDescent="0.3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37"/>
      <c r="M1023" s="237"/>
      <c r="N1023" s="240"/>
    </row>
    <row r="1024" spans="1:15" s="236" customFormat="1" x14ac:dyDescent="0.3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37"/>
      <c r="M1024" s="237"/>
      <c r="N1024" s="240"/>
      <c r="O1024" s="251" t="s">
        <v>35</v>
      </c>
    </row>
    <row r="1025" spans="1:15" s="236" customFormat="1" x14ac:dyDescent="0.3">
      <c r="A1025" s="242"/>
      <c r="B1025" s="242"/>
      <c r="C1025" s="242"/>
      <c r="D1025" s="242"/>
      <c r="E1025" s="242"/>
      <c r="F1025" s="242"/>
      <c r="G1025" s="242"/>
      <c r="H1025" s="242"/>
      <c r="I1025" s="242"/>
      <c r="J1025" s="242"/>
      <c r="K1025" s="242"/>
      <c r="L1025" s="242"/>
      <c r="M1025" s="242"/>
      <c r="N1025" s="242"/>
      <c r="O1025" s="242"/>
    </row>
    <row r="1026" spans="1:15" s="236" customFormat="1" x14ac:dyDescent="0.3">
      <c r="A1026" s="241" t="str">
        <f>name!A63</f>
        <v>Travel, etc</v>
      </c>
      <c r="B1026" s="375">
        <f>$B$6</f>
        <v>2015</v>
      </c>
      <c r="C1026" s="375"/>
      <c r="D1026" s="375"/>
      <c r="E1026" s="375"/>
      <c r="F1026" s="263"/>
      <c r="G1026" s="375">
        <f>$G$6</f>
        <v>2020</v>
      </c>
      <c r="H1026" s="375"/>
      <c r="I1026" s="375"/>
      <c r="J1026" s="375"/>
      <c r="K1026" s="263"/>
      <c r="L1026" s="375">
        <f>$L$6</f>
        <v>2035</v>
      </c>
      <c r="M1026" s="375"/>
      <c r="N1026" s="375"/>
      <c r="O1026" s="375"/>
    </row>
    <row r="1027" spans="1:15" s="236" customFormat="1" x14ac:dyDescent="0.3">
      <c r="A1027" s="254"/>
      <c r="B1027" s="268" t="str">
        <f>$B$7</f>
        <v>FT</v>
      </c>
      <c r="C1027" s="268" t="str">
        <f>$C$7</f>
        <v>PT</v>
      </c>
      <c r="D1027" s="268" t="str">
        <f>$D$7</f>
        <v>SE</v>
      </c>
      <c r="E1027" s="268" t="str">
        <f>$E$7</f>
        <v>Total</v>
      </c>
      <c r="F1027" s="268"/>
      <c r="G1027" s="268" t="str">
        <f>$G$7</f>
        <v>FT</v>
      </c>
      <c r="H1027" s="268" t="str">
        <f>$H$7</f>
        <v>PT</v>
      </c>
      <c r="I1027" s="268" t="str">
        <f>$I$7</f>
        <v>SE</v>
      </c>
      <c r="J1027" s="268" t="str">
        <f>$J$7</f>
        <v>Total</v>
      </c>
      <c r="K1027" s="268"/>
      <c r="L1027" s="268" t="str">
        <f>$L$7</f>
        <v>FT</v>
      </c>
      <c r="M1027" s="268" t="str">
        <f>$M$7</f>
        <v>PT</v>
      </c>
      <c r="N1027" s="268" t="str">
        <f>$N$7</f>
        <v>SE</v>
      </c>
      <c r="O1027" s="268" t="str">
        <f>$O$7</f>
        <v>Total</v>
      </c>
    </row>
    <row r="1028" spans="1:15" s="236" customFormat="1" x14ac:dyDescent="0.3">
      <c r="A1028" s="258"/>
      <c r="B1028" s="239"/>
      <c r="C1028" s="239"/>
      <c r="D1028" s="239"/>
      <c r="E1028" s="239"/>
      <c r="F1028" s="239"/>
      <c r="G1028" s="239"/>
      <c r="H1028" s="239"/>
      <c r="I1028" s="239"/>
      <c r="J1028" s="239"/>
      <c r="K1028" s="239"/>
      <c r="L1028" s="239"/>
      <c r="M1028" s="239"/>
      <c r="N1028" s="239"/>
      <c r="O1028" s="239"/>
    </row>
    <row r="1029" spans="1:15" s="236" customFormat="1" x14ac:dyDescent="0.3">
      <c r="A1029" s="237" t="str">
        <f>name!E$4</f>
        <v>Managers, directors and senior officials</v>
      </c>
      <c r="B1029" s="302">
        <v>0.41104059574585394</v>
      </c>
      <c r="C1029" s="302">
        <v>7.7114423941253396E-2</v>
      </c>
      <c r="D1029" s="302">
        <v>0.17012514444004359</v>
      </c>
      <c r="E1029" s="302">
        <f>SUM(B1029:D1029)</f>
        <v>0.65828016412715096</v>
      </c>
      <c r="F1029" s="303"/>
      <c r="G1029" s="302">
        <v>0.53952738092553143</v>
      </c>
      <c r="H1029" s="302">
        <v>9.445479256671481E-2</v>
      </c>
      <c r="I1029" s="302">
        <v>0.13737782538661766</v>
      </c>
      <c r="J1029" s="302">
        <f>SUM(G1029:I1029)</f>
        <v>0.77135999887886397</v>
      </c>
      <c r="K1029" s="303"/>
      <c r="L1029" s="302">
        <v>0.63534651313459656</v>
      </c>
      <c r="M1029" s="302">
        <v>0.11773302198524399</v>
      </c>
      <c r="N1029" s="302">
        <v>0.15998660530407888</v>
      </c>
      <c r="O1029" s="302">
        <f>SUM(L1029:N1029)</f>
        <v>0.91306614042391931</v>
      </c>
    </row>
    <row r="1030" spans="1:15" s="236" customFormat="1" x14ac:dyDescent="0.3">
      <c r="A1030" s="237" t="str">
        <f>name!E$5</f>
        <v>Professional occupations</v>
      </c>
      <c r="B1030" s="302">
        <v>0.31111146677920082</v>
      </c>
      <c r="C1030" s="302">
        <v>5.2202951069475576E-2</v>
      </c>
      <c r="D1030" s="302">
        <v>4.4405148364292754E-2</v>
      </c>
      <c r="E1030" s="302">
        <f t="shared" ref="E1030:E1037" si="441">SUM(B1030:D1030)</f>
        <v>0.40771956621296918</v>
      </c>
      <c r="F1030" s="303"/>
      <c r="G1030" s="302">
        <v>0.45188323770157002</v>
      </c>
      <c r="H1030" s="302">
        <v>6.8263434782401017E-2</v>
      </c>
      <c r="I1030" s="302">
        <v>3.3842209907644145E-2</v>
      </c>
      <c r="J1030" s="302">
        <f t="shared" ref="J1030:J1032" si="442">SUM(G1030:I1030)</f>
        <v>0.55398888239161526</v>
      </c>
      <c r="K1030" s="303"/>
      <c r="L1030" s="302">
        <v>0.67831763284074142</v>
      </c>
      <c r="M1030" s="302">
        <v>9.5578909930839187E-2</v>
      </c>
      <c r="N1030" s="302">
        <v>2.9095865362106593E-2</v>
      </c>
      <c r="O1030" s="302">
        <f t="shared" ref="O1030:O1037" si="443">SUM(L1030:N1030)</f>
        <v>0.80299240813368722</v>
      </c>
    </row>
    <row r="1031" spans="1:15" s="236" customFormat="1" x14ac:dyDescent="0.3">
      <c r="A1031" s="237" t="str">
        <f>name!E$6</f>
        <v>Associate professional occupations</v>
      </c>
      <c r="B1031" s="302">
        <v>0.25430672537176441</v>
      </c>
      <c r="C1031" s="302">
        <v>6.8460469915259364E-2</v>
      </c>
      <c r="D1031" s="302">
        <v>5.2385042969538359E-2</v>
      </c>
      <c r="E1031" s="302">
        <f t="shared" si="441"/>
        <v>0.37515223825656219</v>
      </c>
      <c r="F1031" s="303"/>
      <c r="G1031" s="302">
        <v>0.33577943598265908</v>
      </c>
      <c r="H1031" s="302">
        <v>7.2235519311887028E-2</v>
      </c>
      <c r="I1031" s="302">
        <v>3.5238626927718356E-2</v>
      </c>
      <c r="J1031" s="302">
        <f t="shared" si="442"/>
        <v>0.44325358222226446</v>
      </c>
      <c r="K1031" s="303"/>
      <c r="L1031" s="302">
        <v>0.38933330038424724</v>
      </c>
      <c r="M1031" s="302">
        <v>8.0782398094534219E-2</v>
      </c>
      <c r="N1031" s="302">
        <v>3.5864303528006604E-2</v>
      </c>
      <c r="O1031" s="302">
        <f t="shared" si="443"/>
        <v>0.50598000200678805</v>
      </c>
    </row>
    <row r="1032" spans="1:15" s="236" customFormat="1" x14ac:dyDescent="0.3">
      <c r="A1032" s="237" t="str">
        <f>name!E$7</f>
        <v>Administrative and secretarial occupations</v>
      </c>
      <c r="B1032" s="302">
        <v>0.42150470633357162</v>
      </c>
      <c r="C1032" s="302">
        <v>0.21592417834618755</v>
      </c>
      <c r="D1032" s="302">
        <v>5.1228380360762188E-2</v>
      </c>
      <c r="E1032" s="302">
        <f t="shared" si="441"/>
        <v>0.68865726504052127</v>
      </c>
      <c r="F1032" s="303"/>
      <c r="G1032" s="302">
        <v>0.50423819724296126</v>
      </c>
      <c r="H1032" s="302">
        <v>0.1950092636912435</v>
      </c>
      <c r="I1032" s="302">
        <v>3.4517481215969405E-2</v>
      </c>
      <c r="J1032" s="302">
        <f t="shared" si="442"/>
        <v>0.73376494215017418</v>
      </c>
      <c r="K1032" s="303"/>
      <c r="L1032" s="302">
        <v>0.55144345542350981</v>
      </c>
      <c r="M1032" s="302">
        <v>0.16657451380272079</v>
      </c>
      <c r="N1032" s="302">
        <v>4.1003931259240768E-2</v>
      </c>
      <c r="O1032" s="302">
        <f t="shared" si="443"/>
        <v>0.75902190048547136</v>
      </c>
    </row>
    <row r="1033" spans="1:15" s="236" customFormat="1" x14ac:dyDescent="0.3">
      <c r="A1033" s="237" t="str">
        <f>name!E$8</f>
        <v>Skilled trades occupations</v>
      </c>
      <c r="B1033" s="302">
        <v>8.8590649117268702E-2</v>
      </c>
      <c r="C1033" s="302">
        <v>6.71285839016348E-2</v>
      </c>
      <c r="D1033" s="302">
        <v>2.9910609713545897E-2</v>
      </c>
      <c r="E1033" s="302">
        <f t="shared" si="441"/>
        <v>0.1856298427324494</v>
      </c>
      <c r="F1033" s="303"/>
      <c r="G1033" s="302">
        <v>8.3643199047309089E-2</v>
      </c>
      <c r="H1033" s="302">
        <v>3.7096037178292726E-2</v>
      </c>
      <c r="I1033" s="302">
        <v>2.0616893178017685E-2</v>
      </c>
      <c r="J1033" s="302">
        <f>SUM(G1033:I1033)</f>
        <v>0.1413561294036195</v>
      </c>
      <c r="K1033" s="303"/>
      <c r="L1033" s="302">
        <v>9.8757830164274224E-2</v>
      </c>
      <c r="M1033" s="302">
        <v>5.5654590826071056E-2</v>
      </c>
      <c r="N1033" s="302">
        <v>3.4998038744960477E-2</v>
      </c>
      <c r="O1033" s="302">
        <f t="shared" si="443"/>
        <v>0.18941045973530574</v>
      </c>
    </row>
    <row r="1034" spans="1:15" s="236" customFormat="1" x14ac:dyDescent="0.3">
      <c r="A1034" s="237" t="str">
        <f>name!E$9</f>
        <v>Caring, leisure and other service occupations</v>
      </c>
      <c r="B1034" s="302">
        <v>0.31699702419869757</v>
      </c>
      <c r="C1034" s="302">
        <v>0.38016635801662757</v>
      </c>
      <c r="D1034" s="302">
        <v>0.58978245825429298</v>
      </c>
      <c r="E1034" s="302">
        <f t="shared" si="441"/>
        <v>1.2869458404696181</v>
      </c>
      <c r="F1034" s="303"/>
      <c r="G1034" s="302">
        <v>0.32087118826145422</v>
      </c>
      <c r="H1034" s="302">
        <v>0.27075976889682901</v>
      </c>
      <c r="I1034" s="302">
        <v>0.38829491987736686</v>
      </c>
      <c r="J1034" s="302">
        <f t="shared" ref="J1034:J1037" si="444">SUM(G1034:I1034)</f>
        <v>0.97992587703565004</v>
      </c>
      <c r="K1034" s="303"/>
      <c r="L1034" s="302">
        <v>0.35734179073841932</v>
      </c>
      <c r="M1034" s="302">
        <v>0.30163813408465684</v>
      </c>
      <c r="N1034" s="302">
        <v>0.44604667324291125</v>
      </c>
      <c r="O1034" s="302">
        <f t="shared" si="443"/>
        <v>1.1050265980659875</v>
      </c>
    </row>
    <row r="1035" spans="1:15" s="236" customFormat="1" x14ac:dyDescent="0.3">
      <c r="A1035" s="237" t="str">
        <f>name!E$10</f>
        <v>Sales and customer service occupations</v>
      </c>
      <c r="B1035" s="302">
        <v>0.18406504875939089</v>
      </c>
      <c r="C1035" s="302">
        <v>9.2632268435233589E-2</v>
      </c>
      <c r="D1035" s="302">
        <v>4.5772610061206871E-2</v>
      </c>
      <c r="E1035" s="302">
        <f t="shared" si="441"/>
        <v>0.32246992725583135</v>
      </c>
      <c r="F1035" s="303"/>
      <c r="G1035" s="302">
        <v>0.20300386462891595</v>
      </c>
      <c r="H1035" s="302">
        <v>7.4162274752878524E-2</v>
      </c>
      <c r="I1035" s="302">
        <v>2.456616169724473E-2</v>
      </c>
      <c r="J1035" s="302">
        <f t="shared" si="444"/>
        <v>0.3017323010790392</v>
      </c>
      <c r="K1035" s="303"/>
      <c r="L1035" s="302">
        <v>0.25362208299788225</v>
      </c>
      <c r="M1035" s="302">
        <v>0.10496032444009644</v>
      </c>
      <c r="N1035" s="302">
        <v>2.7178351881122623E-2</v>
      </c>
      <c r="O1035" s="302">
        <f t="shared" si="443"/>
        <v>0.38576075931910131</v>
      </c>
    </row>
    <row r="1036" spans="1:15" s="236" customFormat="1" x14ac:dyDescent="0.3">
      <c r="A1036" s="237" t="str">
        <f>name!E$11</f>
        <v>Process, plant and machine operatives</v>
      </c>
      <c r="B1036" s="302">
        <v>0.71261925800549075</v>
      </c>
      <c r="C1036" s="302">
        <v>0.30790448842740831</v>
      </c>
      <c r="D1036" s="302">
        <v>4.4388984276849897E-2</v>
      </c>
      <c r="E1036" s="302">
        <f t="shared" si="441"/>
        <v>1.064912730709749</v>
      </c>
      <c r="F1036" s="303"/>
      <c r="G1036" s="302">
        <v>0.71120757616357344</v>
      </c>
      <c r="H1036" s="302">
        <v>0.26109943161870774</v>
      </c>
      <c r="I1036" s="302">
        <v>3.8654098128572033E-2</v>
      </c>
      <c r="J1036" s="302">
        <f t="shared" si="444"/>
        <v>1.0109611059108532</v>
      </c>
      <c r="K1036" s="303"/>
      <c r="L1036" s="302">
        <v>0.87106239923589923</v>
      </c>
      <c r="M1036" s="302">
        <v>0.34476871120332853</v>
      </c>
      <c r="N1036" s="302">
        <v>3.9308764066875189E-2</v>
      </c>
      <c r="O1036" s="302">
        <f t="shared" si="443"/>
        <v>1.2551398745061029</v>
      </c>
    </row>
    <row r="1037" spans="1:15" s="236" customFormat="1" x14ac:dyDescent="0.3">
      <c r="A1037" s="237" t="str">
        <f>name!E$12</f>
        <v>Elementary occupations</v>
      </c>
      <c r="B1037" s="302">
        <v>0.84376452568887816</v>
      </c>
      <c r="C1037" s="302">
        <v>0.38046627796782911</v>
      </c>
      <c r="D1037" s="302">
        <v>2.4001621579082762E-2</v>
      </c>
      <c r="E1037" s="302">
        <f t="shared" si="441"/>
        <v>1.2482324252357901</v>
      </c>
      <c r="F1037" s="303"/>
      <c r="G1037" s="302">
        <v>0.74984592004217232</v>
      </c>
      <c r="H1037" s="302">
        <v>0.26891947720511622</v>
      </c>
      <c r="I1037" s="302">
        <v>1.2891783671949613E-2</v>
      </c>
      <c r="J1037" s="302">
        <f t="shared" si="444"/>
        <v>1.0316571809192381</v>
      </c>
      <c r="K1037" s="303"/>
      <c r="L1037" s="302">
        <v>0.68377499510268103</v>
      </c>
      <c r="M1037" s="302">
        <v>0.23630939564170342</v>
      </c>
      <c r="N1037" s="302">
        <v>1.3517466614398812E-2</v>
      </c>
      <c r="O1037" s="302">
        <f t="shared" si="443"/>
        <v>0.9336018573587832</v>
      </c>
    </row>
    <row r="1038" spans="1:15" s="236" customFormat="1" x14ac:dyDescent="0.3">
      <c r="A1038" s="237"/>
      <c r="B1038" s="302"/>
      <c r="C1038" s="302"/>
      <c r="D1038" s="302"/>
      <c r="E1038" s="302"/>
      <c r="F1038" s="303"/>
      <c r="G1038" s="302"/>
      <c r="H1038" s="302"/>
      <c r="I1038" s="302"/>
      <c r="J1038" s="302"/>
      <c r="K1038" s="303"/>
      <c r="L1038" s="302"/>
      <c r="M1038" s="302"/>
      <c r="N1038" s="302"/>
      <c r="O1038" s="302"/>
    </row>
    <row r="1039" spans="1:15" s="236" customFormat="1" x14ac:dyDescent="0.3">
      <c r="A1039" s="244" t="s">
        <v>32</v>
      </c>
      <c r="B1039" s="311">
        <f>SUM(B1029:B1037)</f>
        <v>3.5440000000001168</v>
      </c>
      <c r="C1039" s="311">
        <f t="shared" ref="C1039:E1039" si="445">SUM(C1029:C1037)</f>
        <v>1.6420000000209092</v>
      </c>
      <c r="D1039" s="311">
        <f t="shared" si="445"/>
        <v>1.0520000000196152</v>
      </c>
      <c r="E1039" s="311">
        <f t="shared" si="445"/>
        <v>6.2380000000406417</v>
      </c>
      <c r="F1039" s="311"/>
      <c r="G1039" s="311">
        <f t="shared" ref="G1039:J1039" si="446">SUM(G1029:G1037)</f>
        <v>3.899999999996147</v>
      </c>
      <c r="H1039" s="311">
        <f t="shared" si="446"/>
        <v>1.3420000000040706</v>
      </c>
      <c r="I1039" s="311">
        <f t="shared" si="446"/>
        <v>0.72599999999110054</v>
      </c>
      <c r="J1039" s="311">
        <f t="shared" si="446"/>
        <v>5.967999999991318</v>
      </c>
      <c r="K1039" s="311"/>
      <c r="L1039" s="311">
        <f t="shared" ref="L1039:O1039" si="447">SUM(L1029:L1037)</f>
        <v>4.5190000000222517</v>
      </c>
      <c r="M1039" s="311">
        <f t="shared" si="447"/>
        <v>1.5040000000091944</v>
      </c>
      <c r="N1039" s="311">
        <f t="shared" si="447"/>
        <v>0.82700000000370122</v>
      </c>
      <c r="O1039" s="311">
        <f t="shared" si="447"/>
        <v>6.8500000000351466</v>
      </c>
    </row>
    <row r="1040" spans="1:15" s="236" customFormat="1" x14ac:dyDescent="0.3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37"/>
      <c r="M1040" s="237"/>
      <c r="N1040" s="240"/>
    </row>
    <row r="1041" spans="1:15" s="236" customFormat="1" x14ac:dyDescent="0.3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37"/>
      <c r="M1041" s="237"/>
      <c r="N1041" s="240"/>
      <c r="O1041" s="251" t="s">
        <v>35</v>
      </c>
    </row>
    <row r="1042" spans="1:15" s="236" customFormat="1" x14ac:dyDescent="0.3">
      <c r="A1042" s="242"/>
      <c r="B1042" s="242"/>
      <c r="C1042" s="242"/>
      <c r="D1042" s="242"/>
      <c r="E1042" s="242"/>
      <c r="F1042" s="242"/>
      <c r="G1042" s="242"/>
      <c r="H1042" s="242"/>
      <c r="I1042" s="242"/>
      <c r="J1042" s="242"/>
      <c r="K1042" s="242"/>
      <c r="L1042" s="242"/>
      <c r="M1042" s="242"/>
      <c r="N1042" s="242"/>
      <c r="O1042" s="242"/>
    </row>
    <row r="1043" spans="1:15" s="236" customFormat="1" x14ac:dyDescent="0.3">
      <c r="A1043" s="241" t="str">
        <f>name!A64</f>
        <v>Security, etc</v>
      </c>
      <c r="B1043" s="375">
        <f>$B$6</f>
        <v>2015</v>
      </c>
      <c r="C1043" s="375"/>
      <c r="D1043" s="375"/>
      <c r="E1043" s="375"/>
      <c r="F1043" s="263"/>
      <c r="G1043" s="375">
        <f>$G$6</f>
        <v>2020</v>
      </c>
      <c r="H1043" s="375"/>
      <c r="I1043" s="375"/>
      <c r="J1043" s="375"/>
      <c r="K1043" s="263"/>
      <c r="L1043" s="375">
        <f>$L$6</f>
        <v>2035</v>
      </c>
      <c r="M1043" s="375"/>
      <c r="N1043" s="375"/>
      <c r="O1043" s="375"/>
    </row>
    <row r="1044" spans="1:15" s="236" customFormat="1" x14ac:dyDescent="0.3">
      <c r="A1044" s="254"/>
      <c r="B1044" s="268" t="str">
        <f>$B$7</f>
        <v>FT</v>
      </c>
      <c r="C1044" s="268" t="str">
        <f>$C$7</f>
        <v>PT</v>
      </c>
      <c r="D1044" s="268" t="str">
        <f>$D$7</f>
        <v>SE</v>
      </c>
      <c r="E1044" s="268" t="str">
        <f>$E$7</f>
        <v>Total</v>
      </c>
      <c r="F1044" s="268"/>
      <c r="G1044" s="268" t="str">
        <f>$G$7</f>
        <v>FT</v>
      </c>
      <c r="H1044" s="268" t="str">
        <f>$H$7</f>
        <v>PT</v>
      </c>
      <c r="I1044" s="268" t="str">
        <f>$I$7</f>
        <v>SE</v>
      </c>
      <c r="J1044" s="268" t="str">
        <f>$J$7</f>
        <v>Total</v>
      </c>
      <c r="K1044" s="268"/>
      <c r="L1044" s="268" t="str">
        <f>$L$7</f>
        <v>FT</v>
      </c>
      <c r="M1044" s="268" t="str">
        <f>$M$7</f>
        <v>PT</v>
      </c>
      <c r="N1044" s="268" t="str">
        <f>$N$7</f>
        <v>SE</v>
      </c>
      <c r="O1044" s="268" t="str">
        <f>$O$7</f>
        <v>Total</v>
      </c>
    </row>
    <row r="1045" spans="1:15" s="236" customFormat="1" x14ac:dyDescent="0.3">
      <c r="A1045" s="258"/>
      <c r="B1045" s="239"/>
      <c r="C1045" s="239"/>
      <c r="D1045" s="239"/>
      <c r="E1045" s="239"/>
      <c r="F1045" s="239"/>
      <c r="G1045" s="239"/>
      <c r="H1045" s="239"/>
      <c r="I1045" s="239"/>
      <c r="J1045" s="239"/>
      <c r="K1045" s="239"/>
      <c r="L1045" s="239"/>
      <c r="M1045" s="239"/>
      <c r="N1045" s="239"/>
      <c r="O1045" s="239"/>
    </row>
    <row r="1046" spans="1:15" s="236" customFormat="1" x14ac:dyDescent="0.3">
      <c r="A1046" s="237" t="str">
        <f>name!E$4</f>
        <v>Managers, directors and senior officials</v>
      </c>
      <c r="B1046" s="302">
        <v>0.93237439839538483</v>
      </c>
      <c r="C1046" s="302">
        <v>8.3681622806474218E-2</v>
      </c>
      <c r="D1046" s="302">
        <v>0.26263535143623939</v>
      </c>
      <c r="E1046" s="302">
        <f>SUM(B1046:D1046)</f>
        <v>1.2786913726380984</v>
      </c>
      <c r="F1046" s="303"/>
      <c r="G1046" s="302">
        <v>1.3764740141481917</v>
      </c>
      <c r="H1046" s="302">
        <v>0.26358926821479561</v>
      </c>
      <c r="I1046" s="302">
        <v>0.34850192107284828</v>
      </c>
      <c r="J1046" s="302">
        <f>SUM(G1046:I1046)</f>
        <v>1.9885652034358356</v>
      </c>
      <c r="K1046" s="303"/>
      <c r="L1046" s="302">
        <v>1.5980313003458759</v>
      </c>
      <c r="M1046" s="302">
        <v>0.30006906559388058</v>
      </c>
      <c r="N1046" s="302">
        <v>0.40744205435428593</v>
      </c>
      <c r="O1046" s="302">
        <f>SUM(L1046:N1046)</f>
        <v>2.3055424202940427</v>
      </c>
    </row>
    <row r="1047" spans="1:15" s="236" customFormat="1" x14ac:dyDescent="0.3">
      <c r="A1047" s="237" t="str">
        <f>name!E$5</f>
        <v>Professional occupations</v>
      </c>
      <c r="B1047" s="302">
        <v>1.0384922384580004</v>
      </c>
      <c r="C1047" s="302">
        <v>8.1933736523221237E-2</v>
      </c>
      <c r="D1047" s="302">
        <v>0.23816891074625093</v>
      </c>
      <c r="E1047" s="302">
        <f t="shared" ref="E1047:E1054" si="448">SUM(B1047:D1047)</f>
        <v>1.3585948857274728</v>
      </c>
      <c r="F1047" s="303"/>
      <c r="G1047" s="302">
        <v>1.7286801431576677</v>
      </c>
      <c r="H1047" s="302">
        <v>0.30214439443041213</v>
      </c>
      <c r="I1047" s="302">
        <v>0.28949717262429464</v>
      </c>
      <c r="J1047" s="302">
        <f t="shared" ref="J1047:J1049" si="449">SUM(G1047:I1047)</f>
        <v>2.3203217102123745</v>
      </c>
      <c r="K1047" s="303"/>
      <c r="L1047" s="302">
        <v>2.3117621123339553</v>
      </c>
      <c r="M1047" s="302">
        <v>0.48085949800739031</v>
      </c>
      <c r="N1047" s="302">
        <v>0.25453292273247807</v>
      </c>
      <c r="O1047" s="302">
        <f t="shared" ref="O1047:O1054" si="450">SUM(L1047:N1047)</f>
        <v>3.0471545330738237</v>
      </c>
    </row>
    <row r="1048" spans="1:15" s="236" customFormat="1" x14ac:dyDescent="0.3">
      <c r="A1048" s="237" t="str">
        <f>name!E$6</f>
        <v>Associate professional occupations</v>
      </c>
      <c r="B1048" s="302">
        <v>1.4567469259143444</v>
      </c>
      <c r="C1048" s="302">
        <v>0.12777277544559804</v>
      </c>
      <c r="D1048" s="302">
        <v>0.54251763927175534</v>
      </c>
      <c r="E1048" s="302">
        <f t="shared" si="448"/>
        <v>2.1270373406316976</v>
      </c>
      <c r="F1048" s="303"/>
      <c r="G1048" s="302">
        <v>2.1906807828487183</v>
      </c>
      <c r="H1048" s="302">
        <v>0.34821513820246858</v>
      </c>
      <c r="I1048" s="302">
        <v>0.67035147076121571</v>
      </c>
      <c r="J1048" s="302">
        <f t="shared" si="449"/>
        <v>3.2092473918124025</v>
      </c>
      <c r="K1048" s="303"/>
      <c r="L1048" s="302">
        <v>2.3595883200580783</v>
      </c>
      <c r="M1048" s="302">
        <v>0.43231294951264537</v>
      </c>
      <c r="N1048" s="302">
        <v>0.688303138173749</v>
      </c>
      <c r="O1048" s="302">
        <f t="shared" si="450"/>
        <v>3.4802044077444725</v>
      </c>
    </row>
    <row r="1049" spans="1:15" s="236" customFormat="1" x14ac:dyDescent="0.3">
      <c r="A1049" s="237" t="str">
        <f>name!E$7</f>
        <v>Administrative and secretarial occupations</v>
      </c>
      <c r="B1049" s="302">
        <v>0.73157709576840813</v>
      </c>
      <c r="C1049" s="302">
        <v>0.20312750354045644</v>
      </c>
      <c r="D1049" s="302">
        <v>0.15129917027688941</v>
      </c>
      <c r="E1049" s="302">
        <f t="shared" si="448"/>
        <v>1.0860037695857538</v>
      </c>
      <c r="F1049" s="303"/>
      <c r="G1049" s="302">
        <v>0.9597984894090803</v>
      </c>
      <c r="H1049" s="302">
        <v>0.45180079526123296</v>
      </c>
      <c r="I1049" s="302">
        <v>0.15787900096724686</v>
      </c>
      <c r="J1049" s="302">
        <f t="shared" si="449"/>
        <v>1.5694782856375602</v>
      </c>
      <c r="K1049" s="303"/>
      <c r="L1049" s="302">
        <v>0.97354493431118594</v>
      </c>
      <c r="M1049" s="302">
        <v>0.57532375067917618</v>
      </c>
      <c r="N1049" s="302">
        <v>0.21861730379869032</v>
      </c>
      <c r="O1049" s="302">
        <f t="shared" si="450"/>
        <v>1.7674859887890524</v>
      </c>
    </row>
    <row r="1050" spans="1:15" s="236" customFormat="1" x14ac:dyDescent="0.3">
      <c r="A1050" s="237" t="str">
        <f>name!E$8</f>
        <v>Skilled trades occupations</v>
      </c>
      <c r="B1050" s="302">
        <v>0.33219000263375115</v>
      </c>
      <c r="C1050" s="302">
        <v>4.9417593555608499E-2</v>
      </c>
      <c r="D1050" s="302">
        <v>0.22743556294183781</v>
      </c>
      <c r="E1050" s="302">
        <f t="shared" si="448"/>
        <v>0.60904315913119744</v>
      </c>
      <c r="F1050" s="303"/>
      <c r="G1050" s="302">
        <v>0.34952304452522903</v>
      </c>
      <c r="H1050" s="302">
        <v>7.4360177724028406E-2</v>
      </c>
      <c r="I1050" s="302">
        <v>0.21444957579379151</v>
      </c>
      <c r="J1050" s="302">
        <f>SUM(G1050:I1050)</f>
        <v>0.63833279804304899</v>
      </c>
      <c r="K1050" s="303"/>
      <c r="L1050" s="302">
        <v>0.33288549059739059</v>
      </c>
      <c r="M1050" s="302">
        <v>9.8089196551444477E-2</v>
      </c>
      <c r="N1050" s="302">
        <v>0.18315147139310609</v>
      </c>
      <c r="O1050" s="302">
        <f t="shared" si="450"/>
        <v>0.61412615854194119</v>
      </c>
    </row>
    <row r="1051" spans="1:15" s="236" customFormat="1" x14ac:dyDescent="0.3">
      <c r="A1051" s="237" t="str">
        <f>name!E$9</f>
        <v>Caring, leisure and other service occupations</v>
      </c>
      <c r="B1051" s="302">
        <v>0.34656714179892445</v>
      </c>
      <c r="C1051" s="302">
        <v>0.18054154233301226</v>
      </c>
      <c r="D1051" s="302">
        <v>0.1331036760012583</v>
      </c>
      <c r="E1051" s="302">
        <f t="shared" si="448"/>
        <v>0.66021236013319495</v>
      </c>
      <c r="F1051" s="303"/>
      <c r="G1051" s="302">
        <v>0.44229284813917719</v>
      </c>
      <c r="H1051" s="302">
        <v>0.42545464552612505</v>
      </c>
      <c r="I1051" s="302">
        <v>0.17702940945756637</v>
      </c>
      <c r="J1051" s="302">
        <f t="shared" ref="J1051:J1054" si="451">SUM(G1051:I1051)</f>
        <v>1.0447769031228686</v>
      </c>
      <c r="K1051" s="303"/>
      <c r="L1051" s="302">
        <v>0.5544453332271011</v>
      </c>
      <c r="M1051" s="302">
        <v>0.53154896467951041</v>
      </c>
      <c r="N1051" s="302">
        <v>0.25522111125254276</v>
      </c>
      <c r="O1051" s="302">
        <f t="shared" si="450"/>
        <v>1.3412154091591542</v>
      </c>
    </row>
    <row r="1052" spans="1:15" s="236" customFormat="1" x14ac:dyDescent="0.3">
      <c r="A1052" s="237" t="str">
        <f>name!E$10</f>
        <v>Sales and customer service occupations</v>
      </c>
      <c r="B1052" s="302">
        <v>0.45666381470646672</v>
      </c>
      <c r="C1052" s="302">
        <v>0.10357548071252276</v>
      </c>
      <c r="D1052" s="302">
        <v>7.5551501594942602E-2</v>
      </c>
      <c r="E1052" s="302">
        <f t="shared" si="448"/>
        <v>0.63579079701393204</v>
      </c>
      <c r="F1052" s="303"/>
      <c r="G1052" s="302">
        <v>0.58625975713621825</v>
      </c>
      <c r="H1052" s="302">
        <v>0.24328584691262622</v>
      </c>
      <c r="I1052" s="302">
        <v>8.1216990415891602E-2</v>
      </c>
      <c r="J1052" s="302">
        <f t="shared" si="451"/>
        <v>0.91076259446473606</v>
      </c>
      <c r="K1052" s="303"/>
      <c r="L1052" s="302">
        <v>0.80450592964568013</v>
      </c>
      <c r="M1052" s="302">
        <v>0.3792929154819899</v>
      </c>
      <c r="N1052" s="302">
        <v>8.1545370876668466E-2</v>
      </c>
      <c r="O1052" s="302">
        <f t="shared" si="450"/>
        <v>1.2653442160043384</v>
      </c>
    </row>
    <row r="1053" spans="1:15" s="236" customFormat="1" x14ac:dyDescent="0.3">
      <c r="A1053" s="237" t="str">
        <f>name!E$11</f>
        <v>Process, plant and machine operatives</v>
      </c>
      <c r="B1053" s="302">
        <v>0.32927874656005379</v>
      </c>
      <c r="C1053" s="302">
        <v>0.11498719219004121</v>
      </c>
      <c r="D1053" s="302">
        <v>3.5599530176447305E-2</v>
      </c>
      <c r="E1053" s="302">
        <f t="shared" si="448"/>
        <v>0.4798654689265423</v>
      </c>
      <c r="F1053" s="303"/>
      <c r="G1053" s="302">
        <v>0.35910927054626118</v>
      </c>
      <c r="H1053" s="302">
        <v>0.27368521239400295</v>
      </c>
      <c r="I1053" s="302">
        <v>4.4315053514317714E-2</v>
      </c>
      <c r="J1053" s="302">
        <f t="shared" si="451"/>
        <v>0.67710953645458183</v>
      </c>
      <c r="K1053" s="303"/>
      <c r="L1053" s="302">
        <v>0.33988277613118617</v>
      </c>
      <c r="M1053" s="302">
        <v>0.35380493456683471</v>
      </c>
      <c r="N1053" s="302">
        <v>5.2120843042960843E-2</v>
      </c>
      <c r="O1053" s="302">
        <f t="shared" si="450"/>
        <v>0.74580855374098165</v>
      </c>
    </row>
    <row r="1054" spans="1:15" s="236" customFormat="1" x14ac:dyDescent="0.3">
      <c r="A1054" s="237" t="str">
        <f>name!E$12</f>
        <v>Elementary occupations</v>
      </c>
      <c r="B1054" s="302">
        <v>2.0121096357673443</v>
      </c>
      <c r="C1054" s="302">
        <v>1.6499625529426252</v>
      </c>
      <c r="D1054" s="302">
        <v>0.47468865758322304</v>
      </c>
      <c r="E1054" s="302">
        <f t="shared" si="448"/>
        <v>4.1367608462931926</v>
      </c>
      <c r="F1054" s="303"/>
      <c r="G1054" s="302">
        <v>2.3501816500691075</v>
      </c>
      <c r="H1054" s="302">
        <v>3.1264645213385927</v>
      </c>
      <c r="I1054" s="302">
        <v>0.54375940541927514</v>
      </c>
      <c r="J1054" s="302">
        <f t="shared" si="451"/>
        <v>6.0204055768269757</v>
      </c>
      <c r="K1054" s="303"/>
      <c r="L1054" s="302">
        <v>2.7223538033567776</v>
      </c>
      <c r="M1054" s="302">
        <v>2.9966987249590824</v>
      </c>
      <c r="N1054" s="302">
        <v>0.72806578442697334</v>
      </c>
      <c r="O1054" s="302">
        <f t="shared" si="450"/>
        <v>6.4471183127428331</v>
      </c>
    </row>
    <row r="1055" spans="1:15" s="236" customFormat="1" x14ac:dyDescent="0.3">
      <c r="A1055" s="237"/>
      <c r="B1055" s="302"/>
      <c r="C1055" s="302"/>
      <c r="D1055" s="302"/>
      <c r="E1055" s="302"/>
      <c r="F1055" s="303"/>
      <c r="G1055" s="302"/>
      <c r="H1055" s="302"/>
      <c r="I1055" s="302"/>
      <c r="J1055" s="302"/>
      <c r="K1055" s="303"/>
      <c r="L1055" s="302"/>
      <c r="M1055" s="302"/>
      <c r="N1055" s="302"/>
      <c r="O1055" s="302"/>
    </row>
    <row r="1056" spans="1:15" s="236" customFormat="1" x14ac:dyDescent="0.3">
      <c r="A1056" s="244" t="s">
        <v>32</v>
      </c>
      <c r="B1056" s="311">
        <f>SUM(B1046:B1054)</f>
        <v>7.636000000002678</v>
      </c>
      <c r="C1056" s="311">
        <f t="shared" ref="C1056:E1056" si="452">SUM(C1046:C1054)</f>
        <v>2.5950000000495597</v>
      </c>
      <c r="D1056" s="311">
        <f t="shared" si="452"/>
        <v>2.1410000000288441</v>
      </c>
      <c r="E1056" s="311">
        <f t="shared" si="452"/>
        <v>12.372000000081083</v>
      </c>
      <c r="F1056" s="311"/>
      <c r="G1056" s="311">
        <f t="shared" ref="G1056:J1056" si="453">SUM(G1046:G1054)</f>
        <v>10.34299999997965</v>
      </c>
      <c r="H1056" s="311">
        <f t="shared" si="453"/>
        <v>5.5090000000042849</v>
      </c>
      <c r="I1056" s="311">
        <f t="shared" si="453"/>
        <v>2.5270000000264479</v>
      </c>
      <c r="J1056" s="311">
        <f t="shared" si="453"/>
        <v>18.379000000010382</v>
      </c>
      <c r="K1056" s="311"/>
      <c r="L1056" s="311">
        <f t="shared" ref="L1056:O1056" si="454">SUM(L1046:L1054)</f>
        <v>11.99700000000723</v>
      </c>
      <c r="M1056" s="311">
        <f t="shared" si="454"/>
        <v>6.1480000000319546</v>
      </c>
      <c r="N1056" s="311">
        <f t="shared" si="454"/>
        <v>2.8690000000514546</v>
      </c>
      <c r="O1056" s="311">
        <f t="shared" si="454"/>
        <v>21.01400000009064</v>
      </c>
    </row>
    <row r="1057" spans="1:15" s="236" customFormat="1" x14ac:dyDescent="0.3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37"/>
      <c r="M1057" s="237"/>
      <c r="N1057" s="240"/>
    </row>
    <row r="1058" spans="1:15" s="236" customFormat="1" x14ac:dyDescent="0.3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37"/>
      <c r="M1058" s="237"/>
      <c r="N1058" s="240"/>
      <c r="O1058" s="251" t="s">
        <v>35</v>
      </c>
    </row>
    <row r="1059" spans="1:15" s="236" customFormat="1" x14ac:dyDescent="0.3">
      <c r="A1059" s="242"/>
      <c r="B1059" s="242"/>
      <c r="C1059" s="242"/>
      <c r="D1059" s="242"/>
      <c r="E1059" s="242"/>
      <c r="F1059" s="242"/>
      <c r="G1059" s="242"/>
      <c r="H1059" s="242"/>
      <c r="I1059" s="242"/>
      <c r="J1059" s="242"/>
      <c r="K1059" s="242"/>
      <c r="L1059" s="242"/>
      <c r="M1059" s="242"/>
      <c r="N1059" s="242"/>
      <c r="O1059" s="242"/>
    </row>
    <row r="1060" spans="1:15" s="236" customFormat="1" x14ac:dyDescent="0.3">
      <c r="A1060" s="241" t="str">
        <f>name!A65</f>
        <v>Services to buildings</v>
      </c>
      <c r="B1060" s="375">
        <f>$B$6</f>
        <v>2015</v>
      </c>
      <c r="C1060" s="375"/>
      <c r="D1060" s="375"/>
      <c r="E1060" s="375"/>
      <c r="F1060" s="263"/>
      <c r="G1060" s="375">
        <f>$G$6</f>
        <v>2020</v>
      </c>
      <c r="H1060" s="375"/>
      <c r="I1060" s="375"/>
      <c r="J1060" s="375"/>
      <c r="K1060" s="263"/>
      <c r="L1060" s="375">
        <f>$L$6</f>
        <v>2035</v>
      </c>
      <c r="M1060" s="375"/>
      <c r="N1060" s="375"/>
      <c r="O1060" s="375"/>
    </row>
    <row r="1061" spans="1:15" s="236" customFormat="1" x14ac:dyDescent="0.3">
      <c r="A1061" s="254"/>
      <c r="B1061" s="268" t="str">
        <f>$B$7</f>
        <v>FT</v>
      </c>
      <c r="C1061" s="268" t="str">
        <f>$C$7</f>
        <v>PT</v>
      </c>
      <c r="D1061" s="268" t="str">
        <f>$D$7</f>
        <v>SE</v>
      </c>
      <c r="E1061" s="268" t="str">
        <f>$E$7</f>
        <v>Total</v>
      </c>
      <c r="F1061" s="268"/>
      <c r="G1061" s="268" t="str">
        <f>$G$7</f>
        <v>FT</v>
      </c>
      <c r="H1061" s="268" t="str">
        <f>$H$7</f>
        <v>PT</v>
      </c>
      <c r="I1061" s="268" t="str">
        <f>$I$7</f>
        <v>SE</v>
      </c>
      <c r="J1061" s="268" t="str">
        <f>$J$7</f>
        <v>Total</v>
      </c>
      <c r="K1061" s="268"/>
      <c r="L1061" s="268" t="str">
        <f>$L$7</f>
        <v>FT</v>
      </c>
      <c r="M1061" s="268" t="str">
        <f>$M$7</f>
        <v>PT</v>
      </c>
      <c r="N1061" s="268" t="str">
        <f>$N$7</f>
        <v>SE</v>
      </c>
      <c r="O1061" s="268" t="str">
        <f>$O$7</f>
        <v>Total</v>
      </c>
    </row>
    <row r="1062" spans="1:15" s="236" customFormat="1" x14ac:dyDescent="0.3">
      <c r="A1062" s="258"/>
      <c r="B1062" s="239"/>
      <c r="C1062" s="239"/>
      <c r="D1062" s="239"/>
      <c r="E1062" s="239"/>
      <c r="F1062" s="239"/>
      <c r="G1062" s="239"/>
      <c r="H1062" s="239"/>
      <c r="I1062" s="239"/>
      <c r="J1062" s="239"/>
      <c r="K1062" s="239"/>
      <c r="L1062" s="239"/>
      <c r="M1062" s="239"/>
      <c r="N1062" s="239"/>
      <c r="O1062" s="239"/>
    </row>
    <row r="1063" spans="1:15" s="236" customFormat="1" x14ac:dyDescent="0.3">
      <c r="A1063" s="237" t="str">
        <f>name!E$4</f>
        <v>Managers, directors and senior officials</v>
      </c>
      <c r="B1063" s="302">
        <v>4.7508757934678254</v>
      </c>
      <c r="C1063" s="302">
        <v>1.0277723027377961</v>
      </c>
      <c r="D1063" s="302">
        <v>3.0408846922783441</v>
      </c>
      <c r="E1063" s="302">
        <f>SUM(B1063:D1063)</f>
        <v>8.8195327884839649</v>
      </c>
      <c r="F1063" s="303"/>
      <c r="G1063" s="302">
        <v>5.9673010259075658</v>
      </c>
      <c r="H1063" s="302">
        <v>1.4604172746295403</v>
      </c>
      <c r="I1063" s="302">
        <v>2.4626457727306277</v>
      </c>
      <c r="J1063" s="302">
        <f>SUM(G1063:I1063)</f>
        <v>9.8903640732677331</v>
      </c>
      <c r="K1063" s="303"/>
      <c r="L1063" s="302">
        <v>7.2287738891204274</v>
      </c>
      <c r="M1063" s="302">
        <v>1.7594849477248324</v>
      </c>
      <c r="N1063" s="302">
        <v>2.5567549373195311</v>
      </c>
      <c r="O1063" s="302">
        <f>SUM(L1063:N1063)</f>
        <v>11.54501377416479</v>
      </c>
    </row>
    <row r="1064" spans="1:15" s="236" customFormat="1" x14ac:dyDescent="0.3">
      <c r="A1064" s="237" t="str">
        <f>name!E$5</f>
        <v>Professional occupations</v>
      </c>
      <c r="B1064" s="302">
        <v>5.5742114238462399</v>
      </c>
      <c r="C1064" s="302">
        <v>1.7208752670819183</v>
      </c>
      <c r="D1064" s="302">
        <v>1.5815198202504235</v>
      </c>
      <c r="E1064" s="302">
        <f t="shared" ref="E1064:E1071" si="455">SUM(B1064:D1064)</f>
        <v>8.8766065111785828</v>
      </c>
      <c r="F1064" s="303"/>
      <c r="G1064" s="302">
        <v>7.9831485969837273</v>
      </c>
      <c r="H1064" s="302">
        <v>2.2410356016552506</v>
      </c>
      <c r="I1064" s="302">
        <v>1.2775983632341354</v>
      </c>
      <c r="J1064" s="302">
        <f t="shared" ref="J1064:J1066" si="456">SUM(G1064:I1064)</f>
        <v>11.501782561873114</v>
      </c>
      <c r="K1064" s="303"/>
      <c r="L1064" s="302">
        <v>10.601025492858152</v>
      </c>
      <c r="M1064" s="302">
        <v>3.1107116221557818</v>
      </c>
      <c r="N1064" s="302">
        <v>1.1480306484649765</v>
      </c>
      <c r="O1064" s="302">
        <f t="shared" ref="O1064:O1071" si="457">SUM(L1064:N1064)</f>
        <v>14.85976776347891</v>
      </c>
    </row>
    <row r="1065" spans="1:15" s="236" customFormat="1" x14ac:dyDescent="0.3">
      <c r="A1065" s="237" t="str">
        <f>name!E$6</f>
        <v>Associate professional occupations</v>
      </c>
      <c r="B1065" s="302">
        <v>6.7076050715634352</v>
      </c>
      <c r="C1065" s="302">
        <v>2.5147140379018538</v>
      </c>
      <c r="D1065" s="302">
        <v>3.1933829389335147</v>
      </c>
      <c r="E1065" s="302">
        <f t="shared" si="455"/>
        <v>12.415702048398803</v>
      </c>
      <c r="F1065" s="303"/>
      <c r="G1065" s="302">
        <v>8.8604278704680031</v>
      </c>
      <c r="H1065" s="302">
        <v>2.8474427945595737</v>
      </c>
      <c r="I1065" s="302">
        <v>2.492554202980946</v>
      </c>
      <c r="J1065" s="302">
        <f t="shared" si="456"/>
        <v>14.200424868008524</v>
      </c>
      <c r="K1065" s="303"/>
      <c r="L1065" s="302">
        <v>9.959672678296279</v>
      </c>
      <c r="M1065" s="302">
        <v>3.6920680199548506</v>
      </c>
      <c r="N1065" s="302">
        <v>2.7484695948799271</v>
      </c>
      <c r="O1065" s="302">
        <f t="shared" si="457"/>
        <v>16.400210293131057</v>
      </c>
    </row>
    <row r="1066" spans="1:15" s="236" customFormat="1" x14ac:dyDescent="0.3">
      <c r="A1066" s="237" t="str">
        <f>name!E$7</f>
        <v>Administrative and secretarial occupations</v>
      </c>
      <c r="B1066" s="302">
        <v>6.1916756395733588</v>
      </c>
      <c r="C1066" s="302">
        <v>6.8202581592433447</v>
      </c>
      <c r="D1066" s="302">
        <v>1.2110410368186031</v>
      </c>
      <c r="E1066" s="302">
        <f t="shared" si="455"/>
        <v>14.222974835635306</v>
      </c>
      <c r="F1066" s="303"/>
      <c r="G1066" s="302">
        <v>6.555854814766894</v>
      </c>
      <c r="H1066" s="302">
        <v>6.4656812755105131</v>
      </c>
      <c r="I1066" s="302">
        <v>0.83438928679635604</v>
      </c>
      <c r="J1066" s="302">
        <f t="shared" si="456"/>
        <v>13.855925377073763</v>
      </c>
      <c r="K1066" s="303"/>
      <c r="L1066" s="302">
        <v>5.4577387087753202</v>
      </c>
      <c r="M1066" s="302">
        <v>7.7381352386407851</v>
      </c>
      <c r="N1066" s="302">
        <v>1.0063465143822883</v>
      </c>
      <c r="O1066" s="302">
        <f t="shared" si="457"/>
        <v>14.202220461798394</v>
      </c>
    </row>
    <row r="1067" spans="1:15" s="236" customFormat="1" x14ac:dyDescent="0.3">
      <c r="A1067" s="237" t="str">
        <f>name!E$8</f>
        <v>Skilled trades occupations</v>
      </c>
      <c r="B1067" s="302">
        <v>1.233177437354849</v>
      </c>
      <c r="C1067" s="302">
        <v>0.43823931208230882</v>
      </c>
      <c r="D1067" s="302">
        <v>1.5862352908657469</v>
      </c>
      <c r="E1067" s="302">
        <f t="shared" si="455"/>
        <v>3.2576520403029048</v>
      </c>
      <c r="F1067" s="303"/>
      <c r="G1067" s="302">
        <v>1.1666487269106456</v>
      </c>
      <c r="H1067" s="302">
        <v>0.34905835461870255</v>
      </c>
      <c r="I1067" s="302">
        <v>1.0735444549753095</v>
      </c>
      <c r="J1067" s="302">
        <f>SUM(G1067:I1067)</f>
        <v>2.5892515365046576</v>
      </c>
      <c r="K1067" s="303"/>
      <c r="L1067" s="302">
        <v>1.1874322286883663</v>
      </c>
      <c r="M1067" s="302">
        <v>0.54071583022627256</v>
      </c>
      <c r="N1067" s="302">
        <v>1.3516700548368581</v>
      </c>
      <c r="O1067" s="302">
        <f t="shared" si="457"/>
        <v>3.0798181137514971</v>
      </c>
    </row>
    <row r="1068" spans="1:15" s="236" customFormat="1" x14ac:dyDescent="0.3">
      <c r="A1068" s="237" t="str">
        <f>name!E$9</f>
        <v>Caring, leisure and other service occupations</v>
      </c>
      <c r="B1068" s="302">
        <v>3.6652827067038269</v>
      </c>
      <c r="C1068" s="302">
        <v>4.055913753866295</v>
      </c>
      <c r="D1068" s="302">
        <v>1.2218051062682882</v>
      </c>
      <c r="E1068" s="302">
        <f t="shared" si="455"/>
        <v>8.9430015668384097</v>
      </c>
      <c r="F1068" s="303"/>
      <c r="G1068" s="302">
        <v>3.9789504286856623</v>
      </c>
      <c r="H1068" s="302">
        <v>3.8662436397183173</v>
      </c>
      <c r="I1068" s="302">
        <v>1.0681855646102025</v>
      </c>
      <c r="J1068" s="302">
        <f t="shared" ref="J1068:J1071" si="458">SUM(G1068:I1068)</f>
        <v>8.9133796330141823</v>
      </c>
      <c r="K1068" s="303"/>
      <c r="L1068" s="302">
        <v>5.2608129446268848</v>
      </c>
      <c r="M1068" s="302">
        <v>4.7259057305064198</v>
      </c>
      <c r="N1068" s="302">
        <v>1.5445721882388783</v>
      </c>
      <c r="O1068" s="302">
        <f t="shared" si="457"/>
        <v>11.531290863372181</v>
      </c>
    </row>
    <row r="1069" spans="1:15" s="236" customFormat="1" x14ac:dyDescent="0.3">
      <c r="A1069" s="237" t="str">
        <f>name!E$10</f>
        <v>Sales and customer service occupations</v>
      </c>
      <c r="B1069" s="302">
        <v>3.1327827068336949</v>
      </c>
      <c r="C1069" s="302">
        <v>2.2692610192492353</v>
      </c>
      <c r="D1069" s="302">
        <v>0.9208885846981042</v>
      </c>
      <c r="E1069" s="302">
        <f t="shared" si="455"/>
        <v>6.3229323107810336</v>
      </c>
      <c r="F1069" s="303"/>
      <c r="G1069" s="302">
        <v>3.2498856415886923</v>
      </c>
      <c r="H1069" s="302">
        <v>2.4285229437527009</v>
      </c>
      <c r="I1069" s="302">
        <v>0.49808199861746488</v>
      </c>
      <c r="J1069" s="302">
        <f t="shared" si="458"/>
        <v>6.1764905839588584</v>
      </c>
      <c r="K1069" s="303"/>
      <c r="L1069" s="302">
        <v>4.0932204140272335</v>
      </c>
      <c r="M1069" s="302">
        <v>4.4264737473134161</v>
      </c>
      <c r="N1069" s="302">
        <v>0.40925361003704536</v>
      </c>
      <c r="O1069" s="302">
        <f t="shared" si="457"/>
        <v>8.9289477713776932</v>
      </c>
    </row>
    <row r="1070" spans="1:15" s="236" customFormat="1" x14ac:dyDescent="0.3">
      <c r="A1070" s="237" t="str">
        <f>name!E$11</f>
        <v>Process, plant and machine operatives</v>
      </c>
      <c r="B1070" s="302">
        <v>1.1550515594034827</v>
      </c>
      <c r="C1070" s="302">
        <v>0.67226752748650975</v>
      </c>
      <c r="D1070" s="302">
        <v>0.15891011745635178</v>
      </c>
      <c r="E1070" s="302">
        <f t="shared" si="455"/>
        <v>1.9862292043463443</v>
      </c>
      <c r="F1070" s="303"/>
      <c r="G1070" s="302">
        <v>1.0804345568980755</v>
      </c>
      <c r="H1070" s="302">
        <v>0.64762686223101584</v>
      </c>
      <c r="I1070" s="302">
        <v>0.13570483221253096</v>
      </c>
      <c r="J1070" s="302">
        <f t="shared" si="458"/>
        <v>1.8637662513416222</v>
      </c>
      <c r="K1070" s="303"/>
      <c r="L1070" s="302">
        <v>1.1997465132661023</v>
      </c>
      <c r="M1070" s="302">
        <v>1.0829073862641685</v>
      </c>
      <c r="N1070" s="302">
        <v>0.17366516070198509</v>
      </c>
      <c r="O1070" s="302">
        <f t="shared" si="457"/>
        <v>2.4563190602322558</v>
      </c>
    </row>
    <row r="1071" spans="1:15" s="236" customFormat="1" x14ac:dyDescent="0.3">
      <c r="A1071" s="237" t="str">
        <f>name!E$12</f>
        <v>Elementary occupations</v>
      </c>
      <c r="B1071" s="302">
        <v>7.5673376612517123</v>
      </c>
      <c r="C1071" s="302">
        <v>23.203698621299218</v>
      </c>
      <c r="D1071" s="302">
        <v>1.9163324125619836</v>
      </c>
      <c r="E1071" s="302">
        <f t="shared" si="455"/>
        <v>32.687368695112916</v>
      </c>
      <c r="F1071" s="303"/>
      <c r="G1071" s="302">
        <v>7.6873483374550977</v>
      </c>
      <c r="H1071" s="302">
        <v>19.199971253092265</v>
      </c>
      <c r="I1071" s="302">
        <v>1.3482955238753882</v>
      </c>
      <c r="J1071" s="302">
        <f t="shared" si="458"/>
        <v>28.235615114422753</v>
      </c>
      <c r="K1071" s="303"/>
      <c r="L1071" s="302">
        <v>9.7515771301145353</v>
      </c>
      <c r="M1071" s="302">
        <v>16.233597477054797</v>
      </c>
      <c r="N1071" s="302">
        <v>1.7902372912796178</v>
      </c>
      <c r="O1071" s="302">
        <f t="shared" si="457"/>
        <v>27.775411898448951</v>
      </c>
    </row>
    <row r="1072" spans="1:15" s="236" customFormat="1" x14ac:dyDescent="0.3">
      <c r="A1072" s="237"/>
      <c r="B1072" s="302"/>
      <c r="C1072" s="302"/>
      <c r="D1072" s="302"/>
      <c r="E1072" s="302"/>
      <c r="F1072" s="303"/>
      <c r="G1072" s="302"/>
      <c r="H1072" s="302"/>
      <c r="I1072" s="302"/>
      <c r="J1072" s="302"/>
      <c r="K1072" s="303"/>
      <c r="L1072" s="302"/>
      <c r="M1072" s="302"/>
      <c r="N1072" s="302"/>
      <c r="O1072" s="302"/>
    </row>
    <row r="1073" spans="1:15" s="236" customFormat="1" x14ac:dyDescent="0.3">
      <c r="A1073" s="244" t="s">
        <v>32</v>
      </c>
      <c r="B1073" s="311">
        <f>SUM(B1063:B1071)</f>
        <v>39.977999999998424</v>
      </c>
      <c r="C1073" s="311">
        <f t="shared" ref="C1073:E1073" si="459">SUM(C1063:C1071)</f>
        <v>42.723000000948481</v>
      </c>
      <c r="D1073" s="311">
        <f t="shared" si="459"/>
        <v>14.831000000131359</v>
      </c>
      <c r="E1073" s="311">
        <f t="shared" si="459"/>
        <v>97.532000001078273</v>
      </c>
      <c r="F1073" s="311"/>
      <c r="G1073" s="311">
        <f t="shared" ref="G1073:J1073" si="460">SUM(G1063:G1071)</f>
        <v>46.529999999664362</v>
      </c>
      <c r="H1073" s="311">
        <f t="shared" si="460"/>
        <v>39.50599999976788</v>
      </c>
      <c r="I1073" s="311">
        <f t="shared" si="460"/>
        <v>11.191000000032961</v>
      </c>
      <c r="J1073" s="311">
        <f t="shared" si="460"/>
        <v>97.226999999465193</v>
      </c>
      <c r="K1073" s="311"/>
      <c r="L1073" s="311">
        <f t="shared" ref="L1073:O1073" si="461">SUM(L1063:L1071)</f>
        <v>54.739999999773303</v>
      </c>
      <c r="M1073" s="311">
        <f t="shared" si="461"/>
        <v>43.309999999841324</v>
      </c>
      <c r="N1073" s="311">
        <f t="shared" si="461"/>
        <v>12.729000000141106</v>
      </c>
      <c r="O1073" s="311">
        <f t="shared" si="461"/>
        <v>110.77899999975573</v>
      </c>
    </row>
    <row r="1074" spans="1:15" s="236" customFormat="1" x14ac:dyDescent="0.3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37"/>
      <c r="M1074" s="237"/>
      <c r="N1074" s="240"/>
    </row>
    <row r="1075" spans="1:15" s="236" customFormat="1" x14ac:dyDescent="0.3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37"/>
      <c r="M1075" s="237"/>
      <c r="N1075" s="240"/>
      <c r="O1075" s="251" t="s">
        <v>35</v>
      </c>
    </row>
    <row r="1076" spans="1:15" s="236" customFormat="1" x14ac:dyDescent="0.3">
      <c r="A1076" s="242"/>
      <c r="B1076" s="242"/>
      <c r="C1076" s="242"/>
      <c r="D1076" s="242"/>
      <c r="E1076" s="242"/>
      <c r="F1076" s="242"/>
      <c r="G1076" s="242"/>
      <c r="H1076" s="242"/>
      <c r="I1076" s="242"/>
      <c r="J1076" s="242"/>
      <c r="K1076" s="242"/>
      <c r="L1076" s="242"/>
      <c r="M1076" s="242"/>
      <c r="N1076" s="242"/>
      <c r="O1076" s="242"/>
    </row>
    <row r="1077" spans="1:15" s="236" customFormat="1" x14ac:dyDescent="0.3">
      <c r="A1077" s="241" t="str">
        <f>name!A66</f>
        <v>Office administrative</v>
      </c>
      <c r="B1077" s="375">
        <f>$B$6</f>
        <v>2015</v>
      </c>
      <c r="C1077" s="375"/>
      <c r="D1077" s="375"/>
      <c r="E1077" s="375"/>
      <c r="F1077" s="263"/>
      <c r="G1077" s="375">
        <f>$G$6</f>
        <v>2020</v>
      </c>
      <c r="H1077" s="375"/>
      <c r="I1077" s="375"/>
      <c r="J1077" s="375"/>
      <c r="K1077" s="263"/>
      <c r="L1077" s="375">
        <f>$L$6</f>
        <v>2035</v>
      </c>
      <c r="M1077" s="375"/>
      <c r="N1077" s="375"/>
      <c r="O1077" s="375"/>
    </row>
    <row r="1078" spans="1:15" s="236" customFormat="1" x14ac:dyDescent="0.3">
      <c r="A1078" s="254"/>
      <c r="B1078" s="268" t="str">
        <f>$B$7</f>
        <v>FT</v>
      </c>
      <c r="C1078" s="268" t="str">
        <f>$C$7</f>
        <v>PT</v>
      </c>
      <c r="D1078" s="268" t="str">
        <f>$D$7</f>
        <v>SE</v>
      </c>
      <c r="E1078" s="268" t="str">
        <f>$E$7</f>
        <v>Total</v>
      </c>
      <c r="F1078" s="268"/>
      <c r="G1078" s="268" t="str">
        <f>$G$7</f>
        <v>FT</v>
      </c>
      <c r="H1078" s="268" t="str">
        <f>$H$7</f>
        <v>PT</v>
      </c>
      <c r="I1078" s="268" t="str">
        <f>$I$7</f>
        <v>SE</v>
      </c>
      <c r="J1078" s="268" t="str">
        <f>$J$7</f>
        <v>Total</v>
      </c>
      <c r="K1078" s="268"/>
      <c r="L1078" s="268" t="str">
        <f>$L$7</f>
        <v>FT</v>
      </c>
      <c r="M1078" s="268" t="str">
        <f>$M$7</f>
        <v>PT</v>
      </c>
      <c r="N1078" s="268" t="str">
        <f>$N$7</f>
        <v>SE</v>
      </c>
      <c r="O1078" s="268" t="str">
        <f>$O$7</f>
        <v>Total</v>
      </c>
    </row>
    <row r="1079" spans="1:15" s="236" customFormat="1" x14ac:dyDescent="0.3">
      <c r="A1079" s="258"/>
      <c r="B1079" s="239"/>
      <c r="C1079" s="239"/>
      <c r="D1079" s="239"/>
      <c r="E1079" s="239"/>
      <c r="F1079" s="239"/>
      <c r="G1079" s="239"/>
      <c r="H1079" s="239"/>
      <c r="I1079" s="239"/>
      <c r="J1079" s="239"/>
      <c r="K1079" s="239"/>
      <c r="L1079" s="239"/>
      <c r="M1079" s="239"/>
      <c r="N1079" s="239"/>
      <c r="O1079" s="239"/>
    </row>
    <row r="1080" spans="1:15" s="236" customFormat="1" x14ac:dyDescent="0.3">
      <c r="A1080" s="237" t="str">
        <f>name!E$4</f>
        <v>Managers, directors and senior officials</v>
      </c>
      <c r="B1080" s="302">
        <v>3.5986132988814914</v>
      </c>
      <c r="C1080" s="302">
        <v>0.12587831428943083</v>
      </c>
      <c r="D1080" s="302">
        <v>0.76251207554540867</v>
      </c>
      <c r="E1080" s="302">
        <f>SUM(B1080:D1080)</f>
        <v>4.4870036887163307</v>
      </c>
      <c r="F1080" s="303"/>
      <c r="G1080" s="302">
        <v>3.7741825176545989</v>
      </c>
      <c r="H1080" s="302">
        <v>0.38726369003071243</v>
      </c>
      <c r="I1080" s="302">
        <v>0.76475609442638781</v>
      </c>
      <c r="J1080" s="302">
        <f>SUM(G1080:I1080)</f>
        <v>4.9262023021116992</v>
      </c>
      <c r="K1080" s="303"/>
      <c r="L1080" s="302">
        <v>4.4402197122020297</v>
      </c>
      <c r="M1080" s="302">
        <v>0.44229150007674412</v>
      </c>
      <c r="N1080" s="302">
        <v>0.86066352948126201</v>
      </c>
      <c r="O1080" s="302">
        <f>SUM(L1080:N1080)</f>
        <v>5.7431747417600363</v>
      </c>
    </row>
    <row r="1081" spans="1:15" s="236" customFormat="1" x14ac:dyDescent="0.3">
      <c r="A1081" s="237" t="str">
        <f>name!E$5</f>
        <v>Professional occupations</v>
      </c>
      <c r="B1081" s="302">
        <v>3.9941761348325491</v>
      </c>
      <c r="C1081" s="302">
        <v>0.12733839818466647</v>
      </c>
      <c r="D1081" s="302">
        <v>0.66801992331652571</v>
      </c>
      <c r="E1081" s="302">
        <f t="shared" ref="E1081:E1088" si="462">SUM(B1081:D1081)</f>
        <v>4.7895344563337412</v>
      </c>
      <c r="F1081" s="303"/>
      <c r="G1081" s="302">
        <v>4.7413288910936364</v>
      </c>
      <c r="H1081" s="302">
        <v>0.4509200415303114</v>
      </c>
      <c r="I1081" s="302">
        <v>0.5920298175189932</v>
      </c>
      <c r="J1081" s="302">
        <f t="shared" ref="J1081:J1083" si="463">SUM(G1081:I1081)</f>
        <v>5.7842787501429411</v>
      </c>
      <c r="K1081" s="303"/>
      <c r="L1081" s="302">
        <v>6.3639774976404171</v>
      </c>
      <c r="M1081" s="302">
        <v>0.71332416451899894</v>
      </c>
      <c r="N1081" s="302">
        <v>0.53744650687695439</v>
      </c>
      <c r="O1081" s="302">
        <f t="shared" ref="O1081:O1088" si="464">SUM(L1081:N1081)</f>
        <v>7.6147481690363703</v>
      </c>
    </row>
    <row r="1082" spans="1:15" s="236" customFormat="1" x14ac:dyDescent="0.3">
      <c r="A1082" s="237" t="str">
        <f>name!E$6</f>
        <v>Associate professional occupations</v>
      </c>
      <c r="B1082" s="302">
        <v>5.5641418490166235</v>
      </c>
      <c r="C1082" s="302">
        <v>0.20047674137560095</v>
      </c>
      <c r="D1082" s="302">
        <v>1.7650051459399858</v>
      </c>
      <c r="E1082" s="302">
        <f t="shared" si="462"/>
        <v>7.5296237363322103</v>
      </c>
      <c r="F1082" s="303"/>
      <c r="G1082" s="302">
        <v>5.9678361418787391</v>
      </c>
      <c r="H1082" s="302">
        <v>0.52932118881504453</v>
      </c>
      <c r="I1082" s="302">
        <v>1.5551671241292615</v>
      </c>
      <c r="J1082" s="302">
        <f t="shared" si="463"/>
        <v>8.0523244548230455</v>
      </c>
      <c r="K1082" s="303"/>
      <c r="L1082" s="302">
        <v>6.4733009135548221</v>
      </c>
      <c r="M1082" s="302">
        <v>0.66179015081662995</v>
      </c>
      <c r="N1082" s="302">
        <v>1.6641982447933403</v>
      </c>
      <c r="O1082" s="302">
        <f t="shared" si="464"/>
        <v>8.7992893091647932</v>
      </c>
    </row>
    <row r="1083" spans="1:15" s="236" customFormat="1" x14ac:dyDescent="0.3">
      <c r="A1083" s="237" t="str">
        <f>name!E$7</f>
        <v>Administrative and secretarial occupations</v>
      </c>
      <c r="B1083" s="302">
        <v>3.2063194182747448</v>
      </c>
      <c r="C1083" s="302">
        <v>0.33687271929760493</v>
      </c>
      <c r="D1083" s="302">
        <v>0.50570131874800828</v>
      </c>
      <c r="E1083" s="302">
        <f t="shared" si="462"/>
        <v>4.048893456320358</v>
      </c>
      <c r="F1083" s="303"/>
      <c r="G1083" s="302">
        <v>2.9306490332819064</v>
      </c>
      <c r="H1083" s="302">
        <v>0.72881242209993868</v>
      </c>
      <c r="I1083" s="302">
        <v>0.39867232257014917</v>
      </c>
      <c r="J1083" s="302">
        <f t="shared" si="463"/>
        <v>4.0581337779519941</v>
      </c>
      <c r="K1083" s="303"/>
      <c r="L1083" s="302">
        <v>2.8382238426854811</v>
      </c>
      <c r="M1083" s="302">
        <v>0.9384955317611483</v>
      </c>
      <c r="N1083" s="302">
        <v>0.50454497952588995</v>
      </c>
      <c r="O1083" s="302">
        <f t="shared" si="464"/>
        <v>4.281264353972519</v>
      </c>
    </row>
    <row r="1084" spans="1:15" s="236" customFormat="1" x14ac:dyDescent="0.3">
      <c r="A1084" s="237" t="str">
        <f>name!E$8</f>
        <v>Skilled trades occupations</v>
      </c>
      <c r="B1084" s="302">
        <v>1.2129220759814148</v>
      </c>
      <c r="C1084" s="302">
        <v>7.3466161527259391E-2</v>
      </c>
      <c r="D1084" s="302">
        <v>0.52401292203881567</v>
      </c>
      <c r="E1084" s="302">
        <f t="shared" si="462"/>
        <v>1.8104011595474898</v>
      </c>
      <c r="F1084" s="303"/>
      <c r="G1084" s="302">
        <v>0.91555611329370101</v>
      </c>
      <c r="H1084" s="302">
        <v>0.10864849461162845</v>
      </c>
      <c r="I1084" s="302">
        <v>0.39160886578040655</v>
      </c>
      <c r="J1084" s="302">
        <f>SUM(G1084:I1084)</f>
        <v>1.415813473685736</v>
      </c>
      <c r="K1084" s="303"/>
      <c r="L1084" s="302">
        <v>0.88866957412446412</v>
      </c>
      <c r="M1084" s="302">
        <v>0.14504976682580281</v>
      </c>
      <c r="N1084" s="302">
        <v>0.4068586387816947</v>
      </c>
      <c r="O1084" s="302">
        <f t="shared" si="464"/>
        <v>1.4405779797319616</v>
      </c>
    </row>
    <row r="1085" spans="1:15" s="236" customFormat="1" x14ac:dyDescent="0.3">
      <c r="A1085" s="237" t="str">
        <f>name!E$9</f>
        <v>Caring, leisure and other service occupations</v>
      </c>
      <c r="B1085" s="302">
        <v>1.56238563833933</v>
      </c>
      <c r="C1085" s="302">
        <v>0.28666277830213976</v>
      </c>
      <c r="D1085" s="302">
        <v>0.63456152213531258</v>
      </c>
      <c r="E1085" s="302">
        <f t="shared" si="462"/>
        <v>2.4836099387767825</v>
      </c>
      <c r="F1085" s="303"/>
      <c r="G1085" s="302">
        <v>1.4005392079624497</v>
      </c>
      <c r="H1085" s="302">
        <v>0.65307847422008725</v>
      </c>
      <c r="I1085" s="302">
        <v>0.60352991827917379</v>
      </c>
      <c r="J1085" s="302">
        <f t="shared" ref="J1085:J1088" si="465">SUM(G1085:I1085)</f>
        <v>2.6571476004617107</v>
      </c>
      <c r="K1085" s="303"/>
      <c r="L1085" s="302">
        <v>1.7824421748842783</v>
      </c>
      <c r="M1085" s="302">
        <v>0.81585331394713723</v>
      </c>
      <c r="N1085" s="302">
        <v>0.81342782508442713</v>
      </c>
      <c r="O1085" s="302">
        <f t="shared" si="464"/>
        <v>3.4117233139158429</v>
      </c>
    </row>
    <row r="1086" spans="1:15" s="236" customFormat="1" x14ac:dyDescent="0.3">
      <c r="A1086" s="237" t="str">
        <f>name!E$10</f>
        <v>Sales and customer service occupations</v>
      </c>
      <c r="B1086" s="302">
        <v>1.8685504899944139</v>
      </c>
      <c r="C1086" s="302">
        <v>0.16331127578882759</v>
      </c>
      <c r="D1086" s="302">
        <v>0.2574303758971962</v>
      </c>
      <c r="E1086" s="302">
        <f t="shared" si="462"/>
        <v>2.2892921416804377</v>
      </c>
      <c r="F1086" s="303"/>
      <c r="G1086" s="302">
        <v>1.6919372288646108</v>
      </c>
      <c r="H1086" s="302">
        <v>0.37714894767099194</v>
      </c>
      <c r="I1086" s="302">
        <v>0.1776631315200341</v>
      </c>
      <c r="J1086" s="302">
        <f t="shared" si="465"/>
        <v>2.2467493080556364</v>
      </c>
      <c r="K1086" s="303"/>
      <c r="L1086" s="302">
        <v>2.3076343407692765</v>
      </c>
      <c r="M1086" s="302">
        <v>0.60309579825414295</v>
      </c>
      <c r="N1086" s="302">
        <v>0.16275736465357232</v>
      </c>
      <c r="O1086" s="302">
        <f t="shared" si="464"/>
        <v>3.0734875036769918</v>
      </c>
    </row>
    <row r="1087" spans="1:15" s="236" customFormat="1" x14ac:dyDescent="0.3">
      <c r="A1087" s="237" t="str">
        <f>name!E$11</f>
        <v>Process, plant and machine operatives</v>
      </c>
      <c r="B1087" s="302">
        <v>1.2215909910463645</v>
      </c>
      <c r="C1087" s="302">
        <v>0.16923017636197057</v>
      </c>
      <c r="D1087" s="302">
        <v>8.552665627074664E-2</v>
      </c>
      <c r="E1087" s="302">
        <f t="shared" si="462"/>
        <v>1.4763478236790817</v>
      </c>
      <c r="F1087" s="303"/>
      <c r="G1087" s="302">
        <v>0.94486827143838314</v>
      </c>
      <c r="H1087" s="302">
        <v>0.39176122553998116</v>
      </c>
      <c r="I1087" s="302">
        <v>8.037270711859236E-2</v>
      </c>
      <c r="J1087" s="302">
        <f t="shared" si="465"/>
        <v>1.4170022040969568</v>
      </c>
      <c r="K1087" s="303"/>
      <c r="L1087" s="302">
        <v>0.90927857720850169</v>
      </c>
      <c r="M1087" s="302">
        <v>0.51126400997783905</v>
      </c>
      <c r="N1087" s="302">
        <v>0.10350003477588135</v>
      </c>
      <c r="O1087" s="302">
        <f t="shared" si="464"/>
        <v>1.5240426219622221</v>
      </c>
    </row>
    <row r="1088" spans="1:15" s="236" customFormat="1" x14ac:dyDescent="0.3">
      <c r="A1088" s="237" t="str">
        <f>name!E$12</f>
        <v>Elementary occupations</v>
      </c>
      <c r="B1088" s="302">
        <v>7.5953001036434742</v>
      </c>
      <c r="C1088" s="302">
        <v>2.5537634349516281</v>
      </c>
      <c r="D1088" s="302">
        <v>1.2032300601805215</v>
      </c>
      <c r="E1088" s="302">
        <f t="shared" si="462"/>
        <v>11.352293598775624</v>
      </c>
      <c r="F1088" s="303"/>
      <c r="G1088" s="302">
        <v>6.2941025944467226</v>
      </c>
      <c r="H1088" s="302">
        <v>4.7090455154829192</v>
      </c>
      <c r="I1088" s="302">
        <v>0.95320001868679638</v>
      </c>
      <c r="J1088" s="302">
        <f t="shared" si="465"/>
        <v>11.956348128616439</v>
      </c>
      <c r="K1088" s="303"/>
      <c r="L1088" s="302">
        <v>7.3292533669226039</v>
      </c>
      <c r="M1088" s="302">
        <v>4.4588357638626537</v>
      </c>
      <c r="N1088" s="302">
        <v>1.2196028761146238</v>
      </c>
      <c r="O1088" s="302">
        <f t="shared" si="464"/>
        <v>13.007692006899882</v>
      </c>
    </row>
    <row r="1089" spans="1:15" s="236" customFormat="1" x14ac:dyDescent="0.3">
      <c r="A1089" s="237"/>
      <c r="B1089" s="302"/>
      <c r="C1089" s="302"/>
      <c r="D1089" s="302"/>
      <c r="E1089" s="302"/>
      <c r="F1089" s="303"/>
      <c r="G1089" s="302"/>
      <c r="H1089" s="302"/>
      <c r="I1089" s="302"/>
      <c r="J1089" s="302"/>
      <c r="K1089" s="303"/>
      <c r="L1089" s="302"/>
      <c r="M1089" s="302"/>
      <c r="N1089" s="302"/>
      <c r="O1089" s="302"/>
    </row>
    <row r="1090" spans="1:15" s="236" customFormat="1" x14ac:dyDescent="0.3">
      <c r="A1090" s="244" t="s">
        <v>32</v>
      </c>
      <c r="B1090" s="311">
        <f>SUM(B1080:B1088)</f>
        <v>29.824000000010404</v>
      </c>
      <c r="C1090" s="311">
        <f t="shared" ref="C1090:E1090" si="466">SUM(C1080:C1088)</f>
        <v>4.0370000000791286</v>
      </c>
      <c r="D1090" s="311">
        <f t="shared" si="466"/>
        <v>6.4060000000725212</v>
      </c>
      <c r="E1090" s="311">
        <f t="shared" si="466"/>
        <v>40.267000000162056</v>
      </c>
      <c r="F1090" s="311"/>
      <c r="G1090" s="311">
        <f t="shared" ref="G1090:J1090" si="467">SUM(G1080:G1088)</f>
        <v>28.660999999914747</v>
      </c>
      <c r="H1090" s="311">
        <f t="shared" si="467"/>
        <v>8.336000000001615</v>
      </c>
      <c r="I1090" s="311">
        <f t="shared" si="467"/>
        <v>5.5170000000297943</v>
      </c>
      <c r="J1090" s="311">
        <f t="shared" si="467"/>
        <v>42.513999999946165</v>
      </c>
      <c r="K1090" s="311"/>
      <c r="L1090" s="311">
        <f t="shared" ref="L1090:O1090" si="468">SUM(L1080:L1088)</f>
        <v>33.33299999999187</v>
      </c>
      <c r="M1090" s="311">
        <f t="shared" si="468"/>
        <v>9.2900000000410969</v>
      </c>
      <c r="N1090" s="311">
        <f t="shared" si="468"/>
        <v>6.273000000087646</v>
      </c>
      <c r="O1090" s="311">
        <f t="shared" si="468"/>
        <v>48.896000000120623</v>
      </c>
    </row>
    <row r="1091" spans="1:15" s="236" customFormat="1" x14ac:dyDescent="0.3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37"/>
      <c r="M1091" s="237"/>
      <c r="N1091" s="240"/>
    </row>
    <row r="1092" spans="1:15" s="236" customFormat="1" x14ac:dyDescent="0.3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37"/>
      <c r="M1092" s="237"/>
      <c r="N1092" s="240"/>
      <c r="O1092" s="251" t="s">
        <v>35</v>
      </c>
    </row>
    <row r="1093" spans="1:15" s="236" customFormat="1" x14ac:dyDescent="0.3">
      <c r="A1093" s="242"/>
      <c r="B1093" s="242"/>
      <c r="C1093" s="242"/>
      <c r="D1093" s="242"/>
      <c r="E1093" s="242"/>
      <c r="F1093" s="242"/>
      <c r="G1093" s="242"/>
      <c r="H1093" s="242"/>
      <c r="I1093" s="242"/>
      <c r="J1093" s="242"/>
      <c r="K1093" s="242"/>
      <c r="L1093" s="242"/>
      <c r="M1093" s="242"/>
      <c r="N1093" s="242"/>
      <c r="O1093" s="242"/>
    </row>
    <row r="1094" spans="1:15" s="236" customFormat="1" x14ac:dyDescent="0.3">
      <c r="A1094" s="241" t="str">
        <f>name!A67</f>
        <v>Public administration and defence</v>
      </c>
      <c r="B1094" s="375">
        <f>$B$6</f>
        <v>2015</v>
      </c>
      <c r="C1094" s="375"/>
      <c r="D1094" s="375"/>
      <c r="E1094" s="375"/>
      <c r="F1094" s="263"/>
      <c r="G1094" s="375">
        <f>$G$6</f>
        <v>2020</v>
      </c>
      <c r="H1094" s="375"/>
      <c r="I1094" s="375"/>
      <c r="J1094" s="375"/>
      <c r="K1094" s="263"/>
      <c r="L1094" s="375">
        <f>$L$6</f>
        <v>2035</v>
      </c>
      <c r="M1094" s="375"/>
      <c r="N1094" s="375"/>
      <c r="O1094" s="375"/>
    </row>
    <row r="1095" spans="1:15" s="236" customFormat="1" x14ac:dyDescent="0.3">
      <c r="A1095" s="254"/>
      <c r="B1095" s="268" t="str">
        <f>$B$7</f>
        <v>FT</v>
      </c>
      <c r="C1095" s="268" t="str">
        <f>$C$7</f>
        <v>PT</v>
      </c>
      <c r="D1095" s="268" t="str">
        <f>$D$7</f>
        <v>SE</v>
      </c>
      <c r="E1095" s="268" t="str">
        <f>$E$7</f>
        <v>Total</v>
      </c>
      <c r="F1095" s="268"/>
      <c r="G1095" s="268" t="str">
        <f>$G$7</f>
        <v>FT</v>
      </c>
      <c r="H1095" s="268" t="str">
        <f>$H$7</f>
        <v>PT</v>
      </c>
      <c r="I1095" s="268" t="str">
        <f>$I$7</f>
        <v>SE</v>
      </c>
      <c r="J1095" s="268" t="str">
        <f>$J$7</f>
        <v>Total</v>
      </c>
      <c r="K1095" s="268"/>
      <c r="L1095" s="268" t="str">
        <f>$L$7</f>
        <v>FT</v>
      </c>
      <c r="M1095" s="268" t="str">
        <f>$M$7</f>
        <v>PT</v>
      </c>
      <c r="N1095" s="268" t="str">
        <f>$N$7</f>
        <v>SE</v>
      </c>
      <c r="O1095" s="268" t="str">
        <f>$O$7</f>
        <v>Total</v>
      </c>
    </row>
    <row r="1096" spans="1:15" s="236" customFormat="1" x14ac:dyDescent="0.3">
      <c r="A1096" s="258"/>
      <c r="B1096" s="239"/>
      <c r="C1096" s="239"/>
      <c r="D1096" s="239"/>
      <c r="E1096" s="239"/>
      <c r="F1096" s="239"/>
      <c r="G1096" s="239"/>
      <c r="H1096" s="239"/>
      <c r="I1096" s="239"/>
      <c r="J1096" s="239"/>
      <c r="K1096" s="239"/>
      <c r="L1096" s="239"/>
      <c r="M1096" s="239"/>
      <c r="N1096" s="239"/>
      <c r="O1096" s="239"/>
    </row>
    <row r="1097" spans="1:15" s="236" customFormat="1" x14ac:dyDescent="0.3">
      <c r="A1097" s="237" t="str">
        <f>name!E$4</f>
        <v>Managers, directors and senior officials</v>
      </c>
      <c r="B1097" s="302">
        <v>5.2226139077510965</v>
      </c>
      <c r="C1097" s="302">
        <v>1.410130703832841</v>
      </c>
      <c r="D1097" s="302">
        <v>0.53891197429895499</v>
      </c>
      <c r="E1097" s="302">
        <f>SUM(B1097:D1097)</f>
        <v>7.1716565858828929</v>
      </c>
      <c r="F1097" s="303"/>
      <c r="G1097" s="302">
        <v>5.5910370373781717</v>
      </c>
      <c r="H1097" s="302">
        <v>1.7594483344561662</v>
      </c>
      <c r="I1097" s="302">
        <v>0.22034009494006154</v>
      </c>
      <c r="J1097" s="302">
        <f>SUM(G1097:I1097)</f>
        <v>7.5708254667743997</v>
      </c>
      <c r="K1097" s="303"/>
      <c r="L1097" s="302">
        <v>5.892867197412146</v>
      </c>
      <c r="M1097" s="302">
        <v>2.4530640772574701</v>
      </c>
      <c r="N1097" s="302">
        <v>0.26725248453638639</v>
      </c>
      <c r="O1097" s="302">
        <f>SUM(L1097:N1097)</f>
        <v>8.6131837592060041</v>
      </c>
    </row>
    <row r="1098" spans="1:15" s="236" customFormat="1" x14ac:dyDescent="0.3">
      <c r="A1098" s="237" t="str">
        <f>name!E$5</f>
        <v>Professional occupations</v>
      </c>
      <c r="B1098" s="302">
        <v>9.9346338543714161</v>
      </c>
      <c r="C1098" s="302">
        <v>3.9840867479150548</v>
      </c>
      <c r="D1098" s="302">
        <v>1.3765082109536224</v>
      </c>
      <c r="E1098" s="302">
        <f t="shared" ref="E1098:E1105" si="469">SUM(B1098:D1098)</f>
        <v>15.295228813240092</v>
      </c>
      <c r="F1098" s="303"/>
      <c r="G1098" s="302">
        <v>12.317340351492122</v>
      </c>
      <c r="H1098" s="302">
        <v>4.5429603428209706</v>
      </c>
      <c r="I1098" s="302">
        <v>0.53088187625343897</v>
      </c>
      <c r="J1098" s="302">
        <f t="shared" ref="J1098:J1100" si="470">SUM(G1098:I1098)</f>
        <v>17.391182570566531</v>
      </c>
      <c r="K1098" s="303"/>
      <c r="L1098" s="302">
        <v>15.153554734744924</v>
      </c>
      <c r="M1098" s="302">
        <v>6.3938268004163294</v>
      </c>
      <c r="N1098" s="302">
        <v>0.52833049759858486</v>
      </c>
      <c r="O1098" s="302">
        <f t="shared" ref="O1098:O1105" si="471">SUM(L1098:N1098)</f>
        <v>22.075712032759839</v>
      </c>
    </row>
    <row r="1099" spans="1:15" s="236" customFormat="1" x14ac:dyDescent="0.3">
      <c r="A1099" s="237" t="str">
        <f>name!E$6</f>
        <v>Associate professional occupations</v>
      </c>
      <c r="B1099" s="302">
        <v>21.360965330653276</v>
      </c>
      <c r="C1099" s="302">
        <v>5.1000738809578268</v>
      </c>
      <c r="D1099" s="302">
        <v>0.63588256817576438</v>
      </c>
      <c r="E1099" s="302">
        <f t="shared" si="469"/>
        <v>27.096921779786864</v>
      </c>
      <c r="F1099" s="303"/>
      <c r="G1099" s="302">
        <v>23.267929647257844</v>
      </c>
      <c r="H1099" s="302">
        <v>4.7347995117657309</v>
      </c>
      <c r="I1099" s="302">
        <v>0.21173789450050476</v>
      </c>
      <c r="J1099" s="302">
        <f t="shared" si="470"/>
        <v>28.214467053524078</v>
      </c>
      <c r="K1099" s="303"/>
      <c r="L1099" s="302">
        <v>29.566093986084379</v>
      </c>
      <c r="M1099" s="302">
        <v>5.9080536021713543</v>
      </c>
      <c r="N1099" s="302">
        <v>0.20258237638935583</v>
      </c>
      <c r="O1099" s="302">
        <f t="shared" si="471"/>
        <v>35.676729964645091</v>
      </c>
    </row>
    <row r="1100" spans="1:15" s="236" customFormat="1" x14ac:dyDescent="0.3">
      <c r="A1100" s="237" t="str">
        <f>name!E$7</f>
        <v>Administrative and secretarial occupations</v>
      </c>
      <c r="B1100" s="302">
        <v>15.445504573585181</v>
      </c>
      <c r="C1100" s="302">
        <v>15.401488904806971</v>
      </c>
      <c r="D1100" s="302">
        <v>0.18913111807707361</v>
      </c>
      <c r="E1100" s="302">
        <f t="shared" si="469"/>
        <v>31.036124596469225</v>
      </c>
      <c r="F1100" s="303"/>
      <c r="G1100" s="302">
        <v>14.172948643519247</v>
      </c>
      <c r="H1100" s="302">
        <v>12.252902931497482</v>
      </c>
      <c r="I1100" s="302">
        <v>5.8547664216036521E-2</v>
      </c>
      <c r="J1100" s="302">
        <f t="shared" si="470"/>
        <v>26.484399239232765</v>
      </c>
      <c r="K1100" s="303"/>
      <c r="L1100" s="302">
        <v>10.726691601130812</v>
      </c>
      <c r="M1100" s="302">
        <v>12.052489183702553</v>
      </c>
      <c r="N1100" s="302">
        <v>7.5996365955115969E-2</v>
      </c>
      <c r="O1100" s="302">
        <f t="shared" si="471"/>
        <v>22.855177150788482</v>
      </c>
    </row>
    <row r="1101" spans="1:15" s="236" customFormat="1" x14ac:dyDescent="0.3">
      <c r="A1101" s="237" t="str">
        <f>name!E$8</f>
        <v>Skilled trades occupations</v>
      </c>
      <c r="B1101" s="302">
        <v>1.0042601823484423</v>
      </c>
      <c r="C1101" s="302">
        <v>0.14426716817127083</v>
      </c>
      <c r="D1101" s="302">
        <v>0.51114975131631457</v>
      </c>
      <c r="E1101" s="302">
        <f t="shared" si="469"/>
        <v>1.6596771018360277</v>
      </c>
      <c r="F1101" s="303"/>
      <c r="G1101" s="302">
        <v>0.79210175948725658</v>
      </c>
      <c r="H1101" s="302">
        <v>0.10704773240784554</v>
      </c>
      <c r="I1101" s="302">
        <v>0.13026444367832465</v>
      </c>
      <c r="J1101" s="302">
        <f>SUM(G1101:I1101)</f>
        <v>1.0294139355734269</v>
      </c>
      <c r="K1101" s="303"/>
      <c r="L1101" s="302">
        <v>0.87543111328467982</v>
      </c>
      <c r="M1101" s="302">
        <v>0.31558523304658326</v>
      </c>
      <c r="N1101" s="302">
        <v>0.13955682481867479</v>
      </c>
      <c r="O1101" s="302">
        <f t="shared" si="471"/>
        <v>1.3305731711499378</v>
      </c>
    </row>
    <row r="1102" spans="1:15" s="236" customFormat="1" x14ac:dyDescent="0.3">
      <c r="A1102" s="237" t="str">
        <f>name!E$9</f>
        <v>Caring, leisure and other service occupations</v>
      </c>
      <c r="B1102" s="302">
        <v>1.921803803543632</v>
      </c>
      <c r="C1102" s="302">
        <v>1.115509849063177</v>
      </c>
      <c r="D1102" s="302">
        <v>9.1654414484626134E-2</v>
      </c>
      <c r="E1102" s="302">
        <f t="shared" si="469"/>
        <v>3.128968067091435</v>
      </c>
      <c r="F1102" s="303"/>
      <c r="G1102" s="302">
        <v>1.7663445344011419</v>
      </c>
      <c r="H1102" s="302">
        <v>0.94894017515494633</v>
      </c>
      <c r="I1102" s="302">
        <v>2.9173039734980422E-2</v>
      </c>
      <c r="J1102" s="302">
        <f t="shared" ref="J1102:J1105" si="472">SUM(G1102:I1102)</f>
        <v>2.7444577492910684</v>
      </c>
      <c r="K1102" s="303"/>
      <c r="L1102" s="302">
        <v>2.1140371243182536</v>
      </c>
      <c r="M1102" s="302">
        <v>1.0814473781590923</v>
      </c>
      <c r="N1102" s="302">
        <v>5.4975905385402375E-2</v>
      </c>
      <c r="O1102" s="302">
        <f t="shared" si="471"/>
        <v>3.2504604078627484</v>
      </c>
    </row>
    <row r="1103" spans="1:15" s="236" customFormat="1" x14ac:dyDescent="0.3">
      <c r="A1103" s="237" t="str">
        <f>name!E$10</f>
        <v>Sales and customer service occupations</v>
      </c>
      <c r="B1103" s="302">
        <v>1.2275179824867157</v>
      </c>
      <c r="C1103" s="302">
        <v>1.4824881466640691</v>
      </c>
      <c r="D1103" s="302">
        <v>8.8875690216631248E-2</v>
      </c>
      <c r="E1103" s="302">
        <f t="shared" si="469"/>
        <v>2.7988818193674163</v>
      </c>
      <c r="F1103" s="303"/>
      <c r="G1103" s="302">
        <v>1.1472463442010825</v>
      </c>
      <c r="H1103" s="302">
        <v>1.2822407762028285</v>
      </c>
      <c r="I1103" s="302">
        <v>2.7150893605994927E-2</v>
      </c>
      <c r="J1103" s="302">
        <f t="shared" si="472"/>
        <v>2.4566380140099056</v>
      </c>
      <c r="K1103" s="303"/>
      <c r="L1103" s="302">
        <v>1.3883325008430139</v>
      </c>
      <c r="M1103" s="302">
        <v>1.8919542300768499</v>
      </c>
      <c r="N1103" s="302">
        <v>2.9762457960940243E-2</v>
      </c>
      <c r="O1103" s="302">
        <f t="shared" si="471"/>
        <v>3.3100491888808037</v>
      </c>
    </row>
    <row r="1104" spans="1:15" s="236" customFormat="1" x14ac:dyDescent="0.3">
      <c r="A1104" s="237" t="str">
        <f>name!E$11</f>
        <v>Process, plant and machine operatives</v>
      </c>
      <c r="B1104" s="302">
        <v>0.41079124999050626</v>
      </c>
      <c r="C1104" s="302">
        <v>0.40927575271458327</v>
      </c>
      <c r="D1104" s="302">
        <v>0.19636553980952615</v>
      </c>
      <c r="E1104" s="302">
        <f t="shared" si="469"/>
        <v>1.0164325425146157</v>
      </c>
      <c r="F1104" s="303"/>
      <c r="G1104" s="302">
        <v>0.30189734246924893</v>
      </c>
      <c r="H1104" s="302">
        <v>0.29843674134003872</v>
      </c>
      <c r="I1104" s="302">
        <v>7.8264805313887631E-2</v>
      </c>
      <c r="J1104" s="302">
        <f t="shared" si="472"/>
        <v>0.67859888912317534</v>
      </c>
      <c r="K1104" s="303"/>
      <c r="L1104" s="302">
        <v>0.30792214509134774</v>
      </c>
      <c r="M1104" s="302">
        <v>0.45177157237016591</v>
      </c>
      <c r="N1104" s="302">
        <v>0.1857610858059324</v>
      </c>
      <c r="O1104" s="302">
        <f t="shared" si="471"/>
        <v>0.94545480326744613</v>
      </c>
    </row>
    <row r="1105" spans="1:15" s="236" customFormat="1" x14ac:dyDescent="0.3">
      <c r="A1105" s="237" t="str">
        <f>name!E$12</f>
        <v>Elementary occupations</v>
      </c>
      <c r="B1105" s="302">
        <v>1.6329091147519521</v>
      </c>
      <c r="C1105" s="302">
        <v>2.2496788457285839</v>
      </c>
      <c r="D1105" s="302">
        <v>8.3520732675960427E-2</v>
      </c>
      <c r="E1105" s="302">
        <f t="shared" si="469"/>
        <v>3.9661086931564964</v>
      </c>
      <c r="F1105" s="303"/>
      <c r="G1105" s="302">
        <v>1.2591543395968585</v>
      </c>
      <c r="H1105" s="302">
        <v>1.4902234543772139</v>
      </c>
      <c r="I1105" s="302">
        <v>2.5639287755282993E-2</v>
      </c>
      <c r="J1105" s="302">
        <f t="shared" si="472"/>
        <v>2.7750170817293554</v>
      </c>
      <c r="K1105" s="303"/>
      <c r="L1105" s="302">
        <v>1.0950695968823023</v>
      </c>
      <c r="M1105" s="302">
        <v>1.7458079227883854</v>
      </c>
      <c r="N1105" s="302">
        <v>3.4782001567977741E-2</v>
      </c>
      <c r="O1105" s="302">
        <f t="shared" si="471"/>
        <v>2.8756595212386653</v>
      </c>
    </row>
    <row r="1106" spans="1:15" s="236" customFormat="1" x14ac:dyDescent="0.3">
      <c r="A1106" s="237"/>
      <c r="B1106" s="302"/>
      <c r="C1106" s="302"/>
      <c r="D1106" s="302"/>
      <c r="E1106" s="302"/>
      <c r="F1106" s="303"/>
      <c r="G1106" s="302"/>
      <c r="H1106" s="302"/>
      <c r="I1106" s="302"/>
      <c r="J1106" s="302"/>
      <c r="K1106" s="303"/>
      <c r="L1106" s="302"/>
      <c r="M1106" s="302"/>
      <c r="N1106" s="302"/>
      <c r="O1106" s="302"/>
    </row>
    <row r="1107" spans="1:15" s="236" customFormat="1" x14ac:dyDescent="0.3">
      <c r="A1107" s="244" t="s">
        <v>32</v>
      </c>
      <c r="B1107" s="311">
        <f>SUM(B1097:B1105)</f>
        <v>58.160999999482222</v>
      </c>
      <c r="C1107" s="311">
        <f t="shared" ref="C1107:E1107" si="473">SUM(C1097:C1105)</f>
        <v>31.296999999854378</v>
      </c>
      <c r="D1107" s="311">
        <f t="shared" si="473"/>
        <v>3.7120000000084739</v>
      </c>
      <c r="E1107" s="311">
        <f t="shared" si="473"/>
        <v>93.16999999934508</v>
      </c>
      <c r="F1107" s="311"/>
      <c r="G1107" s="311">
        <f t="shared" ref="G1107:J1107" si="474">SUM(G1097:G1105)</f>
        <v>60.615999999802973</v>
      </c>
      <c r="H1107" s="311">
        <f t="shared" si="474"/>
        <v>27.417000000023226</v>
      </c>
      <c r="I1107" s="311">
        <f t="shared" si="474"/>
        <v>1.3119999999985124</v>
      </c>
      <c r="J1107" s="311">
        <f t="shared" si="474"/>
        <v>89.344999999824736</v>
      </c>
      <c r="K1107" s="311"/>
      <c r="L1107" s="311">
        <f t="shared" ref="L1107:O1107" si="475">SUM(L1097:L1105)</f>
        <v>67.119999999791858</v>
      </c>
      <c r="M1107" s="311">
        <f t="shared" si="475"/>
        <v>32.293999999988777</v>
      </c>
      <c r="N1107" s="311">
        <f t="shared" si="475"/>
        <v>1.5190000000183708</v>
      </c>
      <c r="O1107" s="311">
        <f t="shared" si="475"/>
        <v>100.93299999979902</v>
      </c>
    </row>
    <row r="1108" spans="1:15" s="236" customFormat="1" x14ac:dyDescent="0.3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37"/>
      <c r="M1108" s="237"/>
      <c r="N1108" s="240"/>
    </row>
    <row r="1109" spans="1:15" s="236" customFormat="1" x14ac:dyDescent="0.3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37"/>
      <c r="M1109" s="237"/>
      <c r="N1109" s="240"/>
      <c r="O1109" s="251" t="s">
        <v>35</v>
      </c>
    </row>
    <row r="1110" spans="1:15" s="236" customFormat="1" x14ac:dyDescent="0.3">
      <c r="A1110" s="242"/>
      <c r="B1110" s="242"/>
      <c r="C1110" s="242"/>
      <c r="D1110" s="242"/>
      <c r="E1110" s="242"/>
      <c r="F1110" s="242"/>
      <c r="G1110" s="242"/>
      <c r="H1110" s="242"/>
      <c r="I1110" s="242"/>
      <c r="J1110" s="242"/>
      <c r="K1110" s="242"/>
      <c r="L1110" s="242"/>
      <c r="M1110" s="242"/>
      <c r="N1110" s="242"/>
      <c r="O1110" s="242"/>
    </row>
    <row r="1111" spans="1:15" s="236" customFormat="1" x14ac:dyDescent="0.3">
      <c r="A1111" s="241" t="str">
        <f>name!A68</f>
        <v xml:space="preserve">Education </v>
      </c>
      <c r="B1111" s="375">
        <f>$B$6</f>
        <v>2015</v>
      </c>
      <c r="C1111" s="375"/>
      <c r="D1111" s="375"/>
      <c r="E1111" s="375"/>
      <c r="F1111" s="263"/>
      <c r="G1111" s="375">
        <f>$G$6</f>
        <v>2020</v>
      </c>
      <c r="H1111" s="375"/>
      <c r="I1111" s="375"/>
      <c r="J1111" s="375"/>
      <c r="K1111" s="263"/>
      <c r="L1111" s="375">
        <f>$L$6</f>
        <v>2035</v>
      </c>
      <c r="M1111" s="375"/>
      <c r="N1111" s="375"/>
      <c r="O1111" s="375"/>
    </row>
    <row r="1112" spans="1:15" s="236" customFormat="1" x14ac:dyDescent="0.3">
      <c r="A1112" s="254"/>
      <c r="B1112" s="268" t="str">
        <f>$B$7</f>
        <v>FT</v>
      </c>
      <c r="C1112" s="268" t="str">
        <f>$C$7</f>
        <v>PT</v>
      </c>
      <c r="D1112" s="268" t="str">
        <f>$D$7</f>
        <v>SE</v>
      </c>
      <c r="E1112" s="268" t="str">
        <f>$E$7</f>
        <v>Total</v>
      </c>
      <c r="F1112" s="268"/>
      <c r="G1112" s="268" t="str">
        <f>$G$7</f>
        <v>FT</v>
      </c>
      <c r="H1112" s="268" t="str">
        <f>$H$7</f>
        <v>PT</v>
      </c>
      <c r="I1112" s="268" t="str">
        <f>$I$7</f>
        <v>SE</v>
      </c>
      <c r="J1112" s="268" t="str">
        <f>$J$7</f>
        <v>Total</v>
      </c>
      <c r="K1112" s="268"/>
      <c r="L1112" s="268" t="str">
        <f>$L$7</f>
        <v>FT</v>
      </c>
      <c r="M1112" s="268" t="str">
        <f>$M$7</f>
        <v>PT</v>
      </c>
      <c r="N1112" s="268" t="str">
        <f>$N$7</f>
        <v>SE</v>
      </c>
      <c r="O1112" s="268" t="str">
        <f>$O$7</f>
        <v>Total</v>
      </c>
    </row>
    <row r="1113" spans="1:15" s="236" customFormat="1" x14ac:dyDescent="0.3">
      <c r="A1113" s="258"/>
      <c r="B1113" s="239"/>
      <c r="C1113" s="239"/>
      <c r="D1113" s="239"/>
      <c r="E1113" s="239"/>
      <c r="F1113" s="239"/>
      <c r="G1113" s="239"/>
      <c r="H1113" s="239"/>
      <c r="I1113" s="239"/>
      <c r="J1113" s="239"/>
      <c r="K1113" s="239"/>
      <c r="L1113" s="239"/>
      <c r="M1113" s="239"/>
      <c r="N1113" s="239"/>
      <c r="O1113" s="239"/>
    </row>
    <row r="1114" spans="1:15" s="236" customFormat="1" x14ac:dyDescent="0.3">
      <c r="A1114" s="237" t="str">
        <f>name!E$4</f>
        <v>Managers, directors and senior officials</v>
      </c>
      <c r="B1114" s="302">
        <v>3.6162993004098269</v>
      </c>
      <c r="C1114" s="302">
        <v>1.8036222699936211</v>
      </c>
      <c r="D1114" s="302">
        <v>1.8601249527661621</v>
      </c>
      <c r="E1114" s="302">
        <f>SUM(B1114:D1114)</f>
        <v>7.2800465231696094</v>
      </c>
      <c r="F1114" s="303"/>
      <c r="G1114" s="302">
        <v>3.6002035594822508</v>
      </c>
      <c r="H1114" s="302">
        <v>2.7446463302292994</v>
      </c>
      <c r="I1114" s="302">
        <v>1.7467370917141316</v>
      </c>
      <c r="J1114" s="302">
        <f>SUM(G1114:I1114)</f>
        <v>8.0915869814256816</v>
      </c>
      <c r="K1114" s="303"/>
      <c r="L1114" s="302">
        <v>3.5571554927134814</v>
      </c>
      <c r="M1114" s="302">
        <v>3.0673682732462684</v>
      </c>
      <c r="N1114" s="302">
        <v>1.6135014659312914</v>
      </c>
      <c r="O1114" s="302">
        <f>SUM(L1114:N1114)</f>
        <v>8.2380252318910419</v>
      </c>
    </row>
    <row r="1115" spans="1:15" s="236" customFormat="1" x14ac:dyDescent="0.3">
      <c r="A1115" s="237" t="str">
        <f>name!E$5</f>
        <v>Professional occupations</v>
      </c>
      <c r="B1115" s="302">
        <v>70.78272670110178</v>
      </c>
      <c r="C1115" s="302">
        <v>44.40849903617368</v>
      </c>
      <c r="D1115" s="302">
        <v>10.807992883527033</v>
      </c>
      <c r="E1115" s="302">
        <f t="shared" ref="E1115:E1122" si="476">SUM(B1115:D1115)</f>
        <v>125.99921862080249</v>
      </c>
      <c r="F1115" s="303"/>
      <c r="G1115" s="302">
        <v>77.937867169239212</v>
      </c>
      <c r="H1115" s="302">
        <v>57.477412231370174</v>
      </c>
      <c r="I1115" s="302">
        <v>11.561793123163829</v>
      </c>
      <c r="J1115" s="302">
        <f t="shared" ref="J1115:J1117" si="477">SUM(G1115:I1115)</f>
        <v>146.97707252377322</v>
      </c>
      <c r="K1115" s="303"/>
      <c r="L1115" s="302">
        <v>83.077240302237797</v>
      </c>
      <c r="M1115" s="302">
        <v>67.951021233195206</v>
      </c>
      <c r="N1115" s="302">
        <v>12.14058577447207</v>
      </c>
      <c r="O1115" s="302">
        <f t="shared" ref="O1115:O1122" si="478">SUM(L1115:N1115)</f>
        <v>163.16884730990506</v>
      </c>
    </row>
    <row r="1116" spans="1:15" s="236" customFormat="1" x14ac:dyDescent="0.3">
      <c r="A1116" s="237" t="str">
        <f>name!E$6</f>
        <v>Associate professional occupations</v>
      </c>
      <c r="B1116" s="302">
        <v>6.9102720335376207</v>
      </c>
      <c r="C1116" s="302">
        <v>8.4703105064859709</v>
      </c>
      <c r="D1116" s="302">
        <v>4.3770379685224334</v>
      </c>
      <c r="E1116" s="302">
        <f t="shared" si="476"/>
        <v>19.757620508546026</v>
      </c>
      <c r="F1116" s="303"/>
      <c r="G1116" s="302">
        <v>7.5039688123179253</v>
      </c>
      <c r="H1116" s="302">
        <v>10.776166890284129</v>
      </c>
      <c r="I1116" s="302">
        <v>3.289488826694301</v>
      </c>
      <c r="J1116" s="302">
        <f t="shared" si="477"/>
        <v>21.569624529296355</v>
      </c>
      <c r="K1116" s="303"/>
      <c r="L1116" s="302">
        <v>6.9327077559238424</v>
      </c>
      <c r="M1116" s="302">
        <v>10.327466959618956</v>
      </c>
      <c r="N1116" s="302">
        <v>3.0727851157165458</v>
      </c>
      <c r="O1116" s="302">
        <f t="shared" si="478"/>
        <v>20.332959831259345</v>
      </c>
    </row>
    <row r="1117" spans="1:15" s="236" customFormat="1" x14ac:dyDescent="0.3">
      <c r="A1117" s="237" t="str">
        <f>name!E$7</f>
        <v>Administrative and secretarial occupations</v>
      </c>
      <c r="B1117" s="302">
        <v>5.7958732149433434</v>
      </c>
      <c r="C1117" s="302">
        <v>12.959024351467081</v>
      </c>
      <c r="D1117" s="302">
        <v>0.62859820324950211</v>
      </c>
      <c r="E1117" s="302">
        <f t="shared" si="476"/>
        <v>19.383495769659927</v>
      </c>
      <c r="F1117" s="303"/>
      <c r="G1117" s="302">
        <v>5.1844427244685942</v>
      </c>
      <c r="H1117" s="302">
        <v>13.308726042923245</v>
      </c>
      <c r="I1117" s="302">
        <v>0.46647741721966329</v>
      </c>
      <c r="J1117" s="302">
        <f t="shared" si="477"/>
        <v>18.959646184611504</v>
      </c>
      <c r="K1117" s="303"/>
      <c r="L1117" s="302">
        <v>2.5164736617023817</v>
      </c>
      <c r="M1117" s="302">
        <v>5.8239440972191057</v>
      </c>
      <c r="N1117" s="302">
        <v>0.23031545879216467</v>
      </c>
      <c r="O1117" s="302">
        <f t="shared" si="478"/>
        <v>8.5707332177136522</v>
      </c>
    </row>
    <row r="1118" spans="1:15" s="236" customFormat="1" x14ac:dyDescent="0.3">
      <c r="A1118" s="237" t="str">
        <f>name!E$8</f>
        <v>Skilled trades occupations</v>
      </c>
      <c r="B1118" s="302">
        <v>1.8833366653104331</v>
      </c>
      <c r="C1118" s="302">
        <v>1.6995666317424234</v>
      </c>
      <c r="D1118" s="302">
        <v>0.5409307202344118</v>
      </c>
      <c r="E1118" s="302">
        <f t="shared" si="476"/>
        <v>4.1238340172872681</v>
      </c>
      <c r="F1118" s="303"/>
      <c r="G1118" s="302">
        <v>1.3446835653822466</v>
      </c>
      <c r="H1118" s="302">
        <v>1.3789524937198976</v>
      </c>
      <c r="I1118" s="302">
        <v>0.40968022337699805</v>
      </c>
      <c r="J1118" s="302">
        <f>SUM(G1118:I1118)</f>
        <v>3.1333162824791425</v>
      </c>
      <c r="K1118" s="303"/>
      <c r="L1118" s="302">
        <v>0.72057972743509258</v>
      </c>
      <c r="M1118" s="302">
        <v>0.63370872505806231</v>
      </c>
      <c r="N1118" s="302">
        <v>0.61473586302394323</v>
      </c>
      <c r="O1118" s="302">
        <f t="shared" si="478"/>
        <v>1.9690243155170981</v>
      </c>
    </row>
    <row r="1119" spans="1:15" s="236" customFormat="1" x14ac:dyDescent="0.3">
      <c r="A1119" s="237" t="str">
        <f>name!E$9</f>
        <v>Caring, leisure and other service occupations</v>
      </c>
      <c r="B1119" s="302">
        <v>24.153594845612581</v>
      </c>
      <c r="C1119" s="302">
        <v>33.852568649108953</v>
      </c>
      <c r="D1119" s="302">
        <v>1.8004326652978253</v>
      </c>
      <c r="E1119" s="302">
        <f t="shared" si="476"/>
        <v>59.80659616001936</v>
      </c>
      <c r="F1119" s="303"/>
      <c r="G1119" s="302">
        <v>23.195829232359731</v>
      </c>
      <c r="H1119" s="302">
        <v>36.794565496389737</v>
      </c>
      <c r="I1119" s="302">
        <v>1.5118080862667267</v>
      </c>
      <c r="J1119" s="302">
        <f t="shared" ref="J1119:J1122" si="479">SUM(G1119:I1119)</f>
        <v>61.50220281501619</v>
      </c>
      <c r="K1119" s="303"/>
      <c r="L1119" s="302">
        <v>27.583799782849635</v>
      </c>
      <c r="M1119" s="302">
        <v>36.012054455669848</v>
      </c>
      <c r="N1119" s="302">
        <v>1.8674110223585498</v>
      </c>
      <c r="O1119" s="302">
        <f t="shared" si="478"/>
        <v>65.463265260878032</v>
      </c>
    </row>
    <row r="1120" spans="1:15" s="236" customFormat="1" x14ac:dyDescent="0.3">
      <c r="A1120" s="237" t="str">
        <f>name!E$10</f>
        <v>Sales and customer service occupations</v>
      </c>
      <c r="B1120" s="302">
        <v>0.47658576734216018</v>
      </c>
      <c r="C1120" s="302">
        <v>1.0906791944230494</v>
      </c>
      <c r="D1120" s="302">
        <v>0.3374996428943926</v>
      </c>
      <c r="E1120" s="302">
        <f t="shared" si="476"/>
        <v>1.9047646046596021</v>
      </c>
      <c r="F1120" s="303"/>
      <c r="G1120" s="302">
        <v>0.41867039880406381</v>
      </c>
      <c r="H1120" s="302">
        <v>1.1344396585661922</v>
      </c>
      <c r="I1120" s="302">
        <v>0.19974398266906598</v>
      </c>
      <c r="J1120" s="302">
        <f t="shared" si="479"/>
        <v>1.752854040039322</v>
      </c>
      <c r="K1120" s="303"/>
      <c r="L1120" s="302">
        <v>0.39250611422446219</v>
      </c>
      <c r="M1120" s="302">
        <v>1.023444009156905</v>
      </c>
      <c r="N1120" s="302">
        <v>0.21881704625979545</v>
      </c>
      <c r="O1120" s="302">
        <f t="shared" si="478"/>
        <v>1.6347671696411625</v>
      </c>
    </row>
    <row r="1121" spans="1:15" s="236" customFormat="1" x14ac:dyDescent="0.3">
      <c r="A1121" s="237" t="str">
        <f>name!E$11</f>
        <v>Process, plant and machine operatives</v>
      </c>
      <c r="B1121" s="302">
        <v>0.2133557190709148</v>
      </c>
      <c r="C1121" s="302">
        <v>0.54293699909127635</v>
      </c>
      <c r="D1121" s="302">
        <v>2.9709645302544621</v>
      </c>
      <c r="E1121" s="302">
        <f t="shared" si="476"/>
        <v>3.7272572484166533</v>
      </c>
      <c r="F1121" s="303"/>
      <c r="G1121" s="302">
        <v>0.13827276196747151</v>
      </c>
      <c r="H1121" s="302">
        <v>0.4363052550257186</v>
      </c>
      <c r="I1121" s="302">
        <v>2.8333098456316201</v>
      </c>
      <c r="J1121" s="302">
        <f t="shared" si="479"/>
        <v>3.4078878626248104</v>
      </c>
      <c r="K1121" s="303"/>
      <c r="L1121" s="302">
        <v>9.0772178983782079E-2</v>
      </c>
      <c r="M1121" s="302">
        <v>0.53483752556756858</v>
      </c>
      <c r="N1121" s="302">
        <v>2.8739371437698709</v>
      </c>
      <c r="O1121" s="302">
        <f t="shared" si="478"/>
        <v>3.4995468483212218</v>
      </c>
    </row>
    <row r="1122" spans="1:15" s="236" customFormat="1" x14ac:dyDescent="0.3">
      <c r="A1122" s="237" t="str">
        <f>name!E$12</f>
        <v>Elementary occupations</v>
      </c>
      <c r="B1122" s="302">
        <v>1.0129557551617039</v>
      </c>
      <c r="C1122" s="302">
        <v>19.622792356090514</v>
      </c>
      <c r="D1122" s="302">
        <v>0.54041843314008065</v>
      </c>
      <c r="E1122" s="302">
        <f t="shared" si="476"/>
        <v>21.176166544392299</v>
      </c>
      <c r="F1122" s="303"/>
      <c r="G1122" s="302">
        <v>0.72206178170670843</v>
      </c>
      <c r="H1122" s="302">
        <v>16.844785598567807</v>
      </c>
      <c r="I1122" s="302">
        <v>0.27396140387542145</v>
      </c>
      <c r="J1122" s="302">
        <f t="shared" si="479"/>
        <v>17.840808784149939</v>
      </c>
      <c r="K1122" s="303"/>
      <c r="L1122" s="302">
        <v>0.256764984875826</v>
      </c>
      <c r="M1122" s="302">
        <v>10.10815472208731</v>
      </c>
      <c r="N1122" s="302">
        <v>0.51991111048667671</v>
      </c>
      <c r="O1122" s="302">
        <f t="shared" si="478"/>
        <v>10.884830817449812</v>
      </c>
    </row>
    <row r="1123" spans="1:15" s="236" customFormat="1" x14ac:dyDescent="0.3">
      <c r="A1123" s="237"/>
      <c r="B1123" s="302"/>
      <c r="C1123" s="302"/>
      <c r="D1123" s="302"/>
      <c r="E1123" s="302"/>
      <c r="F1123" s="303"/>
      <c r="G1123" s="302"/>
      <c r="H1123" s="302"/>
      <c r="I1123" s="302"/>
      <c r="J1123" s="302"/>
      <c r="K1123" s="303"/>
      <c r="L1123" s="302"/>
      <c r="M1123" s="302"/>
      <c r="N1123" s="302"/>
      <c r="O1123" s="302"/>
    </row>
    <row r="1124" spans="1:15" s="236" customFormat="1" x14ac:dyDescent="0.3">
      <c r="A1124" s="244" t="s">
        <v>32</v>
      </c>
      <c r="B1124" s="311">
        <f>SUM(B1114:B1122)</f>
        <v>114.84500000249035</v>
      </c>
      <c r="C1124" s="311">
        <f t="shared" ref="C1124:E1124" si="480">SUM(C1114:C1122)</f>
        <v>124.44999999457657</v>
      </c>
      <c r="D1124" s="311">
        <f t="shared" si="480"/>
        <v>23.863999999886303</v>
      </c>
      <c r="E1124" s="311">
        <f t="shared" si="480"/>
        <v>263.15899999695324</v>
      </c>
      <c r="F1124" s="311"/>
      <c r="G1124" s="311">
        <f t="shared" ref="G1124:J1124" si="481">SUM(G1114:G1122)</f>
        <v>120.0460000057282</v>
      </c>
      <c r="H1124" s="311">
        <f t="shared" si="481"/>
        <v>140.89599999707619</v>
      </c>
      <c r="I1124" s="311">
        <f t="shared" si="481"/>
        <v>22.293000000611759</v>
      </c>
      <c r="J1124" s="311">
        <f t="shared" si="481"/>
        <v>283.23500000341619</v>
      </c>
      <c r="K1124" s="311"/>
      <c r="L1124" s="311">
        <f t="shared" ref="L1124:O1124" si="482">SUM(L1114:L1122)</f>
        <v>125.1280000009463</v>
      </c>
      <c r="M1124" s="311">
        <f t="shared" si="482"/>
        <v>135.48200000081923</v>
      </c>
      <c r="N1124" s="311">
        <f t="shared" si="482"/>
        <v>23.152000000810908</v>
      </c>
      <c r="O1124" s="311">
        <f t="shared" si="482"/>
        <v>283.76200000257649</v>
      </c>
    </row>
    <row r="1125" spans="1:15" s="236" customFormat="1" x14ac:dyDescent="0.3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37"/>
      <c r="M1125" s="237"/>
      <c r="N1125" s="240"/>
    </row>
    <row r="1126" spans="1:15" s="236" customFormat="1" x14ac:dyDescent="0.3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37"/>
      <c r="M1126" s="237"/>
      <c r="N1126" s="240"/>
      <c r="O1126" s="251" t="s">
        <v>35</v>
      </c>
    </row>
    <row r="1127" spans="1:15" s="236" customFormat="1" x14ac:dyDescent="0.3">
      <c r="A1127" s="242"/>
      <c r="B1127" s="242"/>
      <c r="C1127" s="242"/>
      <c r="D1127" s="242"/>
      <c r="E1127" s="242"/>
      <c r="F1127" s="242"/>
      <c r="G1127" s="242"/>
      <c r="H1127" s="242"/>
      <c r="I1127" s="242"/>
      <c r="J1127" s="242"/>
      <c r="K1127" s="242"/>
      <c r="L1127" s="242"/>
      <c r="M1127" s="242"/>
      <c r="N1127" s="242"/>
      <c r="O1127" s="242"/>
    </row>
    <row r="1128" spans="1:15" s="236" customFormat="1" x14ac:dyDescent="0.3">
      <c r="A1128" s="241" t="str">
        <f>name!A69</f>
        <v>Health</v>
      </c>
      <c r="B1128" s="375">
        <f>$B$6</f>
        <v>2015</v>
      </c>
      <c r="C1128" s="375"/>
      <c r="D1128" s="375"/>
      <c r="E1128" s="375"/>
      <c r="F1128" s="263"/>
      <c r="G1128" s="375">
        <f>$G$6</f>
        <v>2020</v>
      </c>
      <c r="H1128" s="375"/>
      <c r="I1128" s="375"/>
      <c r="J1128" s="375"/>
      <c r="K1128" s="263"/>
      <c r="L1128" s="375">
        <f>$L$6</f>
        <v>2035</v>
      </c>
      <c r="M1128" s="375"/>
      <c r="N1128" s="375"/>
      <c r="O1128" s="375"/>
    </row>
    <row r="1129" spans="1:15" s="236" customFormat="1" x14ac:dyDescent="0.3">
      <c r="A1129" s="254"/>
      <c r="B1129" s="268" t="str">
        <f>$B$7</f>
        <v>FT</v>
      </c>
      <c r="C1129" s="268" t="str">
        <f>$C$7</f>
        <v>PT</v>
      </c>
      <c r="D1129" s="268" t="str">
        <f>$D$7</f>
        <v>SE</v>
      </c>
      <c r="E1129" s="268" t="str">
        <f>$E$7</f>
        <v>Total</v>
      </c>
      <c r="F1129" s="268"/>
      <c r="G1129" s="268" t="str">
        <f>$G$7</f>
        <v>FT</v>
      </c>
      <c r="H1129" s="268" t="str">
        <f>$H$7</f>
        <v>PT</v>
      </c>
      <c r="I1129" s="268" t="str">
        <f>$I$7</f>
        <v>SE</v>
      </c>
      <c r="J1129" s="268" t="str">
        <f>$J$7</f>
        <v>Total</v>
      </c>
      <c r="K1129" s="268"/>
      <c r="L1129" s="268" t="str">
        <f>$L$7</f>
        <v>FT</v>
      </c>
      <c r="M1129" s="268" t="str">
        <f>$M$7</f>
        <v>PT</v>
      </c>
      <c r="N1129" s="268" t="str">
        <f>$N$7</f>
        <v>SE</v>
      </c>
      <c r="O1129" s="268" t="str">
        <f>$O$7</f>
        <v>Total</v>
      </c>
    </row>
    <row r="1130" spans="1:15" s="236" customFormat="1" x14ac:dyDescent="0.3">
      <c r="A1130" s="258"/>
      <c r="B1130" s="239"/>
      <c r="C1130" s="239"/>
      <c r="D1130" s="239"/>
      <c r="E1130" s="239"/>
      <c r="F1130" s="239"/>
      <c r="G1130" s="239"/>
      <c r="H1130" s="239"/>
      <c r="I1130" s="239"/>
      <c r="J1130" s="239"/>
      <c r="K1130" s="239"/>
      <c r="L1130" s="239"/>
      <c r="M1130" s="239"/>
      <c r="N1130" s="239"/>
      <c r="O1130" s="239"/>
    </row>
    <row r="1131" spans="1:15" s="236" customFormat="1" x14ac:dyDescent="0.3">
      <c r="A1131" s="237" t="str">
        <f>name!E$4</f>
        <v>Managers, directors and senior officials</v>
      </c>
      <c r="B1131" s="302">
        <v>5.7556379048951021</v>
      </c>
      <c r="C1131" s="302">
        <v>1.6432744211212178</v>
      </c>
      <c r="D1131" s="302">
        <v>1.1812287418893499</v>
      </c>
      <c r="E1131" s="302">
        <f>SUM(B1131:D1131)</f>
        <v>8.5801410679056698</v>
      </c>
      <c r="F1131" s="303"/>
      <c r="G1131" s="302">
        <v>6.9776798648201526</v>
      </c>
      <c r="H1131" s="302">
        <v>2.6079486453543397</v>
      </c>
      <c r="I1131" s="302">
        <v>1.1982394372267575</v>
      </c>
      <c r="J1131" s="302">
        <f>SUM(G1131:I1131)</f>
        <v>10.78386794740125</v>
      </c>
      <c r="K1131" s="303"/>
      <c r="L1131" s="302">
        <v>9.2674785413804184</v>
      </c>
      <c r="M1131" s="302">
        <v>3.6595937630175355</v>
      </c>
      <c r="N1131" s="302">
        <v>1.6558918303159453</v>
      </c>
      <c r="O1131" s="302">
        <f>SUM(L1131:N1131)</f>
        <v>14.582964134713897</v>
      </c>
    </row>
    <row r="1132" spans="1:15" s="236" customFormat="1" x14ac:dyDescent="0.3">
      <c r="A1132" s="237" t="str">
        <f>name!E$5</f>
        <v>Professional occupations</v>
      </c>
      <c r="B1132" s="302">
        <v>28.371693817400978</v>
      </c>
      <c r="C1132" s="302">
        <v>13.495316798825163</v>
      </c>
      <c r="D1132" s="302">
        <v>6.2123261329402224</v>
      </c>
      <c r="E1132" s="302">
        <f t="shared" ref="E1132:E1139" si="483">SUM(B1132:D1132)</f>
        <v>48.079336749166359</v>
      </c>
      <c r="F1132" s="303"/>
      <c r="G1132" s="302">
        <v>36.639242831329668</v>
      </c>
      <c r="H1132" s="302">
        <v>19.036734809804795</v>
      </c>
      <c r="I1132" s="302">
        <v>6.2795915585535624</v>
      </c>
      <c r="J1132" s="302">
        <f t="shared" ref="J1132:J1134" si="484">SUM(G1132:I1132)</f>
        <v>61.955569199688028</v>
      </c>
      <c r="K1132" s="303"/>
      <c r="L1132" s="302">
        <v>49.304247783259754</v>
      </c>
      <c r="M1132" s="302">
        <v>25.80820181385668</v>
      </c>
      <c r="N1132" s="302">
        <v>8.7228711546403979</v>
      </c>
      <c r="O1132" s="302">
        <f t="shared" ref="O1132:O1139" si="485">SUM(L1132:N1132)</f>
        <v>83.835320751756839</v>
      </c>
    </row>
    <row r="1133" spans="1:15" s="236" customFormat="1" x14ac:dyDescent="0.3">
      <c r="A1133" s="237" t="str">
        <f>name!E$6</f>
        <v>Associate professional occupations</v>
      </c>
      <c r="B1133" s="302">
        <v>11.465824929877179</v>
      </c>
      <c r="C1133" s="302">
        <v>7.8173384048841417</v>
      </c>
      <c r="D1133" s="302">
        <v>2.3246693119631239</v>
      </c>
      <c r="E1133" s="302">
        <f t="shared" si="483"/>
        <v>21.607832646724443</v>
      </c>
      <c r="F1133" s="303"/>
      <c r="G1133" s="302">
        <v>14.398698390047633</v>
      </c>
      <c r="H1133" s="302">
        <v>10.800007876009271</v>
      </c>
      <c r="I1133" s="302">
        <v>2.2821816616192883</v>
      </c>
      <c r="J1133" s="302">
        <f t="shared" si="484"/>
        <v>27.480887927676189</v>
      </c>
      <c r="K1133" s="303"/>
      <c r="L1133" s="302">
        <v>17.296098325182559</v>
      </c>
      <c r="M1133" s="302">
        <v>13.351114404141782</v>
      </c>
      <c r="N1133" s="302">
        <v>3.5937992394818528</v>
      </c>
      <c r="O1133" s="302">
        <f t="shared" si="485"/>
        <v>34.241011968806191</v>
      </c>
    </row>
    <row r="1134" spans="1:15" s="236" customFormat="1" x14ac:dyDescent="0.3">
      <c r="A1134" s="237" t="str">
        <f>name!E$7</f>
        <v>Administrative and secretarial occupations</v>
      </c>
      <c r="B1134" s="302">
        <v>8.5439382806547943</v>
      </c>
      <c r="C1134" s="302">
        <v>12.373574185651298</v>
      </c>
      <c r="D1134" s="302">
        <v>0.63139238234543626</v>
      </c>
      <c r="E1134" s="302">
        <f t="shared" si="483"/>
        <v>21.548904848651528</v>
      </c>
      <c r="F1134" s="303"/>
      <c r="G1134" s="302">
        <v>8.8855880210347635</v>
      </c>
      <c r="H1134" s="302">
        <v>13.379417916708361</v>
      </c>
      <c r="I1134" s="302">
        <v>0.50108085108776712</v>
      </c>
      <c r="J1134" s="302">
        <f t="shared" si="484"/>
        <v>22.766086788830894</v>
      </c>
      <c r="K1134" s="303"/>
      <c r="L1134" s="302">
        <v>7.9640476160808191</v>
      </c>
      <c r="M1134" s="302">
        <v>10.106173725716804</v>
      </c>
      <c r="N1134" s="302">
        <v>0.37964549373281969</v>
      </c>
      <c r="O1134" s="302">
        <f t="shared" si="485"/>
        <v>18.449866835530443</v>
      </c>
    </row>
    <row r="1135" spans="1:15" s="236" customFormat="1" x14ac:dyDescent="0.3">
      <c r="A1135" s="237" t="str">
        <f>name!E$8</f>
        <v>Skilled trades occupations</v>
      </c>
      <c r="B1135" s="302">
        <v>1.1828843504274595</v>
      </c>
      <c r="C1135" s="302">
        <v>1.0816449591739998</v>
      </c>
      <c r="D1135" s="302">
        <v>0.52851306832124578</v>
      </c>
      <c r="E1135" s="302">
        <f t="shared" si="483"/>
        <v>2.7930423779227054</v>
      </c>
      <c r="F1135" s="303"/>
      <c r="G1135" s="302">
        <v>1.0168680534978152</v>
      </c>
      <c r="H1135" s="302">
        <v>0.91965145135306992</v>
      </c>
      <c r="I1135" s="302">
        <v>0.36349086488461624</v>
      </c>
      <c r="J1135" s="302">
        <f>SUM(G1135:I1135)</f>
        <v>2.3000103697355012</v>
      </c>
      <c r="K1135" s="303"/>
      <c r="L1135" s="302">
        <v>0.79161891377477511</v>
      </c>
      <c r="M1135" s="302">
        <v>0.95359930552606775</v>
      </c>
      <c r="N1135" s="302">
        <v>0.50612941165218239</v>
      </c>
      <c r="O1135" s="302">
        <f t="shared" si="485"/>
        <v>2.2513476309530249</v>
      </c>
    </row>
    <row r="1136" spans="1:15" s="236" customFormat="1" x14ac:dyDescent="0.3">
      <c r="A1136" s="237" t="str">
        <f>name!E$9</f>
        <v>Caring, leisure and other service occupations</v>
      </c>
      <c r="B1136" s="302">
        <v>30.288871358997774</v>
      </c>
      <c r="C1136" s="302">
        <v>29.234206505472585</v>
      </c>
      <c r="D1136" s="302">
        <v>4.9723547880106276</v>
      </c>
      <c r="E1136" s="302">
        <f t="shared" si="483"/>
        <v>64.495432652480986</v>
      </c>
      <c r="F1136" s="303"/>
      <c r="G1136" s="302">
        <v>33.49224487052318</v>
      </c>
      <c r="H1136" s="302">
        <v>34.045752464767617</v>
      </c>
      <c r="I1136" s="302">
        <v>6.5090775644796182</v>
      </c>
      <c r="J1136" s="302">
        <f t="shared" ref="J1136:J1139" si="486">SUM(G1136:I1136)</f>
        <v>74.047074899770422</v>
      </c>
      <c r="K1136" s="303"/>
      <c r="L1136" s="302">
        <v>46.413755706810768</v>
      </c>
      <c r="M1136" s="302">
        <v>44.553777229964204</v>
      </c>
      <c r="N1136" s="302">
        <v>9.5833523986747213</v>
      </c>
      <c r="O1136" s="302">
        <f t="shared" si="485"/>
        <v>100.55088533544969</v>
      </c>
    </row>
    <row r="1137" spans="1:15" s="236" customFormat="1" x14ac:dyDescent="0.3">
      <c r="A1137" s="237" t="str">
        <f>name!E$10</f>
        <v>Sales and customer service occupations</v>
      </c>
      <c r="B1137" s="302">
        <v>1.1439794265616094</v>
      </c>
      <c r="C1137" s="302">
        <v>1.3759257513351753</v>
      </c>
      <c r="D1137" s="302">
        <v>0.20218772890972922</v>
      </c>
      <c r="E1137" s="302">
        <f t="shared" si="483"/>
        <v>2.7220929068065143</v>
      </c>
      <c r="F1137" s="303"/>
      <c r="G1137" s="302">
        <v>1.1938453563107254</v>
      </c>
      <c r="H1137" s="302">
        <v>1.4923131117509369</v>
      </c>
      <c r="I1137" s="302">
        <v>0.13268490625693344</v>
      </c>
      <c r="J1137" s="302">
        <f t="shared" si="486"/>
        <v>2.8188433743185954</v>
      </c>
      <c r="K1137" s="303"/>
      <c r="L1137" s="302">
        <v>1.4769887969823121</v>
      </c>
      <c r="M1137" s="302">
        <v>1.8912740508637125</v>
      </c>
      <c r="N1137" s="302">
        <v>0.23753692322046263</v>
      </c>
      <c r="O1137" s="302">
        <f t="shared" si="485"/>
        <v>3.6057997710664873</v>
      </c>
    </row>
    <row r="1138" spans="1:15" s="236" customFormat="1" x14ac:dyDescent="0.3">
      <c r="A1138" s="237" t="str">
        <f>name!E$11</f>
        <v>Process, plant and machine operatives</v>
      </c>
      <c r="B1138" s="302">
        <v>0.25379182371734349</v>
      </c>
      <c r="C1138" s="302">
        <v>0.43077083327384574</v>
      </c>
      <c r="D1138" s="302">
        <v>8.3098708853817441E-2</v>
      </c>
      <c r="E1138" s="302">
        <f t="shared" si="483"/>
        <v>0.76766136584500666</v>
      </c>
      <c r="F1138" s="303"/>
      <c r="G1138" s="302">
        <v>0.21820968020174533</v>
      </c>
      <c r="H1138" s="302">
        <v>0.33792280134538988</v>
      </c>
      <c r="I1138" s="302">
        <v>5.7398200328574941E-2</v>
      </c>
      <c r="J1138" s="302">
        <f t="shared" si="486"/>
        <v>0.61353068187571014</v>
      </c>
      <c r="K1138" s="303"/>
      <c r="L1138" s="302">
        <v>0.17211138772453571</v>
      </c>
      <c r="M1138" s="302">
        <v>0.36067172602303443</v>
      </c>
      <c r="N1138" s="302">
        <v>4.5681886240634739E-2</v>
      </c>
      <c r="O1138" s="302">
        <f t="shared" si="485"/>
        <v>0.57846499998820489</v>
      </c>
    </row>
    <row r="1139" spans="1:15" s="236" customFormat="1" x14ac:dyDescent="0.3">
      <c r="A1139" s="237" t="str">
        <f>name!E$12</f>
        <v>Elementary occupations</v>
      </c>
      <c r="B1139" s="302">
        <v>1.4823781067746056</v>
      </c>
      <c r="C1139" s="302">
        <v>4.2479481391616369</v>
      </c>
      <c r="D1139" s="302">
        <v>0.11322913623533172</v>
      </c>
      <c r="E1139" s="302">
        <f t="shared" si="483"/>
        <v>5.8435553821715747</v>
      </c>
      <c r="F1139" s="303"/>
      <c r="G1139" s="302">
        <v>1.4396229323433187</v>
      </c>
      <c r="H1139" s="302">
        <v>3.535250921400281</v>
      </c>
      <c r="I1139" s="302">
        <v>6.4254956826402782E-2</v>
      </c>
      <c r="J1139" s="302">
        <f t="shared" si="486"/>
        <v>5.0391288105700029</v>
      </c>
      <c r="K1139" s="303"/>
      <c r="L1139" s="302">
        <v>0.88465292817223518</v>
      </c>
      <c r="M1139" s="302">
        <v>2.6585939803008314</v>
      </c>
      <c r="N1139" s="302">
        <v>2.7091662223651943E-2</v>
      </c>
      <c r="O1139" s="302">
        <f t="shared" si="485"/>
        <v>3.5703385706967183</v>
      </c>
    </row>
    <row r="1140" spans="1:15" s="236" customFormat="1" x14ac:dyDescent="0.3">
      <c r="A1140" s="237"/>
      <c r="B1140" s="302"/>
      <c r="C1140" s="302"/>
      <c r="D1140" s="302"/>
      <c r="E1140" s="302"/>
      <c r="F1140" s="303"/>
      <c r="G1140" s="302"/>
      <c r="H1140" s="302"/>
      <c r="I1140" s="302"/>
      <c r="J1140" s="302"/>
      <c r="K1140" s="303"/>
      <c r="L1140" s="302"/>
      <c r="M1140" s="302"/>
      <c r="N1140" s="302"/>
      <c r="O1140" s="302"/>
    </row>
    <row r="1141" spans="1:15" s="236" customFormat="1" x14ac:dyDescent="0.3">
      <c r="A1141" s="244" t="s">
        <v>32</v>
      </c>
      <c r="B1141" s="311">
        <f>SUM(B1131:B1139)</f>
        <v>88.488999999306856</v>
      </c>
      <c r="C1141" s="311">
        <f t="shared" ref="C1141:E1141" si="487">SUM(C1131:C1139)</f>
        <v>71.69999999889906</v>
      </c>
      <c r="D1141" s="311">
        <f t="shared" si="487"/>
        <v>16.248999999468886</v>
      </c>
      <c r="E1141" s="311">
        <f t="shared" si="487"/>
        <v>176.43799999767484</v>
      </c>
      <c r="F1141" s="311"/>
      <c r="G1141" s="311">
        <f t="shared" ref="G1141:J1141" si="488">SUM(G1131:G1139)</f>
        <v>104.262000000109</v>
      </c>
      <c r="H1141" s="311">
        <f t="shared" si="488"/>
        <v>86.154999998494048</v>
      </c>
      <c r="I1141" s="311">
        <f t="shared" si="488"/>
        <v>17.388000001263521</v>
      </c>
      <c r="J1141" s="311">
        <f t="shared" si="488"/>
        <v>207.8049999998666</v>
      </c>
      <c r="K1141" s="311"/>
      <c r="L1141" s="311">
        <f t="shared" ref="L1141:O1141" si="489">SUM(L1131:L1139)</f>
        <v>133.57099999936818</v>
      </c>
      <c r="M1141" s="311">
        <f t="shared" si="489"/>
        <v>103.34299999941065</v>
      </c>
      <c r="N1141" s="311">
        <f t="shared" si="489"/>
        <v>24.752000000182665</v>
      </c>
      <c r="O1141" s="311">
        <f t="shared" si="489"/>
        <v>261.66599999896152</v>
      </c>
    </row>
    <row r="1142" spans="1:15" s="236" customFormat="1" x14ac:dyDescent="0.3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37"/>
      <c r="M1142" s="237"/>
      <c r="N1142" s="240"/>
    </row>
    <row r="1143" spans="1:15" s="236" customFormat="1" x14ac:dyDescent="0.3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37"/>
      <c r="M1143" s="237"/>
      <c r="N1143" s="240"/>
      <c r="O1143" s="251" t="s">
        <v>35</v>
      </c>
    </row>
    <row r="1144" spans="1:15" s="236" customFormat="1" x14ac:dyDescent="0.3">
      <c r="A1144" s="242"/>
      <c r="B1144" s="242"/>
      <c r="C1144" s="242"/>
      <c r="D1144" s="242"/>
      <c r="E1144" s="242"/>
      <c r="F1144" s="242"/>
      <c r="G1144" s="242"/>
      <c r="H1144" s="242"/>
      <c r="I1144" s="242"/>
      <c r="J1144" s="242"/>
      <c r="K1144" s="242"/>
      <c r="L1144" s="242"/>
      <c r="M1144" s="242"/>
      <c r="N1144" s="242"/>
      <c r="O1144" s="242"/>
    </row>
    <row r="1145" spans="1:15" s="236" customFormat="1" x14ac:dyDescent="0.3">
      <c r="A1145" s="241" t="str">
        <f>name!A70</f>
        <v>Residential care</v>
      </c>
      <c r="B1145" s="375">
        <f>$B$6</f>
        <v>2015</v>
      </c>
      <c r="C1145" s="375"/>
      <c r="D1145" s="375"/>
      <c r="E1145" s="375"/>
      <c r="F1145" s="263"/>
      <c r="G1145" s="375">
        <f>$G$6</f>
        <v>2020</v>
      </c>
      <c r="H1145" s="375"/>
      <c r="I1145" s="375"/>
      <c r="J1145" s="375"/>
      <c r="K1145" s="263"/>
      <c r="L1145" s="375">
        <f>$L$6</f>
        <v>2035</v>
      </c>
      <c r="M1145" s="375"/>
      <c r="N1145" s="375"/>
      <c r="O1145" s="375"/>
    </row>
    <row r="1146" spans="1:15" s="236" customFormat="1" x14ac:dyDescent="0.3">
      <c r="A1146" s="254"/>
      <c r="B1146" s="268" t="str">
        <f>$B$7</f>
        <v>FT</v>
      </c>
      <c r="C1146" s="268" t="str">
        <f>$C$7</f>
        <v>PT</v>
      </c>
      <c r="D1146" s="268" t="str">
        <f>$D$7</f>
        <v>SE</v>
      </c>
      <c r="E1146" s="268" t="str">
        <f>$E$7</f>
        <v>Total</v>
      </c>
      <c r="F1146" s="268"/>
      <c r="G1146" s="268" t="str">
        <f>$G$7</f>
        <v>FT</v>
      </c>
      <c r="H1146" s="268" t="str">
        <f>$H$7</f>
        <v>PT</v>
      </c>
      <c r="I1146" s="268" t="str">
        <f>$I$7</f>
        <v>SE</v>
      </c>
      <c r="J1146" s="268" t="str">
        <f>$J$7</f>
        <v>Total</v>
      </c>
      <c r="K1146" s="268"/>
      <c r="L1146" s="268" t="str">
        <f>$L$7</f>
        <v>FT</v>
      </c>
      <c r="M1146" s="268" t="str">
        <f>$M$7</f>
        <v>PT</v>
      </c>
      <c r="N1146" s="268" t="str">
        <f>$N$7</f>
        <v>SE</v>
      </c>
      <c r="O1146" s="268" t="str">
        <f>$O$7</f>
        <v>Total</v>
      </c>
    </row>
    <row r="1147" spans="1:15" s="236" customFormat="1" x14ac:dyDescent="0.3">
      <c r="A1147" s="258"/>
      <c r="B1147" s="239"/>
      <c r="C1147" s="239"/>
      <c r="D1147" s="239"/>
      <c r="E1147" s="239"/>
      <c r="F1147" s="239"/>
      <c r="G1147" s="239"/>
      <c r="H1147" s="239"/>
      <c r="I1147" s="239"/>
      <c r="J1147" s="239"/>
      <c r="K1147" s="239"/>
      <c r="L1147" s="239"/>
      <c r="M1147" s="239"/>
      <c r="N1147" s="239"/>
      <c r="O1147" s="239"/>
    </row>
    <row r="1148" spans="1:15" s="236" customFormat="1" x14ac:dyDescent="0.3">
      <c r="A1148" s="237" t="str">
        <f>name!E$4</f>
        <v>Managers, directors and senior officials</v>
      </c>
      <c r="B1148" s="302">
        <v>2.3035315974832935</v>
      </c>
      <c r="C1148" s="302">
        <v>0.81351607090501277</v>
      </c>
      <c r="D1148" s="302">
        <v>0.39906967752149081</v>
      </c>
      <c r="E1148" s="302">
        <f>SUM(B1148:D1148)</f>
        <v>3.5161173459097972</v>
      </c>
      <c r="F1148" s="303"/>
      <c r="G1148" s="302">
        <v>2.3535064175862468</v>
      </c>
      <c r="H1148" s="302">
        <v>1.0299992829368703</v>
      </c>
      <c r="I1148" s="302">
        <v>0.37436839988557702</v>
      </c>
      <c r="J1148" s="302">
        <f>SUM(G1148:I1148)</f>
        <v>3.7578741004086944</v>
      </c>
      <c r="K1148" s="303"/>
      <c r="L1148" s="302">
        <v>3.1186140845776502</v>
      </c>
      <c r="M1148" s="302">
        <v>1.1501113497516309</v>
      </c>
      <c r="N1148" s="302">
        <v>0.50107797328988424</v>
      </c>
      <c r="O1148" s="302">
        <f>SUM(L1148:N1148)</f>
        <v>4.7698034076191647</v>
      </c>
    </row>
    <row r="1149" spans="1:15" s="236" customFormat="1" x14ac:dyDescent="0.3">
      <c r="A1149" s="237" t="str">
        <f>name!E$5</f>
        <v>Professional occupations</v>
      </c>
      <c r="B1149" s="302">
        <v>11.540050721838071</v>
      </c>
      <c r="C1149" s="302">
        <v>6.0146470582158402</v>
      </c>
      <c r="D1149" s="302">
        <v>2.1365796567024309</v>
      </c>
      <c r="E1149" s="302">
        <f t="shared" ref="E1149:E1156" si="490">SUM(B1149:D1149)</f>
        <v>19.691277436756341</v>
      </c>
      <c r="F1149" s="303"/>
      <c r="G1149" s="302">
        <v>12.492213186050366</v>
      </c>
      <c r="H1149" s="302">
        <v>7.2374922882344253</v>
      </c>
      <c r="I1149" s="302">
        <v>2.4371709828692669</v>
      </c>
      <c r="J1149" s="302">
        <f t="shared" ref="J1149:J1151" si="491">SUM(G1149:I1149)</f>
        <v>22.166876457154061</v>
      </c>
      <c r="K1149" s="303"/>
      <c r="L1149" s="302">
        <v>16.736019139328118</v>
      </c>
      <c r="M1149" s="302">
        <v>7.9611363825280366</v>
      </c>
      <c r="N1149" s="302">
        <v>2.9740037149327399</v>
      </c>
      <c r="O1149" s="302">
        <f t="shared" ref="O1149:O1156" si="492">SUM(L1149:N1149)</f>
        <v>27.671159236788892</v>
      </c>
    </row>
    <row r="1150" spans="1:15" s="236" customFormat="1" x14ac:dyDescent="0.3">
      <c r="A1150" s="237" t="str">
        <f>name!E$6</f>
        <v>Associate professional occupations</v>
      </c>
      <c r="B1150" s="302">
        <v>4.6728300061837684</v>
      </c>
      <c r="C1150" s="302">
        <v>3.5035577876681105</v>
      </c>
      <c r="D1150" s="302">
        <v>1.0726452748838695</v>
      </c>
      <c r="E1150" s="302">
        <f t="shared" si="490"/>
        <v>9.2490330687357485</v>
      </c>
      <c r="F1150" s="303"/>
      <c r="G1150" s="302">
        <v>4.9595230955935525</v>
      </c>
      <c r="H1150" s="302">
        <v>4.0738024006607674</v>
      </c>
      <c r="I1150" s="302">
        <v>1.0629251906207526</v>
      </c>
      <c r="J1150" s="302">
        <f t="shared" si="491"/>
        <v>10.096250686875074</v>
      </c>
      <c r="K1150" s="303"/>
      <c r="L1150" s="302">
        <v>6.012918070419321</v>
      </c>
      <c r="M1150" s="302">
        <v>4.018032854955079</v>
      </c>
      <c r="N1150" s="302">
        <v>1.36360503667426</v>
      </c>
      <c r="O1150" s="302">
        <f t="shared" si="492"/>
        <v>11.39455596204866</v>
      </c>
    </row>
    <row r="1151" spans="1:15" s="236" customFormat="1" x14ac:dyDescent="0.3">
      <c r="A1151" s="237" t="str">
        <f>name!E$7</f>
        <v>Administrative and secretarial occupations</v>
      </c>
      <c r="B1151" s="302">
        <v>3.5545585841583995</v>
      </c>
      <c r="C1151" s="302">
        <v>5.3759382509332836</v>
      </c>
      <c r="D1151" s="302">
        <v>0.31100098872582693</v>
      </c>
      <c r="E1151" s="302">
        <f t="shared" si="490"/>
        <v>9.2414978238175092</v>
      </c>
      <c r="F1151" s="303"/>
      <c r="G1151" s="302">
        <v>3.1429697474923421</v>
      </c>
      <c r="H1151" s="302">
        <v>4.9355456730568932</v>
      </c>
      <c r="I1151" s="302">
        <v>0.22881300609572303</v>
      </c>
      <c r="J1151" s="302">
        <f t="shared" si="491"/>
        <v>8.3073284266449594</v>
      </c>
      <c r="K1151" s="303"/>
      <c r="L1151" s="302">
        <v>2.790983123460808</v>
      </c>
      <c r="M1151" s="302">
        <v>3.0473624665186345</v>
      </c>
      <c r="N1151" s="302">
        <v>0.12842835501809055</v>
      </c>
      <c r="O1151" s="302">
        <f t="shared" si="492"/>
        <v>5.9667739449975334</v>
      </c>
    </row>
    <row r="1152" spans="1:15" s="236" customFormat="1" x14ac:dyDescent="0.3">
      <c r="A1152" s="237" t="str">
        <f>name!E$8</f>
        <v>Skilled trades occupations</v>
      </c>
      <c r="B1152" s="302">
        <v>0.44636250011803463</v>
      </c>
      <c r="C1152" s="302">
        <v>0.55768740439011977</v>
      </c>
      <c r="D1152" s="302">
        <v>0.12553561662936061</v>
      </c>
      <c r="E1152" s="302">
        <f t="shared" si="490"/>
        <v>1.129585521137515</v>
      </c>
      <c r="F1152" s="303"/>
      <c r="G1152" s="302">
        <v>0.30976624710451151</v>
      </c>
      <c r="H1152" s="302">
        <v>0.36852758321835211</v>
      </c>
      <c r="I1152" s="302">
        <v>8.0181277596244271E-2</v>
      </c>
      <c r="J1152" s="302">
        <f>SUM(G1152:I1152)</f>
        <v>0.75847510791910788</v>
      </c>
      <c r="K1152" s="303"/>
      <c r="L1152" s="302">
        <v>0.22505996400683789</v>
      </c>
      <c r="M1152" s="302">
        <v>0.31273940305577902</v>
      </c>
      <c r="N1152" s="302">
        <v>0.12241526410271826</v>
      </c>
      <c r="O1152" s="302">
        <f t="shared" si="492"/>
        <v>0.66021463116533519</v>
      </c>
    </row>
    <row r="1153" spans="1:15" s="236" customFormat="1" x14ac:dyDescent="0.3">
      <c r="A1153" s="237" t="str">
        <f>name!E$9</f>
        <v>Caring, leisure and other service occupations</v>
      </c>
      <c r="B1153" s="302">
        <v>12.421764542730592</v>
      </c>
      <c r="C1153" s="302">
        <v>12.673064704390582</v>
      </c>
      <c r="D1153" s="302">
        <v>2.6772812512137469</v>
      </c>
      <c r="E1153" s="302">
        <f t="shared" si="490"/>
        <v>27.772110498334921</v>
      </c>
      <c r="F1153" s="303"/>
      <c r="G1153" s="302">
        <v>11.623203252085144</v>
      </c>
      <c r="H1153" s="302">
        <v>12.624085608090132</v>
      </c>
      <c r="I1153" s="302">
        <v>3.2618477505300665</v>
      </c>
      <c r="J1153" s="302">
        <f t="shared" ref="J1153:J1156" si="493">SUM(G1153:I1153)</f>
        <v>27.50913661070534</v>
      </c>
      <c r="K1153" s="303"/>
      <c r="L1153" s="302">
        <v>15.625738267811855</v>
      </c>
      <c r="M1153" s="302">
        <v>13.347651220805329</v>
      </c>
      <c r="N1153" s="302">
        <v>3.783487364723138</v>
      </c>
      <c r="O1153" s="302">
        <f t="shared" si="492"/>
        <v>32.756876853340323</v>
      </c>
    </row>
    <row r="1154" spans="1:15" s="236" customFormat="1" x14ac:dyDescent="0.3">
      <c r="A1154" s="237" t="str">
        <f>name!E$10</f>
        <v>Sales and customer service occupations</v>
      </c>
      <c r="B1154" s="302">
        <v>0.47064309310267916</v>
      </c>
      <c r="C1154" s="302">
        <v>0.61999789870424238</v>
      </c>
      <c r="D1154" s="302">
        <v>8.7109509476117647E-2</v>
      </c>
      <c r="E1154" s="302">
        <f t="shared" si="490"/>
        <v>1.1777505012830392</v>
      </c>
      <c r="F1154" s="303"/>
      <c r="G1154" s="302">
        <v>0.41689586156367386</v>
      </c>
      <c r="H1154" s="302">
        <v>0.55626880081229191</v>
      </c>
      <c r="I1154" s="302">
        <v>5.1913067441049121E-2</v>
      </c>
      <c r="J1154" s="302">
        <f t="shared" si="493"/>
        <v>1.0250777298170148</v>
      </c>
      <c r="K1154" s="303"/>
      <c r="L1154" s="302">
        <v>0.5167136631877336</v>
      </c>
      <c r="M1154" s="302">
        <v>0.56821145079017477</v>
      </c>
      <c r="N1154" s="302">
        <v>8.6602430999232718E-2</v>
      </c>
      <c r="O1154" s="302">
        <f t="shared" si="492"/>
        <v>1.1715275449771412</v>
      </c>
    </row>
    <row r="1155" spans="1:15" s="236" customFormat="1" x14ac:dyDescent="0.3">
      <c r="A1155" s="237" t="str">
        <f>name!E$11</f>
        <v>Process, plant and machine operatives</v>
      </c>
      <c r="B1155" s="302">
        <v>9.7153528183549165E-2</v>
      </c>
      <c r="C1155" s="302">
        <v>0.26825246741267972</v>
      </c>
      <c r="D1155" s="302">
        <v>1.7834411369246427E-2</v>
      </c>
      <c r="E1155" s="302">
        <f t="shared" si="490"/>
        <v>0.38324040696547529</v>
      </c>
      <c r="F1155" s="303"/>
      <c r="G1155" s="302">
        <v>6.7174393410147554E-2</v>
      </c>
      <c r="H1155" s="302">
        <v>0.16522094997379122</v>
      </c>
      <c r="I1155" s="302">
        <v>9.49789663268444E-3</v>
      </c>
      <c r="J1155" s="302">
        <f t="shared" si="493"/>
        <v>0.24189324001662321</v>
      </c>
      <c r="K1155" s="303"/>
      <c r="L1155" s="302">
        <v>4.9970064914671722E-2</v>
      </c>
      <c r="M1155" s="302">
        <v>0.13520212730772829</v>
      </c>
      <c r="N1155" s="302">
        <v>6.9204508254861246E-3</v>
      </c>
      <c r="O1155" s="302">
        <f t="shared" si="492"/>
        <v>0.19209264304788612</v>
      </c>
    </row>
    <row r="1156" spans="1:15" s="236" customFormat="1" x14ac:dyDescent="0.3">
      <c r="A1156" s="237" t="str">
        <f>name!E$12</f>
        <v>Elementary occupations</v>
      </c>
      <c r="B1156" s="302">
        <v>0.55710542591480772</v>
      </c>
      <c r="C1156" s="302">
        <v>2.204338356922579</v>
      </c>
      <c r="D1156" s="302">
        <v>4.4943613063037957E-2</v>
      </c>
      <c r="E1156" s="302">
        <f t="shared" si="490"/>
        <v>2.8063873959004249</v>
      </c>
      <c r="F1156" s="303"/>
      <c r="G1156" s="302">
        <v>0.42874779918756506</v>
      </c>
      <c r="H1156" s="302">
        <v>1.4440574124904662</v>
      </c>
      <c r="I1156" s="302">
        <v>2.2282428955186059E-2</v>
      </c>
      <c r="J1156" s="302">
        <f t="shared" si="493"/>
        <v>1.8950876406332171</v>
      </c>
      <c r="K1156" s="303"/>
      <c r="L1156" s="302">
        <v>0.22698362212720993</v>
      </c>
      <c r="M1156" s="302">
        <v>0.89655274412335229</v>
      </c>
      <c r="N1156" s="302">
        <v>4.4594094605104398E-3</v>
      </c>
      <c r="O1156" s="302">
        <f t="shared" si="492"/>
        <v>1.1279957757110726</v>
      </c>
    </row>
    <row r="1157" spans="1:15" s="236" customFormat="1" x14ac:dyDescent="0.3">
      <c r="A1157" s="237"/>
      <c r="B1157" s="302"/>
      <c r="C1157" s="302"/>
      <c r="D1157" s="302"/>
      <c r="E1157" s="302"/>
      <c r="F1157" s="303"/>
      <c r="G1157" s="302"/>
      <c r="H1157" s="302"/>
      <c r="I1157" s="302"/>
      <c r="J1157" s="302"/>
      <c r="K1157" s="303"/>
      <c r="L1157" s="302"/>
      <c r="M1157" s="302"/>
      <c r="N1157" s="302"/>
      <c r="O1157" s="302"/>
    </row>
    <row r="1158" spans="1:15" s="236" customFormat="1" x14ac:dyDescent="0.3">
      <c r="A1158" s="244" t="s">
        <v>32</v>
      </c>
      <c r="B1158" s="311">
        <f>SUM(B1148:B1156)</f>
        <v>36.063999999713189</v>
      </c>
      <c r="C1158" s="311">
        <f t="shared" ref="C1158:E1158" si="494">SUM(C1148:C1156)</f>
        <v>32.030999999542445</v>
      </c>
      <c r="D1158" s="311">
        <f t="shared" si="494"/>
        <v>6.8719999995851273</v>
      </c>
      <c r="E1158" s="311">
        <f t="shared" si="494"/>
        <v>74.966999998840777</v>
      </c>
      <c r="F1158" s="311"/>
      <c r="G1158" s="311">
        <f t="shared" ref="G1158:J1158" si="495">SUM(G1148:G1156)</f>
        <v>35.794000000073545</v>
      </c>
      <c r="H1158" s="311">
        <f t="shared" si="495"/>
        <v>32.434999999473987</v>
      </c>
      <c r="I1158" s="311">
        <f t="shared" si="495"/>
        <v>7.5290000006265485</v>
      </c>
      <c r="J1158" s="311">
        <f t="shared" si="495"/>
        <v>75.758000000174093</v>
      </c>
      <c r="K1158" s="311"/>
      <c r="L1158" s="311">
        <f t="shared" ref="L1158:O1158" si="496">SUM(L1148:L1156)</f>
        <v>45.302999999834206</v>
      </c>
      <c r="M1158" s="311">
        <f t="shared" si="496"/>
        <v>31.436999999835745</v>
      </c>
      <c r="N1158" s="311">
        <f t="shared" si="496"/>
        <v>8.971000000026061</v>
      </c>
      <c r="O1158" s="311">
        <f t="shared" si="496"/>
        <v>85.710999999696</v>
      </c>
    </row>
    <row r="1159" spans="1:15" s="236" customFormat="1" x14ac:dyDescent="0.3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37"/>
      <c r="M1159" s="237"/>
      <c r="N1159" s="240"/>
    </row>
    <row r="1160" spans="1:15" s="236" customFormat="1" x14ac:dyDescent="0.3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37"/>
      <c r="M1160" s="237"/>
      <c r="N1160" s="240"/>
      <c r="O1160" s="251" t="s">
        <v>35</v>
      </c>
    </row>
    <row r="1161" spans="1:15" s="236" customFormat="1" x14ac:dyDescent="0.3">
      <c r="A1161" s="242"/>
      <c r="B1161" s="242"/>
      <c r="C1161" s="242"/>
      <c r="D1161" s="242"/>
      <c r="E1161" s="242"/>
      <c r="F1161" s="242"/>
      <c r="G1161" s="242"/>
      <c r="H1161" s="242"/>
      <c r="I1161" s="242"/>
      <c r="J1161" s="242"/>
      <c r="K1161" s="242"/>
      <c r="L1161" s="242"/>
      <c r="M1161" s="242"/>
      <c r="N1161" s="242"/>
      <c r="O1161" s="242"/>
    </row>
    <row r="1162" spans="1:15" s="236" customFormat="1" x14ac:dyDescent="0.3">
      <c r="A1162" s="241" t="str">
        <f>name!A71</f>
        <v>Social work</v>
      </c>
      <c r="B1162" s="375">
        <f>$B$6</f>
        <v>2015</v>
      </c>
      <c r="C1162" s="375"/>
      <c r="D1162" s="375"/>
      <c r="E1162" s="375"/>
      <c r="F1162" s="263"/>
      <c r="G1162" s="375">
        <f>$G$6</f>
        <v>2020</v>
      </c>
      <c r="H1162" s="375"/>
      <c r="I1162" s="375"/>
      <c r="J1162" s="375"/>
      <c r="K1162" s="263"/>
      <c r="L1162" s="375">
        <f>$L$6</f>
        <v>2035</v>
      </c>
      <c r="M1162" s="375"/>
      <c r="N1162" s="375"/>
      <c r="O1162" s="375"/>
    </row>
    <row r="1163" spans="1:15" s="236" customFormat="1" x14ac:dyDescent="0.3">
      <c r="A1163" s="254"/>
      <c r="B1163" s="268" t="str">
        <f>$B$7</f>
        <v>FT</v>
      </c>
      <c r="C1163" s="268" t="str">
        <f>$C$7</f>
        <v>PT</v>
      </c>
      <c r="D1163" s="268" t="str">
        <f>$D$7</f>
        <v>SE</v>
      </c>
      <c r="E1163" s="268" t="str">
        <f>$E$7</f>
        <v>Total</v>
      </c>
      <c r="F1163" s="268"/>
      <c r="G1163" s="268" t="str">
        <f>$G$7</f>
        <v>FT</v>
      </c>
      <c r="H1163" s="268" t="str">
        <f>$H$7</f>
        <v>PT</v>
      </c>
      <c r="I1163" s="268" t="str">
        <f>$I$7</f>
        <v>SE</v>
      </c>
      <c r="J1163" s="268" t="str">
        <f>$J$7</f>
        <v>Total</v>
      </c>
      <c r="K1163" s="268"/>
      <c r="L1163" s="268" t="str">
        <f>$L$7</f>
        <v>FT</v>
      </c>
      <c r="M1163" s="268" t="str">
        <f>$M$7</f>
        <v>PT</v>
      </c>
      <c r="N1163" s="268" t="str">
        <f>$N$7</f>
        <v>SE</v>
      </c>
      <c r="O1163" s="268" t="str">
        <f>$O$7</f>
        <v>Total</v>
      </c>
    </row>
    <row r="1164" spans="1:15" s="236" customFormat="1" x14ac:dyDescent="0.3">
      <c r="A1164" s="258"/>
      <c r="B1164" s="239"/>
      <c r="C1164" s="239"/>
      <c r="D1164" s="239"/>
      <c r="E1164" s="239"/>
      <c r="F1164" s="239"/>
      <c r="G1164" s="239"/>
      <c r="H1164" s="239"/>
      <c r="I1164" s="239"/>
      <c r="J1164" s="239"/>
      <c r="K1164" s="239"/>
      <c r="L1164" s="239"/>
      <c r="M1164" s="239"/>
      <c r="N1164" s="239"/>
      <c r="O1164" s="239"/>
    </row>
    <row r="1165" spans="1:15" s="236" customFormat="1" x14ac:dyDescent="0.3">
      <c r="A1165" s="237" t="str">
        <f>name!E$4</f>
        <v>Managers, directors and senior officials</v>
      </c>
      <c r="B1165" s="302">
        <v>2.401284077883854</v>
      </c>
      <c r="C1165" s="302">
        <v>1.0952069389250105</v>
      </c>
      <c r="D1165" s="302">
        <v>0.49173066073842409</v>
      </c>
      <c r="E1165" s="302">
        <f>SUM(B1165:D1165)</f>
        <v>3.9882216775472883</v>
      </c>
      <c r="F1165" s="303"/>
      <c r="G1165" s="302">
        <v>1.9980996656150551</v>
      </c>
      <c r="H1165" s="302">
        <v>1.4149180022574108</v>
      </c>
      <c r="I1165" s="302">
        <v>0.40086990760678121</v>
      </c>
      <c r="J1165" s="302">
        <f>SUM(G1165:I1165)</f>
        <v>3.8138875754792467</v>
      </c>
      <c r="K1165" s="303"/>
      <c r="L1165" s="302">
        <v>2.625182558523266</v>
      </c>
      <c r="M1165" s="302">
        <v>1.5831722742628869</v>
      </c>
      <c r="N1165" s="302">
        <v>0.53119147979566383</v>
      </c>
      <c r="O1165" s="302">
        <f>SUM(L1165:N1165)</f>
        <v>4.7395463125818171</v>
      </c>
    </row>
    <row r="1166" spans="1:15" s="236" customFormat="1" x14ac:dyDescent="0.3">
      <c r="A1166" s="237" t="str">
        <f>name!E$5</f>
        <v>Professional occupations</v>
      </c>
      <c r="B1166" s="302">
        <v>11.880161244717092</v>
      </c>
      <c r="C1166" s="302">
        <v>8.4595956639935839</v>
      </c>
      <c r="D1166" s="302">
        <v>2.6236665747785239</v>
      </c>
      <c r="E1166" s="302">
        <f t="shared" ref="E1166:E1173" si="497">SUM(B1166:D1166)</f>
        <v>22.963423483489201</v>
      </c>
      <c r="F1166" s="303"/>
      <c r="G1166" s="302">
        <v>10.554712007979559</v>
      </c>
      <c r="H1166" s="302">
        <v>10.11588624360167</v>
      </c>
      <c r="I1166" s="302">
        <v>2.5469120798053564</v>
      </c>
      <c r="J1166" s="302">
        <f t="shared" ref="J1166:J1168" si="498">SUM(G1166:I1166)</f>
        <v>23.217510331386585</v>
      </c>
      <c r="K1166" s="303"/>
      <c r="L1166" s="302">
        <v>14.049275709898872</v>
      </c>
      <c r="M1166" s="302">
        <v>11.048650644125244</v>
      </c>
      <c r="N1166" s="302">
        <v>3.0982802169571428</v>
      </c>
      <c r="O1166" s="302">
        <f t="shared" ref="O1166:O1173" si="499">SUM(L1166:N1166)</f>
        <v>28.196206570981261</v>
      </c>
    </row>
    <row r="1167" spans="1:15" s="236" customFormat="1" x14ac:dyDescent="0.3">
      <c r="A1167" s="237" t="str">
        <f>name!E$6</f>
        <v>Associate professional occupations</v>
      </c>
      <c r="B1167" s="302">
        <v>4.8032627360239664</v>
      </c>
      <c r="C1167" s="302">
        <v>4.9159765810580378</v>
      </c>
      <c r="D1167" s="302">
        <v>1.2532062849555941</v>
      </c>
      <c r="E1167" s="302">
        <f t="shared" si="497"/>
        <v>10.972445602037597</v>
      </c>
      <c r="F1167" s="303"/>
      <c r="G1167" s="302">
        <v>4.1714007497735075</v>
      </c>
      <c r="H1167" s="302">
        <v>5.7146573390596149</v>
      </c>
      <c r="I1167" s="302">
        <v>1.0919415296537998</v>
      </c>
      <c r="J1167" s="302">
        <f t="shared" si="498"/>
        <v>10.977999618486923</v>
      </c>
      <c r="K1167" s="303"/>
      <c r="L1167" s="302">
        <v>5.0099305283996776</v>
      </c>
      <c r="M1167" s="302">
        <v>5.6377304631210903</v>
      </c>
      <c r="N1167" s="302">
        <v>1.4005973960393796</v>
      </c>
      <c r="O1167" s="302">
        <f t="shared" si="499"/>
        <v>12.048258387560148</v>
      </c>
    </row>
    <row r="1168" spans="1:15" s="236" customFormat="1" x14ac:dyDescent="0.3">
      <c r="A1168" s="237" t="str">
        <f>name!E$7</f>
        <v>Administrative and secretarial occupations</v>
      </c>
      <c r="B1168" s="302">
        <v>3.5962067824026445</v>
      </c>
      <c r="C1168" s="302">
        <v>7.6450621902646505</v>
      </c>
      <c r="D1168" s="302">
        <v>0.35991931679638639</v>
      </c>
      <c r="E1168" s="302">
        <f t="shared" si="497"/>
        <v>11.601188289463682</v>
      </c>
      <c r="F1168" s="303"/>
      <c r="G1168" s="302">
        <v>2.6128212488816289</v>
      </c>
      <c r="H1168" s="302">
        <v>6.9954760004180869</v>
      </c>
      <c r="I1168" s="302">
        <v>0.23546387456403628</v>
      </c>
      <c r="J1168" s="302">
        <f t="shared" si="498"/>
        <v>9.8437611238637519</v>
      </c>
      <c r="K1168" s="303"/>
      <c r="L1168" s="302">
        <v>2.3196427669472168</v>
      </c>
      <c r="M1168" s="302">
        <v>4.2720790938685438</v>
      </c>
      <c r="N1168" s="302">
        <v>0.13394091032917288</v>
      </c>
      <c r="O1168" s="302">
        <f t="shared" si="499"/>
        <v>6.7256627711449335</v>
      </c>
    </row>
    <row r="1169" spans="1:15" s="236" customFormat="1" x14ac:dyDescent="0.3">
      <c r="A1169" s="237" t="str">
        <f>name!E$8</f>
        <v>Skilled trades occupations</v>
      </c>
      <c r="B1169" s="302">
        <v>0.48717185394152573</v>
      </c>
      <c r="C1169" s="302">
        <v>0.73871767026004953</v>
      </c>
      <c r="D1169" s="302">
        <v>0.16732619171492749</v>
      </c>
      <c r="E1169" s="302">
        <f t="shared" si="497"/>
        <v>1.3932157159165028</v>
      </c>
      <c r="F1169" s="303"/>
      <c r="G1169" s="302">
        <v>0.27562402539648517</v>
      </c>
      <c r="H1169" s="302">
        <v>0.50296403312752802</v>
      </c>
      <c r="I1169" s="302">
        <v>9.0268066911393663E-2</v>
      </c>
      <c r="J1169" s="302">
        <f>SUM(G1169:I1169)</f>
        <v>0.86885612543540691</v>
      </c>
      <c r="K1169" s="303"/>
      <c r="L1169" s="302">
        <v>0.20052760917272119</v>
      </c>
      <c r="M1169" s="302">
        <v>0.42266562801040075</v>
      </c>
      <c r="N1169" s="302">
        <v>0.13477742784777899</v>
      </c>
      <c r="O1169" s="302">
        <f t="shared" si="499"/>
        <v>0.75797066503090094</v>
      </c>
    </row>
    <row r="1170" spans="1:15" s="236" customFormat="1" x14ac:dyDescent="0.3">
      <c r="A1170" s="237" t="str">
        <f>name!E$9</f>
        <v>Caring, leisure and other service occupations</v>
      </c>
      <c r="B1170" s="302">
        <v>12.706806996309702</v>
      </c>
      <c r="C1170" s="302">
        <v>18.039758765895868</v>
      </c>
      <c r="D1170" s="302">
        <v>3.0610974424855031</v>
      </c>
      <c r="E1170" s="302">
        <f t="shared" si="497"/>
        <v>33.807663204691075</v>
      </c>
      <c r="F1170" s="303"/>
      <c r="G1170" s="302">
        <v>9.7437184932243266</v>
      </c>
      <c r="H1170" s="302">
        <v>17.849992674816146</v>
      </c>
      <c r="I1170" s="302">
        <v>3.3304853659374443</v>
      </c>
      <c r="J1170" s="302">
        <f t="shared" ref="J1170:J1173" si="500">SUM(G1170:I1170)</f>
        <v>30.924196533977916</v>
      </c>
      <c r="K1170" s="303"/>
      <c r="L1170" s="302">
        <v>13.151543576237669</v>
      </c>
      <c r="M1170" s="302">
        <v>18.766328954292252</v>
      </c>
      <c r="N1170" s="302">
        <v>3.8670063315367975</v>
      </c>
      <c r="O1170" s="302">
        <f t="shared" si="499"/>
        <v>35.784878862066719</v>
      </c>
    </row>
    <row r="1171" spans="1:15" s="236" customFormat="1" x14ac:dyDescent="0.3">
      <c r="A1171" s="237" t="str">
        <f>name!E$10</f>
        <v>Sales and customer service occupations</v>
      </c>
      <c r="B1171" s="302">
        <v>0.48027087742454327</v>
      </c>
      <c r="C1171" s="302">
        <v>0.86793777462610544</v>
      </c>
      <c r="D1171" s="302">
        <v>0.10285244759832871</v>
      </c>
      <c r="E1171" s="302">
        <f t="shared" si="497"/>
        <v>1.4510610996489774</v>
      </c>
      <c r="F1171" s="303"/>
      <c r="G1171" s="302">
        <v>0.34852869705226169</v>
      </c>
      <c r="H1171" s="302">
        <v>0.78461947112329122</v>
      </c>
      <c r="I1171" s="302">
        <v>5.420628775435022E-2</v>
      </c>
      <c r="J1171" s="302">
        <f t="shared" si="500"/>
        <v>1.1873544559299032</v>
      </c>
      <c r="K1171" s="303"/>
      <c r="L1171" s="302">
        <v>0.42968126081001434</v>
      </c>
      <c r="M1171" s="302">
        <v>0.79786925035848544</v>
      </c>
      <c r="N1171" s="302">
        <v>8.9409784056819541E-2</v>
      </c>
      <c r="O1171" s="302">
        <f t="shared" si="499"/>
        <v>1.3169602952253194</v>
      </c>
    </row>
    <row r="1172" spans="1:15" s="236" customFormat="1" x14ac:dyDescent="0.3">
      <c r="A1172" s="237" t="str">
        <f>name!E$11</f>
        <v>Process, plant and machine operatives</v>
      </c>
      <c r="B1172" s="302">
        <v>0.10484862177334384</v>
      </c>
      <c r="C1172" s="302">
        <v>0.33123556137843424</v>
      </c>
      <c r="D1172" s="302">
        <v>2.4417097094368036E-2</v>
      </c>
      <c r="E1172" s="302">
        <f t="shared" si="497"/>
        <v>0.46050128024614612</v>
      </c>
      <c r="F1172" s="303"/>
      <c r="G1172" s="302">
        <v>5.9474910208978139E-2</v>
      </c>
      <c r="H1172" s="302">
        <v>0.20733407172761237</v>
      </c>
      <c r="I1172" s="302">
        <v>1.1284689602184634E-2</v>
      </c>
      <c r="J1172" s="302">
        <f t="shared" si="500"/>
        <v>0.27809367153877518</v>
      </c>
      <c r="K1172" s="303"/>
      <c r="L1172" s="302">
        <v>4.4193788099481567E-2</v>
      </c>
      <c r="M1172" s="302">
        <v>0.17299461246264411</v>
      </c>
      <c r="N1172" s="302">
        <v>8.460316914694125E-3</v>
      </c>
      <c r="O1172" s="302">
        <f t="shared" si="499"/>
        <v>0.2256487174768198</v>
      </c>
    </row>
    <row r="1173" spans="1:15" s="236" customFormat="1" x14ac:dyDescent="0.3">
      <c r="A1173" s="237" t="str">
        <f>name!E$12</f>
        <v>Elementary occupations</v>
      </c>
      <c r="B1173" s="302">
        <v>0.60998680923193349</v>
      </c>
      <c r="C1173" s="302">
        <v>2.9125088529347449</v>
      </c>
      <c r="D1173" s="302">
        <v>5.3783983382882643E-2</v>
      </c>
      <c r="E1173" s="302">
        <f t="shared" si="497"/>
        <v>3.5762796455495613</v>
      </c>
      <c r="F1173" s="303"/>
      <c r="G1173" s="302">
        <v>0.38562020191662011</v>
      </c>
      <c r="H1173" s="302">
        <v>1.9541521631035794</v>
      </c>
      <c r="I1173" s="302">
        <v>2.3568198804934722E-2</v>
      </c>
      <c r="J1173" s="302">
        <f t="shared" si="500"/>
        <v>2.3633405638251341</v>
      </c>
      <c r="K1173" s="303"/>
      <c r="L1173" s="302">
        <v>0.21002220175897202</v>
      </c>
      <c r="M1173" s="302">
        <v>1.1975090792597936</v>
      </c>
      <c r="N1173" s="302">
        <v>5.3361365549386315E-3</v>
      </c>
      <c r="O1173" s="302">
        <f t="shared" si="499"/>
        <v>1.4128674175737044</v>
      </c>
    </row>
    <row r="1174" spans="1:15" s="236" customFormat="1" x14ac:dyDescent="0.3">
      <c r="A1174" s="237"/>
      <c r="B1174" s="302"/>
      <c r="C1174" s="302"/>
      <c r="D1174" s="302"/>
      <c r="E1174" s="302"/>
      <c r="F1174" s="303"/>
      <c r="G1174" s="302"/>
      <c r="H1174" s="302"/>
      <c r="I1174" s="302"/>
      <c r="J1174" s="302"/>
      <c r="K1174" s="303"/>
      <c r="L1174" s="302"/>
      <c r="M1174" s="302"/>
      <c r="N1174" s="302"/>
      <c r="O1174" s="302"/>
    </row>
    <row r="1175" spans="1:15" s="236" customFormat="1" x14ac:dyDescent="0.3">
      <c r="A1175" s="244" t="s">
        <v>32</v>
      </c>
      <c r="B1175" s="311">
        <f>SUM(B1165:B1173)</f>
        <v>37.069999999708607</v>
      </c>
      <c r="C1175" s="311">
        <f t="shared" ref="C1175:E1175" si="501">SUM(C1165:C1173)</f>
        <v>45.005999999336481</v>
      </c>
      <c r="D1175" s="311">
        <f t="shared" si="501"/>
        <v>8.1379999995449364</v>
      </c>
      <c r="E1175" s="311">
        <f t="shared" si="501"/>
        <v>90.21399999859004</v>
      </c>
      <c r="F1175" s="311"/>
      <c r="G1175" s="311">
        <f t="shared" ref="G1175:J1175" si="502">SUM(G1165:G1173)</f>
        <v>30.150000000048422</v>
      </c>
      <c r="H1175" s="311">
        <f t="shared" si="502"/>
        <v>45.539999999234944</v>
      </c>
      <c r="I1175" s="311">
        <f t="shared" si="502"/>
        <v>7.7850000006402809</v>
      </c>
      <c r="J1175" s="311">
        <f t="shared" si="502"/>
        <v>83.474999999923639</v>
      </c>
      <c r="K1175" s="311"/>
      <c r="L1175" s="311">
        <f t="shared" ref="L1175:O1175" si="503">SUM(L1165:L1173)</f>
        <v>38.039999999847893</v>
      </c>
      <c r="M1175" s="311">
        <f t="shared" si="503"/>
        <v>43.898999999761351</v>
      </c>
      <c r="N1175" s="311">
        <f t="shared" si="503"/>
        <v>9.2690000000323884</v>
      </c>
      <c r="O1175" s="311">
        <f t="shared" si="503"/>
        <v>91.207999999641615</v>
      </c>
    </row>
    <row r="1176" spans="1:15" s="236" customFormat="1" x14ac:dyDescent="0.3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37"/>
      <c r="M1176" s="237"/>
      <c r="N1176" s="240"/>
    </row>
    <row r="1177" spans="1:15" s="236" customFormat="1" x14ac:dyDescent="0.3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37"/>
      <c r="M1177" s="237"/>
      <c r="N1177" s="240"/>
      <c r="O1177" s="251" t="s">
        <v>35</v>
      </c>
    </row>
    <row r="1178" spans="1:15" s="236" customFormat="1" x14ac:dyDescent="0.3">
      <c r="A1178" s="242"/>
      <c r="B1178" s="242"/>
      <c r="C1178" s="242"/>
      <c r="D1178" s="242"/>
      <c r="E1178" s="242"/>
      <c r="F1178" s="242"/>
      <c r="G1178" s="242"/>
      <c r="H1178" s="242"/>
      <c r="I1178" s="242"/>
      <c r="J1178" s="242"/>
      <c r="K1178" s="242"/>
      <c r="L1178" s="242"/>
      <c r="M1178" s="242"/>
      <c r="N1178" s="242"/>
      <c r="O1178" s="242"/>
    </row>
    <row r="1179" spans="1:15" s="236" customFormat="1" x14ac:dyDescent="0.3">
      <c r="A1179" s="241" t="str">
        <f>name!A72</f>
        <v>Arts and entertainment</v>
      </c>
      <c r="B1179" s="375">
        <f>$B$6</f>
        <v>2015</v>
      </c>
      <c r="C1179" s="375"/>
      <c r="D1179" s="375"/>
      <c r="E1179" s="375"/>
      <c r="F1179" s="263"/>
      <c r="G1179" s="375">
        <f>$G$6</f>
        <v>2020</v>
      </c>
      <c r="H1179" s="375"/>
      <c r="I1179" s="375"/>
      <c r="J1179" s="375"/>
      <c r="K1179" s="263"/>
      <c r="L1179" s="375">
        <f>$L$6</f>
        <v>2035</v>
      </c>
      <c r="M1179" s="375"/>
      <c r="N1179" s="375"/>
      <c r="O1179" s="375"/>
    </row>
    <row r="1180" spans="1:15" s="236" customFormat="1" x14ac:dyDescent="0.3">
      <c r="A1180" s="254"/>
      <c r="B1180" s="268" t="str">
        <f>$B$7</f>
        <v>FT</v>
      </c>
      <c r="C1180" s="268" t="str">
        <f>$C$7</f>
        <v>PT</v>
      </c>
      <c r="D1180" s="268" t="str">
        <f>$D$7</f>
        <v>SE</v>
      </c>
      <c r="E1180" s="268" t="str">
        <f>$E$7</f>
        <v>Total</v>
      </c>
      <c r="F1180" s="268"/>
      <c r="G1180" s="268" t="str">
        <f>$G$7</f>
        <v>FT</v>
      </c>
      <c r="H1180" s="268" t="str">
        <f>$H$7</f>
        <v>PT</v>
      </c>
      <c r="I1180" s="268" t="str">
        <f>$I$7</f>
        <v>SE</v>
      </c>
      <c r="J1180" s="268" t="str">
        <f>$J$7</f>
        <v>Total</v>
      </c>
      <c r="K1180" s="268"/>
      <c r="L1180" s="268" t="str">
        <f>$L$7</f>
        <v>FT</v>
      </c>
      <c r="M1180" s="268" t="str">
        <f>$M$7</f>
        <v>PT</v>
      </c>
      <c r="N1180" s="268" t="str">
        <f>$N$7</f>
        <v>SE</v>
      </c>
      <c r="O1180" s="268" t="str">
        <f>$O$7</f>
        <v>Total</v>
      </c>
    </row>
    <row r="1181" spans="1:15" s="236" customFormat="1" x14ac:dyDescent="0.3">
      <c r="A1181" s="258"/>
      <c r="B1181" s="239"/>
      <c r="C1181" s="239"/>
      <c r="D1181" s="239"/>
      <c r="E1181" s="239"/>
      <c r="F1181" s="239"/>
      <c r="G1181" s="239"/>
      <c r="H1181" s="239"/>
      <c r="I1181" s="239"/>
      <c r="J1181" s="239"/>
      <c r="K1181" s="239"/>
      <c r="L1181" s="239"/>
      <c r="M1181" s="239"/>
      <c r="N1181" s="239"/>
      <c r="O1181" s="239"/>
    </row>
    <row r="1182" spans="1:15" s="236" customFormat="1" x14ac:dyDescent="0.3">
      <c r="A1182" s="237" t="str">
        <f>name!E$4</f>
        <v>Managers, directors and senior officials</v>
      </c>
      <c r="B1182" s="302">
        <v>0.22248023372434683</v>
      </c>
      <c r="C1182" s="302">
        <v>0.20112113580799962</v>
      </c>
      <c r="D1182" s="302">
        <v>0.12325765829302196</v>
      </c>
      <c r="E1182" s="302">
        <f>SUM(B1182:D1182)</f>
        <v>0.54685902782536844</v>
      </c>
      <c r="F1182" s="303"/>
      <c r="G1182" s="302">
        <v>1.4474077183249587</v>
      </c>
      <c r="H1182" s="302">
        <v>0.48336123917828328</v>
      </c>
      <c r="I1182" s="302">
        <v>0.45132101260218627</v>
      </c>
      <c r="J1182" s="302">
        <f>SUM(G1182:I1182)</f>
        <v>2.3820899701054286</v>
      </c>
      <c r="K1182" s="303"/>
      <c r="L1182" s="302">
        <v>1.4187815166761397</v>
      </c>
      <c r="M1182" s="302">
        <v>0.65875201689837715</v>
      </c>
      <c r="N1182" s="302">
        <v>0.27430120175435829</v>
      </c>
      <c r="O1182" s="302">
        <f>SUM(L1182:N1182)</f>
        <v>2.3518347353288753</v>
      </c>
    </row>
    <row r="1183" spans="1:15" s="236" customFormat="1" x14ac:dyDescent="0.3">
      <c r="A1183" s="237" t="str">
        <f>name!E$5</f>
        <v>Professional occupations</v>
      </c>
      <c r="B1183" s="302">
        <v>0.16320049678601606</v>
      </c>
      <c r="C1183" s="302">
        <v>0.12129572689577763</v>
      </c>
      <c r="D1183" s="302">
        <v>0.51032799577890087</v>
      </c>
      <c r="E1183" s="302">
        <f t="shared" ref="E1183:E1190" si="504">SUM(B1183:D1183)</f>
        <v>0.79482421946069448</v>
      </c>
      <c r="F1183" s="303"/>
      <c r="G1183" s="302">
        <v>1.1095432883369827</v>
      </c>
      <c r="H1183" s="302">
        <v>0.38622646081292489</v>
      </c>
      <c r="I1183" s="302">
        <v>2.1493044775854782</v>
      </c>
      <c r="J1183" s="302">
        <f t="shared" ref="J1183:J1185" si="505">SUM(G1183:I1183)</f>
        <v>3.6450742267353857</v>
      </c>
      <c r="K1183" s="303"/>
      <c r="L1183" s="302">
        <v>0.92634526731182465</v>
      </c>
      <c r="M1183" s="302">
        <v>0.4259621536858576</v>
      </c>
      <c r="N1183" s="302">
        <v>1.5775269615500334</v>
      </c>
      <c r="O1183" s="302">
        <f t="shared" ref="O1183:O1190" si="506">SUM(L1183:N1183)</f>
        <v>2.9298343825477158</v>
      </c>
    </row>
    <row r="1184" spans="1:15" s="236" customFormat="1" x14ac:dyDescent="0.3">
      <c r="A1184" s="237" t="str">
        <f>name!E$6</f>
        <v>Associate professional occupations</v>
      </c>
      <c r="B1184" s="302">
        <v>0.21718168927468917</v>
      </c>
      <c r="C1184" s="302">
        <v>0.19765936166957951</v>
      </c>
      <c r="D1184" s="302">
        <v>1.5044192052268393</v>
      </c>
      <c r="E1184" s="302">
        <f t="shared" si="504"/>
        <v>1.9192602561711078</v>
      </c>
      <c r="F1184" s="303"/>
      <c r="G1184" s="302">
        <v>1.1535601883202624</v>
      </c>
      <c r="H1184" s="302">
        <v>0.52591510286332421</v>
      </c>
      <c r="I1184" s="302">
        <v>7.3422831932479911</v>
      </c>
      <c r="J1184" s="302">
        <f t="shared" si="505"/>
        <v>9.0217584844315777</v>
      </c>
      <c r="K1184" s="303"/>
      <c r="L1184" s="302">
        <v>0.93167583344530225</v>
      </c>
      <c r="M1184" s="302">
        <v>0.37083337747701062</v>
      </c>
      <c r="N1184" s="302">
        <v>6.2083276873278175</v>
      </c>
      <c r="O1184" s="302">
        <f t="shared" si="506"/>
        <v>7.5108368982501306</v>
      </c>
    </row>
    <row r="1185" spans="1:15" s="236" customFormat="1" x14ac:dyDescent="0.3">
      <c r="A1185" s="237" t="str">
        <f>name!E$7</f>
        <v>Administrative and secretarial occupations</v>
      </c>
      <c r="B1185" s="302">
        <v>5.3651997652918858E-2</v>
      </c>
      <c r="C1185" s="302">
        <v>0.26785655577866579</v>
      </c>
      <c r="D1185" s="302">
        <v>3.8797201057817601E-2</v>
      </c>
      <c r="E1185" s="302">
        <f t="shared" si="504"/>
        <v>0.36030575448940222</v>
      </c>
      <c r="F1185" s="303"/>
      <c r="G1185" s="302">
        <v>0.36456020117973964</v>
      </c>
      <c r="H1185" s="302">
        <v>0.47118157768716062</v>
      </c>
      <c r="I1185" s="302">
        <v>0.21259842682022215</v>
      </c>
      <c r="J1185" s="302">
        <f t="shared" si="505"/>
        <v>1.0483402056871225</v>
      </c>
      <c r="K1185" s="303"/>
      <c r="L1185" s="302">
        <v>0.17122778175008607</v>
      </c>
      <c r="M1185" s="302">
        <v>0.24499488812900252</v>
      </c>
      <c r="N1185" s="302">
        <v>0.11235508446752011</v>
      </c>
      <c r="O1185" s="302">
        <f t="shared" si="506"/>
        <v>0.5285777543466087</v>
      </c>
    </row>
    <row r="1186" spans="1:15" s="236" customFormat="1" x14ac:dyDescent="0.3">
      <c r="A1186" s="237" t="str">
        <f>name!E$8</f>
        <v>Skilled trades occupations</v>
      </c>
      <c r="B1186" s="302">
        <v>0.13869572392453303</v>
      </c>
      <c r="C1186" s="302">
        <v>9.5010556797966245E-2</v>
      </c>
      <c r="D1186" s="302">
        <v>0.20240468306701812</v>
      </c>
      <c r="E1186" s="302">
        <f t="shared" si="504"/>
        <v>0.43611096378951741</v>
      </c>
      <c r="F1186" s="303"/>
      <c r="G1186" s="302">
        <v>0.61061953568290506</v>
      </c>
      <c r="H1186" s="302">
        <v>0.19413439701081495</v>
      </c>
      <c r="I1186" s="302">
        <v>0.98548021149981724</v>
      </c>
      <c r="J1186" s="302">
        <f>SUM(G1186:I1186)</f>
        <v>1.7902341441935372</v>
      </c>
      <c r="K1186" s="303"/>
      <c r="L1186" s="302">
        <v>0.46885719763439671</v>
      </c>
      <c r="M1186" s="302">
        <v>0.27505966342251781</v>
      </c>
      <c r="N1186" s="302">
        <v>1.0248048062826856</v>
      </c>
      <c r="O1186" s="302">
        <f t="shared" si="506"/>
        <v>1.7687216673396</v>
      </c>
    </row>
    <row r="1187" spans="1:15" s="236" customFormat="1" x14ac:dyDescent="0.3">
      <c r="A1187" s="237" t="str">
        <f>name!E$9</f>
        <v>Caring, leisure and other service occupations</v>
      </c>
      <c r="B1187" s="302">
        <v>5.7645419699790021E-2</v>
      </c>
      <c r="C1187" s="302">
        <v>0.19805915765549409</v>
      </c>
      <c r="D1187" s="302">
        <v>3.7113618415564598E-2</v>
      </c>
      <c r="E1187" s="302">
        <f t="shared" si="504"/>
        <v>0.29281819577084872</v>
      </c>
      <c r="F1187" s="303"/>
      <c r="G1187" s="302">
        <v>0.30307910924963255</v>
      </c>
      <c r="H1187" s="302">
        <v>0.37116678274253895</v>
      </c>
      <c r="I1187" s="302">
        <v>0.26739000567318111</v>
      </c>
      <c r="J1187" s="302">
        <f t="shared" ref="J1187:J1190" si="507">SUM(G1187:I1187)</f>
        <v>0.94163589766535249</v>
      </c>
      <c r="K1187" s="303"/>
      <c r="L1187" s="302">
        <v>0.21804494202877042</v>
      </c>
      <c r="M1187" s="302">
        <v>0.33226825007413496</v>
      </c>
      <c r="N1187" s="302">
        <v>0.24014658143241929</v>
      </c>
      <c r="O1187" s="302">
        <f t="shared" si="506"/>
        <v>0.79045977353532471</v>
      </c>
    </row>
    <row r="1188" spans="1:15" s="236" customFormat="1" x14ac:dyDescent="0.3">
      <c r="A1188" s="237" t="str">
        <f>name!E$10</f>
        <v>Sales and customer service occupations</v>
      </c>
      <c r="B1188" s="302">
        <v>4.5408429547180232E-2</v>
      </c>
      <c r="C1188" s="302">
        <v>0.13965153218726253</v>
      </c>
      <c r="D1188" s="302">
        <v>2.5089560143239768E-2</v>
      </c>
      <c r="E1188" s="302">
        <f t="shared" si="504"/>
        <v>0.21014952187768254</v>
      </c>
      <c r="F1188" s="303"/>
      <c r="G1188" s="302">
        <v>0.284350466098026</v>
      </c>
      <c r="H1188" s="302">
        <v>0.27274995884899478</v>
      </c>
      <c r="I1188" s="302">
        <v>7.3093520758783503E-2</v>
      </c>
      <c r="J1188" s="302">
        <f t="shared" si="507"/>
        <v>0.63019394570580434</v>
      </c>
      <c r="K1188" s="303"/>
      <c r="L1188" s="302">
        <v>0.21855382796219497</v>
      </c>
      <c r="M1188" s="302">
        <v>0.23871544003254899</v>
      </c>
      <c r="N1188" s="302">
        <v>4.0035878423185463E-2</v>
      </c>
      <c r="O1188" s="302">
        <f t="shared" si="506"/>
        <v>0.49730514641792944</v>
      </c>
    </row>
    <row r="1189" spans="1:15" s="236" customFormat="1" x14ac:dyDescent="0.3">
      <c r="A1189" s="237" t="str">
        <f>name!E$11</f>
        <v>Process, plant and machine operatives</v>
      </c>
      <c r="B1189" s="302">
        <v>1.1276945786039331E-2</v>
      </c>
      <c r="C1189" s="302">
        <v>1.5534652161255469E-2</v>
      </c>
      <c r="D1189" s="302">
        <v>1.1115651003821118E-2</v>
      </c>
      <c r="E1189" s="302">
        <f t="shared" si="504"/>
        <v>3.7927248951115919E-2</v>
      </c>
      <c r="F1189" s="303"/>
      <c r="G1189" s="302">
        <v>3.7761052304460897E-2</v>
      </c>
      <c r="H1189" s="302">
        <v>3.9732882147718265E-2</v>
      </c>
      <c r="I1189" s="302">
        <v>6.1456617760164728E-2</v>
      </c>
      <c r="J1189" s="302">
        <f t="shared" si="507"/>
        <v>0.1389505522123439</v>
      </c>
      <c r="K1189" s="303"/>
      <c r="L1189" s="302">
        <v>2.2933934040861161E-2</v>
      </c>
      <c r="M1189" s="302">
        <v>4.0860970786500618E-2</v>
      </c>
      <c r="N1189" s="302">
        <v>6.9762838920923498E-2</v>
      </c>
      <c r="O1189" s="302">
        <f t="shared" si="506"/>
        <v>0.13355774374828527</v>
      </c>
    </row>
    <row r="1190" spans="1:15" s="236" customFormat="1" x14ac:dyDescent="0.3">
      <c r="A1190" s="237" t="str">
        <f>name!E$12</f>
        <v>Elementary occupations</v>
      </c>
      <c r="B1190" s="302">
        <v>3.7459063599329455E-2</v>
      </c>
      <c r="C1190" s="302">
        <v>0.35981132105740082</v>
      </c>
      <c r="D1190" s="302">
        <v>2.847442706649558E-2</v>
      </c>
      <c r="E1190" s="302">
        <f t="shared" si="504"/>
        <v>0.42574481172322581</v>
      </c>
      <c r="F1190" s="303"/>
      <c r="G1190" s="302">
        <v>0.14311844050523911</v>
      </c>
      <c r="H1190" s="302">
        <v>0.62853159871541897</v>
      </c>
      <c r="I1190" s="302">
        <v>0.10807253420646015</v>
      </c>
      <c r="J1190" s="302">
        <f t="shared" si="507"/>
        <v>0.87972257342711824</v>
      </c>
      <c r="K1190" s="303"/>
      <c r="L1190" s="302">
        <v>9.4579699142583851E-2</v>
      </c>
      <c r="M1190" s="302">
        <v>0.35255323949593825</v>
      </c>
      <c r="N1190" s="302">
        <v>0.1127389601178574</v>
      </c>
      <c r="O1190" s="302">
        <f t="shared" si="506"/>
        <v>0.55987189875637955</v>
      </c>
    </row>
    <row r="1191" spans="1:15" s="236" customFormat="1" x14ac:dyDescent="0.3">
      <c r="A1191" s="237"/>
      <c r="B1191" s="302"/>
      <c r="C1191" s="302"/>
      <c r="D1191" s="302"/>
      <c r="E1191" s="302"/>
      <c r="F1191" s="303"/>
      <c r="G1191" s="302"/>
      <c r="H1191" s="302"/>
      <c r="I1191" s="302"/>
      <c r="J1191" s="302"/>
      <c r="K1191" s="303"/>
      <c r="L1191" s="302"/>
      <c r="M1191" s="302"/>
      <c r="N1191" s="302"/>
      <c r="O1191" s="302"/>
    </row>
    <row r="1192" spans="1:15" s="236" customFormat="1" x14ac:dyDescent="0.3">
      <c r="A1192" s="244" t="s">
        <v>32</v>
      </c>
      <c r="B1192" s="311">
        <f>SUM(B1182:B1190)</f>
        <v>0.94699999999484297</v>
      </c>
      <c r="C1192" s="311">
        <f t="shared" ref="C1192:E1192" si="508">SUM(C1182:C1190)</f>
        <v>1.5960000000114016</v>
      </c>
      <c r="D1192" s="311">
        <f t="shared" si="508"/>
        <v>2.481000000052719</v>
      </c>
      <c r="E1192" s="311">
        <f t="shared" si="508"/>
        <v>5.0240000000589635</v>
      </c>
      <c r="F1192" s="311"/>
      <c r="G1192" s="311">
        <f t="shared" ref="G1192:J1192" si="509">SUM(G1182:G1190)</f>
        <v>5.4540000000022069</v>
      </c>
      <c r="H1192" s="311">
        <f t="shared" si="509"/>
        <v>3.3730000000071794</v>
      </c>
      <c r="I1192" s="311">
        <f t="shared" si="509"/>
        <v>11.651000000154285</v>
      </c>
      <c r="J1192" s="311">
        <f t="shared" si="509"/>
        <v>20.478000000163672</v>
      </c>
      <c r="K1192" s="311"/>
      <c r="L1192" s="311">
        <f t="shared" ref="L1192:O1192" si="510">SUM(L1182:L1190)</f>
        <v>4.4709999999921592</v>
      </c>
      <c r="M1192" s="311">
        <f t="shared" si="510"/>
        <v>2.9400000000018882</v>
      </c>
      <c r="N1192" s="311">
        <f t="shared" si="510"/>
        <v>9.6600000002768009</v>
      </c>
      <c r="O1192" s="311">
        <f t="shared" si="510"/>
        <v>17.07100000027085</v>
      </c>
    </row>
    <row r="1193" spans="1:15" s="236" customFormat="1" x14ac:dyDescent="0.3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37"/>
      <c r="M1193" s="237"/>
      <c r="N1193" s="240"/>
    </row>
    <row r="1194" spans="1:15" s="236" customFormat="1" x14ac:dyDescent="0.3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37"/>
      <c r="M1194" s="237"/>
      <c r="N1194" s="240"/>
      <c r="O1194" s="251" t="s">
        <v>35</v>
      </c>
    </row>
    <row r="1195" spans="1:15" s="236" customFormat="1" x14ac:dyDescent="0.3">
      <c r="A1195" s="242"/>
      <c r="B1195" s="242"/>
      <c r="C1195" s="242"/>
      <c r="D1195" s="242"/>
      <c r="E1195" s="242"/>
      <c r="F1195" s="242"/>
      <c r="G1195" s="242"/>
      <c r="H1195" s="242"/>
      <c r="I1195" s="242"/>
      <c r="J1195" s="242"/>
      <c r="K1195" s="242"/>
      <c r="L1195" s="242"/>
      <c r="M1195" s="242"/>
      <c r="N1195" s="242"/>
      <c r="O1195" s="242"/>
    </row>
    <row r="1196" spans="1:15" s="236" customFormat="1" x14ac:dyDescent="0.3">
      <c r="A1196" s="241" t="str">
        <f>name!A73</f>
        <v>Libraries, etc</v>
      </c>
      <c r="B1196" s="375">
        <f>$B$6</f>
        <v>2015</v>
      </c>
      <c r="C1196" s="375"/>
      <c r="D1196" s="375"/>
      <c r="E1196" s="375"/>
      <c r="F1196" s="263"/>
      <c r="G1196" s="375">
        <f>$G$6</f>
        <v>2020</v>
      </c>
      <c r="H1196" s="375"/>
      <c r="I1196" s="375"/>
      <c r="J1196" s="375"/>
      <c r="K1196" s="263"/>
      <c r="L1196" s="375">
        <f>$L$6</f>
        <v>2035</v>
      </c>
      <c r="M1196" s="375"/>
      <c r="N1196" s="375"/>
      <c r="O1196" s="375"/>
    </row>
    <row r="1197" spans="1:15" s="236" customFormat="1" x14ac:dyDescent="0.3">
      <c r="A1197" s="254"/>
      <c r="B1197" s="268" t="str">
        <f>$B$7</f>
        <v>FT</v>
      </c>
      <c r="C1197" s="268" t="str">
        <f>$C$7</f>
        <v>PT</v>
      </c>
      <c r="D1197" s="268" t="str">
        <f>$D$7</f>
        <v>SE</v>
      </c>
      <c r="E1197" s="268" t="str">
        <f>$E$7</f>
        <v>Total</v>
      </c>
      <c r="F1197" s="268"/>
      <c r="G1197" s="268" t="str">
        <f>$G$7</f>
        <v>FT</v>
      </c>
      <c r="H1197" s="268" t="str">
        <f>$H$7</f>
        <v>PT</v>
      </c>
      <c r="I1197" s="268" t="str">
        <f>$I$7</f>
        <v>SE</v>
      </c>
      <c r="J1197" s="268" t="str">
        <f>$J$7</f>
        <v>Total</v>
      </c>
      <c r="K1197" s="268"/>
      <c r="L1197" s="268" t="str">
        <f>$L$7</f>
        <v>FT</v>
      </c>
      <c r="M1197" s="268" t="str">
        <f>$M$7</f>
        <v>PT</v>
      </c>
      <c r="N1197" s="268" t="str">
        <f>$N$7</f>
        <v>SE</v>
      </c>
      <c r="O1197" s="268" t="str">
        <f>$O$7</f>
        <v>Total</v>
      </c>
    </row>
    <row r="1198" spans="1:15" s="236" customFormat="1" x14ac:dyDescent="0.3">
      <c r="A1198" s="258"/>
      <c r="B1198" s="239"/>
      <c r="C1198" s="239"/>
      <c r="D1198" s="239"/>
      <c r="E1198" s="239"/>
      <c r="F1198" s="239"/>
      <c r="G1198" s="239"/>
      <c r="H1198" s="239"/>
      <c r="I1198" s="239"/>
      <c r="J1198" s="239"/>
      <c r="K1198" s="239"/>
      <c r="L1198" s="239"/>
      <c r="M1198" s="239"/>
      <c r="N1198" s="239"/>
      <c r="O1198" s="239"/>
    </row>
    <row r="1199" spans="1:15" s="236" customFormat="1" x14ac:dyDescent="0.3">
      <c r="A1199" s="237" t="str">
        <f>name!E$4</f>
        <v>Managers, directors and senior officials</v>
      </c>
      <c r="B1199" s="302">
        <v>1.3448214781047005</v>
      </c>
      <c r="C1199" s="302">
        <v>0.60686059424566696</v>
      </c>
      <c r="D1199" s="302">
        <v>0.27081471164287541</v>
      </c>
      <c r="E1199" s="302">
        <f>SUM(B1199:D1199)</f>
        <v>2.2224967839932428</v>
      </c>
      <c r="F1199" s="303"/>
      <c r="G1199" s="302">
        <v>1.3457446038358793</v>
      </c>
      <c r="H1199" s="302">
        <v>0.97522970696454436</v>
      </c>
      <c r="I1199" s="302">
        <v>0.35694027835149988</v>
      </c>
      <c r="J1199" s="302">
        <f>SUM(G1199:I1199)</f>
        <v>2.6779145891519236</v>
      </c>
      <c r="K1199" s="303"/>
      <c r="L1199" s="302">
        <v>1.3508981550522312</v>
      </c>
      <c r="M1199" s="302">
        <v>1.3350564258057918</v>
      </c>
      <c r="N1199" s="302">
        <v>0.20359066671595391</v>
      </c>
      <c r="O1199" s="302">
        <f>SUM(L1199:N1199)</f>
        <v>2.8895452475739765</v>
      </c>
    </row>
    <row r="1200" spans="1:15" s="236" customFormat="1" x14ac:dyDescent="0.3">
      <c r="A1200" s="237" t="str">
        <f>name!E$5</f>
        <v>Professional occupations</v>
      </c>
      <c r="B1200" s="302">
        <v>0.8911055868550386</v>
      </c>
      <c r="C1200" s="302">
        <v>0.2896393263143604</v>
      </c>
      <c r="D1200" s="302">
        <v>1.2308431340841803</v>
      </c>
      <c r="E1200" s="302">
        <f t="shared" ref="E1200:E1207" si="511">SUM(B1200:D1200)</f>
        <v>2.4115880472535793</v>
      </c>
      <c r="F1200" s="303"/>
      <c r="G1200" s="302">
        <v>0.94768046352754343</v>
      </c>
      <c r="H1200" s="302">
        <v>0.52349074822618047</v>
      </c>
      <c r="I1200" s="302">
        <v>1.9094629180348743</v>
      </c>
      <c r="J1200" s="302">
        <f t="shared" ref="J1200:J1202" si="512">SUM(G1200:I1200)</f>
        <v>3.3806341297885982</v>
      </c>
      <c r="K1200" s="303"/>
      <c r="L1200" s="302">
        <v>0.7535060654992578</v>
      </c>
      <c r="M1200" s="302">
        <v>0.54042919678128576</v>
      </c>
      <c r="N1200" s="302">
        <v>1.4098411072919521</v>
      </c>
      <c r="O1200" s="302">
        <f t="shared" ref="O1200:O1207" si="513">SUM(L1200:N1200)</f>
        <v>2.7037763695724957</v>
      </c>
    </row>
    <row r="1201" spans="1:15" s="236" customFormat="1" x14ac:dyDescent="0.3">
      <c r="A1201" s="237" t="str">
        <f>name!E$6</f>
        <v>Associate professional occupations</v>
      </c>
      <c r="B1201" s="302">
        <v>1.065220143102487</v>
      </c>
      <c r="C1201" s="302">
        <v>0.4032183807198455</v>
      </c>
      <c r="D1201" s="302">
        <v>3.7993051559854765</v>
      </c>
      <c r="E1201" s="302">
        <f t="shared" si="511"/>
        <v>5.2677436798078094</v>
      </c>
      <c r="F1201" s="303"/>
      <c r="G1201" s="302">
        <v>0.8597553703102917</v>
      </c>
      <c r="H1201" s="302">
        <v>0.62688371621771732</v>
      </c>
      <c r="I1201" s="302">
        <v>6.8009453423046935</v>
      </c>
      <c r="J1201" s="302">
        <f t="shared" si="512"/>
        <v>8.2875844288327016</v>
      </c>
      <c r="K1201" s="303"/>
      <c r="L1201" s="302">
        <v>0.65256979781610125</v>
      </c>
      <c r="M1201" s="302">
        <v>0.46282062630519416</v>
      </c>
      <c r="N1201" s="302">
        <v>5.8574904242676924</v>
      </c>
      <c r="O1201" s="302">
        <f t="shared" si="513"/>
        <v>6.9728808483889875</v>
      </c>
    </row>
    <row r="1202" spans="1:15" s="236" customFormat="1" x14ac:dyDescent="0.3">
      <c r="A1202" s="237" t="str">
        <f>name!E$7</f>
        <v>Administrative and secretarial occupations</v>
      </c>
      <c r="B1202" s="302">
        <v>0.35901264887505241</v>
      </c>
      <c r="C1202" s="302">
        <v>0.79349203594647633</v>
      </c>
      <c r="D1202" s="302">
        <v>0.11295516603465347</v>
      </c>
      <c r="E1202" s="302">
        <f t="shared" si="511"/>
        <v>1.2654598508561823</v>
      </c>
      <c r="F1202" s="303"/>
      <c r="G1202" s="302">
        <v>0.36572491140647378</v>
      </c>
      <c r="H1202" s="302">
        <v>0.90047257190879315</v>
      </c>
      <c r="I1202" s="302">
        <v>0.2195479171044753</v>
      </c>
      <c r="J1202" s="302">
        <f t="shared" si="512"/>
        <v>1.4857454004197423</v>
      </c>
      <c r="K1202" s="303"/>
      <c r="L1202" s="302">
        <v>0.15783059514886669</v>
      </c>
      <c r="M1202" s="302">
        <v>0.48078706078667588</v>
      </c>
      <c r="N1202" s="302">
        <v>0.11359809728819975</v>
      </c>
      <c r="O1202" s="302">
        <f t="shared" si="513"/>
        <v>0.75221575322374234</v>
      </c>
    </row>
    <row r="1203" spans="1:15" s="236" customFormat="1" x14ac:dyDescent="0.3">
      <c r="A1203" s="237" t="str">
        <f>name!E$8</f>
        <v>Skilled trades occupations</v>
      </c>
      <c r="B1203" s="302">
        <v>0.68797579368105921</v>
      </c>
      <c r="C1203" s="302">
        <v>0.1835154924009148</v>
      </c>
      <c r="D1203" s="302">
        <v>0.50643071724044131</v>
      </c>
      <c r="E1203" s="302">
        <f t="shared" si="511"/>
        <v>1.3779220033224153</v>
      </c>
      <c r="F1203" s="303"/>
      <c r="G1203" s="302">
        <v>0.47269670315295503</v>
      </c>
      <c r="H1203" s="302">
        <v>0.24764311081298404</v>
      </c>
      <c r="I1203" s="302">
        <v>0.94400428217533638</v>
      </c>
      <c r="J1203" s="302">
        <f>SUM(G1203:I1203)</f>
        <v>1.6643440961412754</v>
      </c>
      <c r="K1203" s="303"/>
      <c r="L1203" s="302">
        <v>0.387614652258708</v>
      </c>
      <c r="M1203" s="302">
        <v>0.41923703232032905</v>
      </c>
      <c r="N1203" s="302">
        <v>1.0293382242906799</v>
      </c>
      <c r="O1203" s="302">
        <f t="shared" si="513"/>
        <v>1.8361899088697169</v>
      </c>
    </row>
    <row r="1204" spans="1:15" s="236" customFormat="1" x14ac:dyDescent="0.3">
      <c r="A1204" s="237" t="str">
        <f>name!E$9</f>
        <v>Caring, leisure and other service occupations</v>
      </c>
      <c r="B1204" s="302">
        <v>0.3375122919680979</v>
      </c>
      <c r="C1204" s="302">
        <v>0.47512417771453663</v>
      </c>
      <c r="D1204" s="302">
        <v>0.10670063030295589</v>
      </c>
      <c r="E1204" s="302">
        <f t="shared" si="511"/>
        <v>0.91933709998559032</v>
      </c>
      <c r="F1204" s="303"/>
      <c r="G1204" s="302">
        <v>0.26937130700674605</v>
      </c>
      <c r="H1204" s="302">
        <v>0.53675714472602032</v>
      </c>
      <c r="I1204" s="302">
        <v>0.27394051100177957</v>
      </c>
      <c r="J1204" s="302">
        <f t="shared" ref="J1204:J1207" si="514">SUM(G1204:I1204)</f>
        <v>1.0800689627345459</v>
      </c>
      <c r="K1204" s="303"/>
      <c r="L1204" s="302">
        <v>0.18114213643966862</v>
      </c>
      <c r="M1204" s="302">
        <v>0.46391080028501086</v>
      </c>
      <c r="N1204" s="302">
        <v>0.24587907211297852</v>
      </c>
      <c r="O1204" s="302">
        <f t="shared" si="513"/>
        <v>0.890932008837658</v>
      </c>
    </row>
    <row r="1205" spans="1:15" s="236" customFormat="1" x14ac:dyDescent="0.3">
      <c r="A1205" s="237" t="str">
        <f>name!E$10</f>
        <v>Sales and customer service occupations</v>
      </c>
      <c r="B1205" s="302">
        <v>0.29592878415493606</v>
      </c>
      <c r="C1205" s="302">
        <v>0.34324087378670548</v>
      </c>
      <c r="D1205" s="302">
        <v>5.719436207080196E-2</v>
      </c>
      <c r="E1205" s="302">
        <f t="shared" si="511"/>
        <v>0.69636402001244346</v>
      </c>
      <c r="F1205" s="303"/>
      <c r="G1205" s="302">
        <v>0.28048119608156963</v>
      </c>
      <c r="H1205" s="302">
        <v>0.41041958268765494</v>
      </c>
      <c r="I1205" s="302">
        <v>5.8769874425440627E-2</v>
      </c>
      <c r="J1205" s="302">
        <f t="shared" si="514"/>
        <v>0.74967065319466508</v>
      </c>
      <c r="K1205" s="303"/>
      <c r="L1205" s="302">
        <v>0.21049367245229683</v>
      </c>
      <c r="M1205" s="302">
        <v>0.37675329651441702</v>
      </c>
      <c r="N1205" s="302">
        <v>3.2128673481439392E-2</v>
      </c>
      <c r="O1205" s="302">
        <f t="shared" si="513"/>
        <v>0.61937564244815335</v>
      </c>
    </row>
    <row r="1206" spans="1:15" s="236" customFormat="1" x14ac:dyDescent="0.3">
      <c r="A1206" s="237" t="str">
        <f>name!E$11</f>
        <v>Process, plant and machine operatives</v>
      </c>
      <c r="B1206" s="302">
        <v>5.2345241412683055E-2</v>
      </c>
      <c r="C1206" s="302">
        <v>2.1379064353528984E-2</v>
      </c>
      <c r="D1206" s="302">
        <v>2.8865713569442786E-2</v>
      </c>
      <c r="E1206" s="302">
        <f t="shared" si="511"/>
        <v>0.10259001933565483</v>
      </c>
      <c r="F1206" s="303"/>
      <c r="G1206" s="302">
        <v>2.5446704425122119E-2</v>
      </c>
      <c r="H1206" s="302">
        <v>3.3455645065250235E-2</v>
      </c>
      <c r="I1206" s="302">
        <v>5.9302733859770168E-2</v>
      </c>
      <c r="J1206" s="302">
        <f t="shared" si="514"/>
        <v>0.11820508335014251</v>
      </c>
      <c r="K1206" s="303"/>
      <c r="L1206" s="302">
        <v>1.4930421297192634E-2</v>
      </c>
      <c r="M1206" s="302">
        <v>3.7489532301846706E-2</v>
      </c>
      <c r="N1206" s="302">
        <v>6.895122801567774E-2</v>
      </c>
      <c r="O1206" s="302">
        <f t="shared" si="513"/>
        <v>0.12137118161471708</v>
      </c>
    </row>
    <row r="1207" spans="1:15" s="236" customFormat="1" x14ac:dyDescent="0.3">
      <c r="A1207" s="237" t="str">
        <f>name!E$12</f>
        <v>Elementary occupations</v>
      </c>
      <c r="B1207" s="302">
        <v>0.18407803181211124</v>
      </c>
      <c r="C1207" s="302">
        <v>0.78853005454947345</v>
      </c>
      <c r="D1207" s="302">
        <v>7.8890409177667403E-2</v>
      </c>
      <c r="E1207" s="302">
        <f t="shared" si="511"/>
        <v>1.0514984955392521</v>
      </c>
      <c r="F1207" s="303"/>
      <c r="G1207" s="302">
        <v>0.10609874026220753</v>
      </c>
      <c r="H1207" s="302">
        <v>0.83064777339503126</v>
      </c>
      <c r="I1207" s="302">
        <v>0.10608614286021359</v>
      </c>
      <c r="J1207" s="302">
        <f t="shared" si="514"/>
        <v>1.0428326565174524</v>
      </c>
      <c r="K1207" s="303"/>
      <c r="L1207" s="302">
        <v>6.701450403562649E-2</v>
      </c>
      <c r="M1207" s="302">
        <v>0.43451602888684676</v>
      </c>
      <c r="N1207" s="302">
        <v>0.11318250676522582</v>
      </c>
      <c r="O1207" s="302">
        <f t="shared" si="513"/>
        <v>0.61471303968769908</v>
      </c>
    </row>
    <row r="1208" spans="1:15" s="236" customFormat="1" x14ac:dyDescent="0.3">
      <c r="A1208" s="237"/>
      <c r="B1208" s="302"/>
      <c r="C1208" s="302"/>
      <c r="D1208" s="302"/>
      <c r="E1208" s="302"/>
      <c r="F1208" s="303"/>
      <c r="G1208" s="302"/>
      <c r="H1208" s="302"/>
      <c r="I1208" s="302"/>
      <c r="J1208" s="302"/>
      <c r="K1208" s="303"/>
      <c r="L1208" s="302"/>
      <c r="M1208" s="302"/>
      <c r="N1208" s="302"/>
      <c r="O1208" s="302"/>
    </row>
    <row r="1209" spans="1:15" s="236" customFormat="1" x14ac:dyDescent="0.3">
      <c r="A1209" s="244" t="s">
        <v>32</v>
      </c>
      <c r="B1209" s="311">
        <f>SUM(B1199:B1207)</f>
        <v>5.2179999999661666</v>
      </c>
      <c r="C1209" s="311">
        <f t="shared" ref="C1209:E1209" si="515">SUM(C1199:C1207)</f>
        <v>3.9050000000315079</v>
      </c>
      <c r="D1209" s="311">
        <f t="shared" si="515"/>
        <v>6.1920000001084929</v>
      </c>
      <c r="E1209" s="311">
        <f t="shared" si="515"/>
        <v>15.315000000106171</v>
      </c>
      <c r="F1209" s="311"/>
      <c r="G1209" s="311">
        <f t="shared" ref="G1209:J1209" si="516">SUM(G1199:G1207)</f>
        <v>4.6730000000087886</v>
      </c>
      <c r="H1209" s="311">
        <f t="shared" si="516"/>
        <v>5.0850000000041762</v>
      </c>
      <c r="I1209" s="311">
        <f t="shared" si="516"/>
        <v>10.729000000118083</v>
      </c>
      <c r="J1209" s="311">
        <f t="shared" si="516"/>
        <v>20.487000000131047</v>
      </c>
      <c r="K1209" s="311"/>
      <c r="L1209" s="311">
        <f t="shared" ref="L1209:O1209" si="517">SUM(L1199:L1207)</f>
        <v>3.7759999999999501</v>
      </c>
      <c r="M1209" s="311">
        <f t="shared" si="517"/>
        <v>4.5509999999873987</v>
      </c>
      <c r="N1209" s="311">
        <f t="shared" si="517"/>
        <v>9.0740000002298</v>
      </c>
      <c r="O1209" s="311">
        <f t="shared" si="517"/>
        <v>17.401000000217149</v>
      </c>
    </row>
    <row r="1210" spans="1:15" s="236" customFormat="1" x14ac:dyDescent="0.3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37"/>
      <c r="M1210" s="237"/>
      <c r="N1210" s="240"/>
    </row>
    <row r="1211" spans="1:15" s="236" customFormat="1" x14ac:dyDescent="0.3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37"/>
      <c r="M1211" s="237"/>
      <c r="N1211" s="240"/>
      <c r="O1211" s="251" t="s">
        <v>35</v>
      </c>
    </row>
    <row r="1212" spans="1:15" s="236" customFormat="1" x14ac:dyDescent="0.3">
      <c r="A1212" s="242"/>
      <c r="B1212" s="242"/>
      <c r="C1212" s="242"/>
      <c r="D1212" s="242"/>
      <c r="E1212" s="242"/>
      <c r="F1212" s="242"/>
      <c r="G1212" s="242"/>
      <c r="H1212" s="242"/>
      <c r="I1212" s="242"/>
      <c r="J1212" s="242"/>
      <c r="K1212" s="242"/>
      <c r="L1212" s="242"/>
      <c r="M1212" s="242"/>
      <c r="N1212" s="242"/>
      <c r="O1212" s="242"/>
    </row>
    <row r="1213" spans="1:15" s="236" customFormat="1" x14ac:dyDescent="0.3">
      <c r="A1213" s="241" t="str">
        <f>name!A74</f>
        <v>Gambling and betting</v>
      </c>
      <c r="B1213" s="375">
        <f>$B$6</f>
        <v>2015</v>
      </c>
      <c r="C1213" s="375"/>
      <c r="D1213" s="375"/>
      <c r="E1213" s="375"/>
      <c r="F1213" s="263"/>
      <c r="G1213" s="375">
        <f>$G$6</f>
        <v>2020</v>
      </c>
      <c r="H1213" s="375"/>
      <c r="I1213" s="375"/>
      <c r="J1213" s="375"/>
      <c r="K1213" s="263"/>
      <c r="L1213" s="375">
        <f>$L$6</f>
        <v>2035</v>
      </c>
      <c r="M1213" s="375"/>
      <c r="N1213" s="375"/>
      <c r="O1213" s="375"/>
    </row>
    <row r="1214" spans="1:15" s="236" customFormat="1" x14ac:dyDescent="0.3">
      <c r="A1214" s="254"/>
      <c r="B1214" s="268" t="str">
        <f>$B$7</f>
        <v>FT</v>
      </c>
      <c r="C1214" s="268" t="str">
        <f>$C$7</f>
        <v>PT</v>
      </c>
      <c r="D1214" s="268" t="str">
        <f>$D$7</f>
        <v>SE</v>
      </c>
      <c r="E1214" s="268" t="str">
        <f>$E$7</f>
        <v>Total</v>
      </c>
      <c r="F1214" s="268"/>
      <c r="G1214" s="268" t="str">
        <f>$G$7</f>
        <v>FT</v>
      </c>
      <c r="H1214" s="268" t="str">
        <f>$H$7</f>
        <v>PT</v>
      </c>
      <c r="I1214" s="268" t="str">
        <f>$I$7</f>
        <v>SE</v>
      </c>
      <c r="J1214" s="268" t="str">
        <f>$J$7</f>
        <v>Total</v>
      </c>
      <c r="K1214" s="268"/>
      <c r="L1214" s="268" t="str">
        <f>$L$7</f>
        <v>FT</v>
      </c>
      <c r="M1214" s="268" t="str">
        <f>$M$7</f>
        <v>PT</v>
      </c>
      <c r="N1214" s="268" t="str">
        <f>$N$7</f>
        <v>SE</v>
      </c>
      <c r="O1214" s="268" t="str">
        <f>$O$7</f>
        <v>Total</v>
      </c>
    </row>
    <row r="1215" spans="1:15" s="236" customFormat="1" x14ac:dyDescent="0.3">
      <c r="A1215" s="258"/>
      <c r="B1215" s="239"/>
      <c r="C1215" s="239"/>
      <c r="D1215" s="239"/>
      <c r="E1215" s="239"/>
      <c r="F1215" s="239"/>
      <c r="G1215" s="239"/>
      <c r="H1215" s="239"/>
      <c r="I1215" s="239"/>
      <c r="J1215" s="239"/>
      <c r="K1215" s="239"/>
      <c r="L1215" s="239"/>
      <c r="M1215" s="239"/>
      <c r="N1215" s="239"/>
      <c r="O1215" s="239"/>
    </row>
    <row r="1216" spans="1:15" s="236" customFormat="1" x14ac:dyDescent="0.3">
      <c r="A1216" s="237" t="str">
        <f>name!E$4</f>
        <v>Managers, directors and senior officials</v>
      </c>
      <c r="B1216" s="302">
        <v>1.2992894577632501</v>
      </c>
      <c r="C1216" s="302">
        <v>0.27018765833551561</v>
      </c>
      <c r="D1216" s="302">
        <v>3.884804448948391E-2</v>
      </c>
      <c r="E1216" s="302">
        <f>SUM(B1216:D1216)</f>
        <v>1.6083251605882496</v>
      </c>
      <c r="F1216" s="303"/>
      <c r="G1216" s="302">
        <v>0.80702449605428273</v>
      </c>
      <c r="H1216" s="302">
        <v>0.24721083676728883</v>
      </c>
      <c r="I1216" s="302">
        <v>4.0549753807795817E-2</v>
      </c>
      <c r="J1216" s="302">
        <f>SUM(G1216:I1216)</f>
        <v>1.0947850866293674</v>
      </c>
      <c r="K1216" s="303"/>
      <c r="L1216" s="302">
        <v>0.91051069269313978</v>
      </c>
      <c r="M1216" s="302">
        <v>0.40213339251985331</v>
      </c>
      <c r="N1216" s="302">
        <v>4.4192337181794966E-2</v>
      </c>
      <c r="O1216" s="302">
        <f>SUM(L1216:N1216)</f>
        <v>1.356836422394788</v>
      </c>
    </row>
    <row r="1217" spans="1:15" s="236" customFormat="1" x14ac:dyDescent="0.3">
      <c r="A1217" s="237" t="str">
        <f>name!E$5</f>
        <v>Professional occupations</v>
      </c>
      <c r="B1217" s="302">
        <v>1.055866580011835</v>
      </c>
      <c r="C1217" s="302">
        <v>0.223894341777746</v>
      </c>
      <c r="D1217" s="302">
        <v>0.19102270396762014</v>
      </c>
      <c r="E1217" s="302">
        <f t="shared" ref="E1217:E1224" si="518">SUM(B1217:D1217)</f>
        <v>1.4707836257572011</v>
      </c>
      <c r="F1217" s="303"/>
      <c r="G1217" s="302">
        <v>0.7690388296597368</v>
      </c>
      <c r="H1217" s="302">
        <v>0.27051357757135508</v>
      </c>
      <c r="I1217" s="302">
        <v>0.16725176062692071</v>
      </c>
      <c r="J1217" s="302">
        <f t="shared" ref="J1217:J1219" si="519">SUM(G1217:I1217)</f>
        <v>1.2068041678580128</v>
      </c>
      <c r="K1217" s="303"/>
      <c r="L1217" s="302">
        <v>0.87945173627679152</v>
      </c>
      <c r="M1217" s="302">
        <v>0.41402113864141155</v>
      </c>
      <c r="N1217" s="302">
        <v>0.18421118449574961</v>
      </c>
      <c r="O1217" s="302">
        <f t="shared" ref="O1217:O1224" si="520">SUM(L1217:N1217)</f>
        <v>1.4776840594139529</v>
      </c>
    </row>
    <row r="1218" spans="1:15" s="236" customFormat="1" x14ac:dyDescent="0.3">
      <c r="A1218" s="237" t="str">
        <f>name!E$6</f>
        <v>Associate professional occupations</v>
      </c>
      <c r="B1218" s="302">
        <v>1.5350814688616663</v>
      </c>
      <c r="C1218" s="302">
        <v>0.41973804765978934</v>
      </c>
      <c r="D1218" s="302">
        <v>0.61017659000772706</v>
      </c>
      <c r="E1218" s="302">
        <f t="shared" si="518"/>
        <v>2.5649961065291826</v>
      </c>
      <c r="F1218" s="303"/>
      <c r="G1218" s="302">
        <v>1.0244688373019937</v>
      </c>
      <c r="H1218" s="302">
        <v>0.39287504938825518</v>
      </c>
      <c r="I1218" s="302">
        <v>0.53706298086377902</v>
      </c>
      <c r="J1218" s="302">
        <f t="shared" si="519"/>
        <v>1.9544068675540278</v>
      </c>
      <c r="K1218" s="303"/>
      <c r="L1218" s="302">
        <v>1.1179357065061093</v>
      </c>
      <c r="M1218" s="302">
        <v>0.36409404376691212</v>
      </c>
      <c r="N1218" s="302">
        <v>0.63449746920523753</v>
      </c>
      <c r="O1218" s="302">
        <f t="shared" si="520"/>
        <v>2.1165272194782587</v>
      </c>
    </row>
    <row r="1219" spans="1:15" s="236" customFormat="1" x14ac:dyDescent="0.3">
      <c r="A1219" s="237" t="str">
        <f>name!E$7</f>
        <v>Administrative and secretarial occupations</v>
      </c>
      <c r="B1219" s="302">
        <v>0.27593919973458264</v>
      </c>
      <c r="C1219" s="302">
        <v>0.37160154047956029</v>
      </c>
      <c r="D1219" s="302">
        <v>1.9860085176254254E-2</v>
      </c>
      <c r="E1219" s="302">
        <f t="shared" si="518"/>
        <v>0.66740082539039713</v>
      </c>
      <c r="F1219" s="303"/>
      <c r="G1219" s="302">
        <v>0.1552955570423</v>
      </c>
      <c r="H1219" s="302">
        <v>0.25530158228824451</v>
      </c>
      <c r="I1219" s="302">
        <v>1.2760233909989311E-2</v>
      </c>
      <c r="J1219" s="302">
        <f t="shared" si="519"/>
        <v>0.42335737324053385</v>
      </c>
      <c r="K1219" s="303"/>
      <c r="L1219" s="302">
        <v>0.12142662315489085</v>
      </c>
      <c r="M1219" s="302">
        <v>0.1570597966605165</v>
      </c>
      <c r="N1219" s="302">
        <v>9.2607319607757865E-3</v>
      </c>
      <c r="O1219" s="302">
        <f t="shared" si="520"/>
        <v>0.28774715177618315</v>
      </c>
    </row>
    <row r="1220" spans="1:15" s="236" customFormat="1" x14ac:dyDescent="0.3">
      <c r="A1220" s="237" t="str">
        <f>name!E$8</f>
        <v>Skilled trades occupations</v>
      </c>
      <c r="B1220" s="302">
        <v>0.97202200230725777</v>
      </c>
      <c r="C1220" s="302">
        <v>0.20998219771482668</v>
      </c>
      <c r="D1220" s="302">
        <v>8.0791061564022409E-2</v>
      </c>
      <c r="E1220" s="302">
        <f t="shared" si="518"/>
        <v>1.2627952615861069</v>
      </c>
      <c r="F1220" s="303"/>
      <c r="G1220" s="302">
        <v>0.51075252973224272</v>
      </c>
      <c r="H1220" s="302">
        <v>0.14039106994320394</v>
      </c>
      <c r="I1220" s="302">
        <v>6.8238268483542447E-2</v>
      </c>
      <c r="J1220" s="302">
        <f>SUM(G1220:I1220)</f>
        <v>0.71938186815898908</v>
      </c>
      <c r="K1220" s="303"/>
      <c r="L1220" s="302">
        <v>0.43129164992913138</v>
      </c>
      <c r="M1220" s="302">
        <v>0.23383477827465365</v>
      </c>
      <c r="N1220" s="302">
        <v>8.645973444500403E-2</v>
      </c>
      <c r="O1220" s="302">
        <f t="shared" si="520"/>
        <v>0.75158616264878897</v>
      </c>
    </row>
    <row r="1221" spans="1:15" s="236" customFormat="1" x14ac:dyDescent="0.3">
      <c r="A1221" s="237" t="str">
        <f>name!E$9</f>
        <v>Caring, leisure and other service occupations</v>
      </c>
      <c r="B1221" s="302">
        <v>0.34843268491386847</v>
      </c>
      <c r="C1221" s="302">
        <v>0.36384599163402814</v>
      </c>
      <c r="D1221" s="302">
        <v>1.8625669278724943E-2</v>
      </c>
      <c r="E1221" s="302">
        <f t="shared" si="518"/>
        <v>0.73090434582662156</v>
      </c>
      <c r="F1221" s="303"/>
      <c r="G1221" s="302">
        <v>0.19124210837647548</v>
      </c>
      <c r="H1221" s="302">
        <v>0.25035561237663806</v>
      </c>
      <c r="I1221" s="302">
        <v>1.631897775859175E-2</v>
      </c>
      <c r="J1221" s="302">
        <f t="shared" ref="J1221:J1224" si="521">SUM(G1221:I1221)</f>
        <v>0.4579166985117053</v>
      </c>
      <c r="K1221" s="303"/>
      <c r="L1221" s="302">
        <v>0.19862461489992825</v>
      </c>
      <c r="M1221" s="302">
        <v>0.30275158207363251</v>
      </c>
      <c r="N1221" s="302">
        <v>1.8893613863872557E-2</v>
      </c>
      <c r="O1221" s="302">
        <f t="shared" si="520"/>
        <v>0.52026981083743329</v>
      </c>
    </row>
    <row r="1222" spans="1:15" s="236" customFormat="1" x14ac:dyDescent="0.3">
      <c r="A1222" s="237" t="str">
        <f>name!E$10</f>
        <v>Sales and customer service occupations</v>
      </c>
      <c r="B1222" s="302">
        <v>0.24207660378490198</v>
      </c>
      <c r="C1222" s="302">
        <v>0.24997841489894784</v>
      </c>
      <c r="D1222" s="302">
        <v>8.4774817071173458E-3</v>
      </c>
      <c r="E1222" s="302">
        <f t="shared" si="518"/>
        <v>0.50053250039096719</v>
      </c>
      <c r="F1222" s="303"/>
      <c r="G1222" s="302">
        <v>0.12968900139611955</v>
      </c>
      <c r="H1222" s="302">
        <v>0.17941075628650346</v>
      </c>
      <c r="I1222" s="302">
        <v>6.4485909443528161E-3</v>
      </c>
      <c r="J1222" s="302">
        <f t="shared" si="521"/>
        <v>0.31554834862697578</v>
      </c>
      <c r="K1222" s="303"/>
      <c r="L1222" s="302">
        <v>0.13494355098527921</v>
      </c>
      <c r="M1222" s="302">
        <v>0.19677929482362899</v>
      </c>
      <c r="N1222" s="302">
        <v>5.7437855956339046E-3</v>
      </c>
      <c r="O1222" s="302">
        <f t="shared" si="520"/>
        <v>0.33746663140454214</v>
      </c>
    </row>
    <row r="1223" spans="1:15" s="236" customFormat="1" x14ac:dyDescent="0.3">
      <c r="A1223" s="237" t="str">
        <f>name!E$11</f>
        <v>Process, plant and machine operatives</v>
      </c>
      <c r="B1223" s="302">
        <v>8.2902377489726412E-2</v>
      </c>
      <c r="C1223" s="302">
        <v>4.1218350919599543E-2</v>
      </c>
      <c r="D1223" s="302">
        <v>4.7270399756539601E-3</v>
      </c>
      <c r="E1223" s="302">
        <f t="shared" si="518"/>
        <v>0.12884776838497991</v>
      </c>
      <c r="F1223" s="303"/>
      <c r="G1223" s="302">
        <v>3.8367806465253659E-2</v>
      </c>
      <c r="H1223" s="302">
        <v>3.3649639131217185E-2</v>
      </c>
      <c r="I1223" s="302">
        <v>4.2021167811699322E-3</v>
      </c>
      <c r="J1223" s="302">
        <f t="shared" si="521"/>
        <v>7.621956237764077E-2</v>
      </c>
      <c r="K1223" s="303"/>
      <c r="L1223" s="302">
        <v>3.0031318879528795E-2</v>
      </c>
      <c r="M1223" s="302">
        <v>4.6561193513406679E-2</v>
      </c>
      <c r="N1223" s="302">
        <v>6.2135439364168011E-3</v>
      </c>
      <c r="O1223" s="302">
        <f t="shared" si="520"/>
        <v>8.2806056329352284E-2</v>
      </c>
    </row>
    <row r="1224" spans="1:15" s="236" customFormat="1" x14ac:dyDescent="0.3">
      <c r="A1224" s="237" t="str">
        <f>name!E$12</f>
        <v>Elementary occupations</v>
      </c>
      <c r="B1224" s="302">
        <v>0.264389625105658</v>
      </c>
      <c r="C1224" s="302">
        <v>0.72055345659761494</v>
      </c>
      <c r="D1224" s="302">
        <v>1.3471323847991533E-2</v>
      </c>
      <c r="E1224" s="302">
        <f t="shared" si="518"/>
        <v>0.99841440555126448</v>
      </c>
      <c r="F1224" s="303"/>
      <c r="G1224" s="302">
        <v>0.12812083396075827</v>
      </c>
      <c r="H1224" s="302">
        <v>0.44629187625390582</v>
      </c>
      <c r="I1224" s="302">
        <v>7.1673168382057634E-3</v>
      </c>
      <c r="J1224" s="302">
        <f t="shared" si="521"/>
        <v>0.58158002705286993</v>
      </c>
      <c r="K1224" s="303"/>
      <c r="L1224" s="302">
        <v>0.11178410665373263</v>
      </c>
      <c r="M1224" s="302">
        <v>0.34876477973497355</v>
      </c>
      <c r="N1224" s="302">
        <v>9.527599352982967E-3</v>
      </c>
      <c r="O1224" s="302">
        <f t="shared" si="520"/>
        <v>0.47007648574168914</v>
      </c>
    </row>
    <row r="1225" spans="1:15" s="236" customFormat="1" x14ac:dyDescent="0.3">
      <c r="A1225" s="237"/>
      <c r="B1225" s="302"/>
      <c r="C1225" s="302"/>
      <c r="D1225" s="302"/>
      <c r="E1225" s="302"/>
      <c r="F1225" s="303"/>
      <c r="G1225" s="302"/>
      <c r="H1225" s="302"/>
      <c r="I1225" s="302"/>
      <c r="J1225" s="302"/>
      <c r="K1225" s="303"/>
      <c r="L1225" s="302"/>
      <c r="M1225" s="302"/>
      <c r="N1225" s="302"/>
      <c r="O1225" s="302"/>
    </row>
    <row r="1226" spans="1:15" s="236" customFormat="1" x14ac:dyDescent="0.3">
      <c r="A1226" s="244" t="s">
        <v>32</v>
      </c>
      <c r="B1226" s="311">
        <f>SUM(B1216:B1224)</f>
        <v>6.0759999999727468</v>
      </c>
      <c r="C1226" s="311">
        <f t="shared" ref="C1226:E1226" si="522">SUM(C1216:C1224)</f>
        <v>2.8710000000176281</v>
      </c>
      <c r="D1226" s="311">
        <f t="shared" si="522"/>
        <v>0.98600000001459553</v>
      </c>
      <c r="E1226" s="311">
        <f t="shared" si="522"/>
        <v>9.9330000000049701</v>
      </c>
      <c r="F1226" s="311"/>
      <c r="G1226" s="311">
        <f t="shared" ref="G1226:J1226" si="523">SUM(G1216:G1224)</f>
        <v>3.7539999999891629</v>
      </c>
      <c r="H1226" s="311">
        <f t="shared" si="523"/>
        <v>2.2160000000066118</v>
      </c>
      <c r="I1226" s="311">
        <f t="shared" si="523"/>
        <v>0.8600000000143474</v>
      </c>
      <c r="J1226" s="311">
        <f t="shared" si="523"/>
        <v>6.8300000000101226</v>
      </c>
      <c r="K1226" s="311"/>
      <c r="L1226" s="311">
        <f t="shared" ref="L1226:O1226" si="524">SUM(L1216:L1224)</f>
        <v>3.9359999999785318</v>
      </c>
      <c r="M1226" s="311">
        <f t="shared" si="524"/>
        <v>2.4660000000089886</v>
      </c>
      <c r="N1226" s="311">
        <f t="shared" si="524"/>
        <v>0.99900000003746814</v>
      </c>
      <c r="O1226" s="311">
        <f t="shared" si="524"/>
        <v>7.4010000000249887</v>
      </c>
    </row>
    <row r="1227" spans="1:15" s="236" customFormat="1" x14ac:dyDescent="0.3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37"/>
      <c r="M1227" s="237"/>
      <c r="N1227" s="240"/>
    </row>
    <row r="1228" spans="1:15" s="236" customFormat="1" x14ac:dyDescent="0.3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37"/>
      <c r="M1228" s="237"/>
      <c r="N1228" s="240"/>
      <c r="O1228" s="251" t="s">
        <v>35</v>
      </c>
    </row>
    <row r="1229" spans="1:15" s="236" customFormat="1" x14ac:dyDescent="0.3">
      <c r="A1229" s="242"/>
      <c r="B1229" s="242"/>
      <c r="C1229" s="242"/>
      <c r="D1229" s="242"/>
      <c r="E1229" s="242"/>
      <c r="F1229" s="242"/>
      <c r="G1229" s="242"/>
      <c r="H1229" s="242"/>
      <c r="I1229" s="242"/>
      <c r="J1229" s="242"/>
      <c r="K1229" s="242"/>
      <c r="L1229" s="242"/>
      <c r="M1229" s="242"/>
      <c r="N1229" s="242"/>
      <c r="O1229" s="242"/>
    </row>
    <row r="1230" spans="1:15" s="236" customFormat="1" x14ac:dyDescent="0.3">
      <c r="A1230" s="241" t="str">
        <f>name!A75</f>
        <v>Sport and recreation</v>
      </c>
      <c r="B1230" s="375">
        <f>$B$6</f>
        <v>2015</v>
      </c>
      <c r="C1230" s="375"/>
      <c r="D1230" s="375"/>
      <c r="E1230" s="375"/>
      <c r="F1230" s="263"/>
      <c r="G1230" s="375">
        <f>$G$6</f>
        <v>2020</v>
      </c>
      <c r="H1230" s="375"/>
      <c r="I1230" s="375"/>
      <c r="J1230" s="375"/>
      <c r="K1230" s="263"/>
      <c r="L1230" s="375">
        <f>$L$6</f>
        <v>2035</v>
      </c>
      <c r="M1230" s="375"/>
      <c r="N1230" s="375"/>
      <c r="O1230" s="375"/>
    </row>
    <row r="1231" spans="1:15" s="236" customFormat="1" x14ac:dyDescent="0.3">
      <c r="A1231" s="254"/>
      <c r="B1231" s="268" t="str">
        <f>$B$7</f>
        <v>FT</v>
      </c>
      <c r="C1231" s="268" t="str">
        <f>$C$7</f>
        <v>PT</v>
      </c>
      <c r="D1231" s="268" t="str">
        <f>$D$7</f>
        <v>SE</v>
      </c>
      <c r="E1231" s="268" t="str">
        <f>$E$7</f>
        <v>Total</v>
      </c>
      <c r="F1231" s="268"/>
      <c r="G1231" s="268" t="str">
        <f>$G$7</f>
        <v>FT</v>
      </c>
      <c r="H1231" s="268" t="str">
        <f>$H$7</f>
        <v>PT</v>
      </c>
      <c r="I1231" s="268" t="str">
        <f>$I$7</f>
        <v>SE</v>
      </c>
      <c r="J1231" s="268" t="str">
        <f>$J$7</f>
        <v>Total</v>
      </c>
      <c r="K1231" s="268"/>
      <c r="L1231" s="268" t="str">
        <f>$L$7</f>
        <v>FT</v>
      </c>
      <c r="M1231" s="268" t="str">
        <f>$M$7</f>
        <v>PT</v>
      </c>
      <c r="N1231" s="268" t="str">
        <f>$N$7</f>
        <v>SE</v>
      </c>
      <c r="O1231" s="268" t="str">
        <f>$O$7</f>
        <v>Total</v>
      </c>
    </row>
    <row r="1232" spans="1:15" s="236" customFormat="1" x14ac:dyDescent="0.3">
      <c r="A1232" s="258"/>
      <c r="B1232" s="239"/>
      <c r="C1232" s="239"/>
      <c r="D1232" s="239"/>
      <c r="E1232" s="239"/>
      <c r="F1232" s="239"/>
      <c r="G1232" s="239"/>
      <c r="H1232" s="239"/>
      <c r="I1232" s="239"/>
      <c r="J1232" s="239"/>
      <c r="K1232" s="239"/>
      <c r="L1232" s="239"/>
      <c r="M1232" s="239"/>
      <c r="N1232" s="239"/>
      <c r="O1232" s="239"/>
    </row>
    <row r="1233" spans="1:15" s="236" customFormat="1" x14ac:dyDescent="0.3">
      <c r="A1233" s="237" t="str">
        <f>name!E$4</f>
        <v>Managers, directors and senior officials</v>
      </c>
      <c r="B1233" s="302">
        <v>4.1803096320672006</v>
      </c>
      <c r="C1233" s="302">
        <v>2.7968862771812599</v>
      </c>
      <c r="D1233" s="302">
        <v>0.20908140929762578</v>
      </c>
      <c r="E1233" s="302">
        <f>SUM(B1233:D1233)</f>
        <v>7.186277318546086</v>
      </c>
      <c r="F1233" s="303"/>
      <c r="G1233" s="302">
        <v>5.2872678751189035</v>
      </c>
      <c r="H1233" s="302">
        <v>3.8470417956016902</v>
      </c>
      <c r="I1233" s="302">
        <v>0.40926815048731874</v>
      </c>
      <c r="J1233" s="302">
        <f>SUM(G1233:I1233)</f>
        <v>9.5435778212079132</v>
      </c>
      <c r="K1233" s="303"/>
      <c r="L1233" s="302">
        <v>6.3417096168029099</v>
      </c>
      <c r="M1233" s="302">
        <v>6.140012247953071</v>
      </c>
      <c r="N1233" s="302">
        <v>0.4435810756916429</v>
      </c>
      <c r="O1233" s="302">
        <f>SUM(L1233:N1233)</f>
        <v>12.925302940447624</v>
      </c>
    </row>
    <row r="1234" spans="1:15" s="236" customFormat="1" x14ac:dyDescent="0.3">
      <c r="A1234" s="237" t="str">
        <f>name!E$5</f>
        <v>Professional occupations</v>
      </c>
      <c r="B1234" s="302">
        <v>2.7906305633193904</v>
      </c>
      <c r="C1234" s="302">
        <v>1.6868287144173462</v>
      </c>
      <c r="D1234" s="302">
        <v>0.91850629013124963</v>
      </c>
      <c r="E1234" s="302">
        <f t="shared" ref="E1234:E1241" si="525">SUM(B1234:D1234)</f>
        <v>5.3959655678679859</v>
      </c>
      <c r="F1234" s="303"/>
      <c r="G1234" s="302">
        <v>4.2736287820623531</v>
      </c>
      <c r="H1234" s="302">
        <v>2.7845821995822324</v>
      </c>
      <c r="I1234" s="302">
        <v>1.5522516102882857</v>
      </c>
      <c r="J1234" s="302">
        <f t="shared" ref="J1234:J1236" si="526">SUM(G1234:I1234)</f>
        <v>8.6104625919328708</v>
      </c>
      <c r="K1234" s="303"/>
      <c r="L1234" s="302">
        <v>4.5999825378034744</v>
      </c>
      <c r="M1234" s="302">
        <v>3.9256747437614861</v>
      </c>
      <c r="N1234" s="302">
        <v>1.7375115687912535</v>
      </c>
      <c r="O1234" s="302">
        <f t="shared" ref="O1234:O1241" si="527">SUM(L1234:N1234)</f>
        <v>10.263168850356214</v>
      </c>
    </row>
    <row r="1235" spans="1:15" s="236" customFormat="1" x14ac:dyDescent="0.3">
      <c r="A1235" s="237" t="str">
        <f>name!E$6</f>
        <v>Associate professional occupations</v>
      </c>
      <c r="B1235" s="302">
        <v>3.3326581518600915</v>
      </c>
      <c r="C1235" s="302">
        <v>2.7241130659792927</v>
      </c>
      <c r="D1235" s="302">
        <v>2.8686263860514902</v>
      </c>
      <c r="E1235" s="302">
        <f t="shared" si="525"/>
        <v>8.9253976038908753</v>
      </c>
      <c r="F1235" s="303"/>
      <c r="G1235" s="302">
        <v>4.7475590963230436</v>
      </c>
      <c r="H1235" s="302">
        <v>3.6675045922755061</v>
      </c>
      <c r="I1235" s="302">
        <v>4.8822938921685983</v>
      </c>
      <c r="J1235" s="302">
        <f t="shared" si="526"/>
        <v>13.297357580767148</v>
      </c>
      <c r="K1235" s="303"/>
      <c r="L1235" s="302">
        <v>4.8964675492285226</v>
      </c>
      <c r="M1235" s="302">
        <v>3.4309719159352134</v>
      </c>
      <c r="N1235" s="302">
        <v>5.8814684408304565</v>
      </c>
      <c r="O1235" s="302">
        <f t="shared" si="527"/>
        <v>14.208907905994192</v>
      </c>
    </row>
    <row r="1236" spans="1:15" s="236" customFormat="1" x14ac:dyDescent="0.3">
      <c r="A1236" s="237" t="str">
        <f>name!E$7</f>
        <v>Administrative and secretarial occupations</v>
      </c>
      <c r="B1236" s="302">
        <v>1.0856017203025317</v>
      </c>
      <c r="C1236" s="302">
        <v>3.7051603990256012</v>
      </c>
      <c r="D1236" s="302">
        <v>9.0209461281746964E-2</v>
      </c>
      <c r="E1236" s="302">
        <f t="shared" si="525"/>
        <v>4.8809715806098799</v>
      </c>
      <c r="F1236" s="303"/>
      <c r="G1236" s="302">
        <v>1.2299118853611799</v>
      </c>
      <c r="H1236" s="302">
        <v>3.6751402952695251</v>
      </c>
      <c r="I1236" s="302">
        <v>0.11083424114907274</v>
      </c>
      <c r="J1236" s="302">
        <f t="shared" si="526"/>
        <v>5.0158864217797774</v>
      </c>
      <c r="K1236" s="303"/>
      <c r="L1236" s="302">
        <v>0.77975921908927914</v>
      </c>
      <c r="M1236" s="302">
        <v>2.3203415362601763</v>
      </c>
      <c r="N1236" s="302">
        <v>8.3915906437448451E-2</v>
      </c>
      <c r="O1236" s="302">
        <f t="shared" si="527"/>
        <v>3.1840166617869037</v>
      </c>
    </row>
    <row r="1237" spans="1:15" s="236" customFormat="1" x14ac:dyDescent="0.3">
      <c r="A1237" s="237" t="str">
        <f>name!E$8</f>
        <v>Skilled trades occupations</v>
      </c>
      <c r="B1237" s="302">
        <v>2.1859342326415963</v>
      </c>
      <c r="C1237" s="302">
        <v>1.3224372316063577</v>
      </c>
      <c r="D1237" s="302">
        <v>0.38745048463256332</v>
      </c>
      <c r="E1237" s="302">
        <f t="shared" si="525"/>
        <v>3.8958219488805175</v>
      </c>
      <c r="F1237" s="303"/>
      <c r="G1237" s="302">
        <v>2.503172382408752</v>
      </c>
      <c r="H1237" s="302">
        <v>1.3796809574448139</v>
      </c>
      <c r="I1237" s="302">
        <v>0.62312664551940578</v>
      </c>
      <c r="J1237" s="302">
        <f>SUM(G1237:I1237)</f>
        <v>4.5059799853729716</v>
      </c>
      <c r="K1237" s="303"/>
      <c r="L1237" s="302">
        <v>2.3061716907773442</v>
      </c>
      <c r="M1237" s="302">
        <v>2.5338735533248218</v>
      </c>
      <c r="N1237" s="302">
        <v>0.79350220246796044</v>
      </c>
      <c r="O1237" s="302">
        <f t="shared" si="527"/>
        <v>5.6335474465701267</v>
      </c>
    </row>
    <row r="1238" spans="1:15" s="236" customFormat="1" x14ac:dyDescent="0.3">
      <c r="A1238" s="237" t="str">
        <f>name!E$9</f>
        <v>Caring, leisure and other service occupations</v>
      </c>
      <c r="B1238" s="302">
        <v>1.4800940434257781</v>
      </c>
      <c r="C1238" s="302">
        <v>3.262937434820028</v>
      </c>
      <c r="D1238" s="302">
        <v>0.30487538683418985</v>
      </c>
      <c r="E1238" s="302">
        <f t="shared" si="525"/>
        <v>5.0479068650799954</v>
      </c>
      <c r="F1238" s="303"/>
      <c r="G1238" s="302">
        <v>1.5881234725339735</v>
      </c>
      <c r="H1238" s="302">
        <v>3.0204162960973124</v>
      </c>
      <c r="I1238" s="302">
        <v>0.42804608851914855</v>
      </c>
      <c r="J1238" s="302">
        <f t="shared" ref="J1238:J1241" si="528">SUM(G1238:I1238)</f>
        <v>5.0365858571504347</v>
      </c>
      <c r="K1238" s="303"/>
      <c r="L1238" s="302">
        <v>1.4374638487435454</v>
      </c>
      <c r="M1238" s="302">
        <v>3.165855201086992</v>
      </c>
      <c r="N1238" s="302">
        <v>0.39549105970780413</v>
      </c>
      <c r="O1238" s="302">
        <f t="shared" si="527"/>
        <v>4.9988101095383408</v>
      </c>
    </row>
    <row r="1239" spans="1:15" s="236" customFormat="1" x14ac:dyDescent="0.3">
      <c r="A1239" s="237" t="str">
        <f>name!E$10</f>
        <v>Sales and customer service occupations</v>
      </c>
      <c r="B1239" s="302">
        <v>0.90337754777156709</v>
      </c>
      <c r="C1239" s="302">
        <v>1.9702095543516225</v>
      </c>
      <c r="D1239" s="302">
        <v>4.6827588260582774E-2</v>
      </c>
      <c r="E1239" s="302">
        <f t="shared" si="525"/>
        <v>2.9204146903837724</v>
      </c>
      <c r="F1239" s="303"/>
      <c r="G1239" s="302">
        <v>0.98210484116324459</v>
      </c>
      <c r="H1239" s="302">
        <v>2.0285629586742302</v>
      </c>
      <c r="I1239" s="302">
        <v>6.8095179197234443E-2</v>
      </c>
      <c r="J1239" s="302">
        <f t="shared" si="528"/>
        <v>3.0787629790347091</v>
      </c>
      <c r="K1239" s="303"/>
      <c r="L1239" s="302">
        <v>0.97202769934144029</v>
      </c>
      <c r="M1239" s="302">
        <v>2.2428346831619836</v>
      </c>
      <c r="N1239" s="302">
        <v>5.8024586347845512E-2</v>
      </c>
      <c r="O1239" s="302">
        <f t="shared" si="527"/>
        <v>3.2728869688512692</v>
      </c>
    </row>
    <row r="1240" spans="1:15" s="236" customFormat="1" x14ac:dyDescent="0.3">
      <c r="A1240" s="237" t="str">
        <f>name!E$11</f>
        <v>Process, plant and machine operatives</v>
      </c>
      <c r="B1240" s="302">
        <v>0.21783028762645507</v>
      </c>
      <c r="C1240" s="302">
        <v>0.25838298705010199</v>
      </c>
      <c r="D1240" s="302">
        <v>2.3616424590295122E-2</v>
      </c>
      <c r="E1240" s="302">
        <f t="shared" si="525"/>
        <v>0.49982969926685217</v>
      </c>
      <c r="F1240" s="303"/>
      <c r="G1240" s="302">
        <v>0.21882456506563794</v>
      </c>
      <c r="H1240" s="302">
        <v>0.29937335533834764</v>
      </c>
      <c r="I1240" s="302">
        <v>4.0147655414344383E-2</v>
      </c>
      <c r="J1240" s="302">
        <f t="shared" si="528"/>
        <v>0.55834557581833</v>
      </c>
      <c r="K1240" s="303"/>
      <c r="L1240" s="302">
        <v>0.17235083399148124</v>
      </c>
      <c r="M1240" s="302">
        <v>0.34770844503484072</v>
      </c>
      <c r="N1240" s="302">
        <v>5.5986073233814299E-2</v>
      </c>
      <c r="O1240" s="302">
        <f t="shared" si="527"/>
        <v>0.57604535226013631</v>
      </c>
    </row>
    <row r="1241" spans="1:15" s="236" customFormat="1" x14ac:dyDescent="0.3">
      <c r="A1241" s="237" t="str">
        <f>name!E$12</f>
        <v>Elementary occupations</v>
      </c>
      <c r="B1241" s="302">
        <v>0.64856382088276654</v>
      </c>
      <c r="C1241" s="302">
        <v>5.0140443357362141</v>
      </c>
      <c r="D1241" s="302">
        <v>7.38065689983739E-2</v>
      </c>
      <c r="E1241" s="302">
        <f t="shared" si="525"/>
        <v>5.7364147256173545</v>
      </c>
      <c r="F1241" s="303"/>
      <c r="G1241" s="302">
        <v>0.66940709994931624</v>
      </c>
      <c r="H1241" s="302">
        <v>4.5056975497657508</v>
      </c>
      <c r="I1241" s="302">
        <v>7.8936537386488717E-2</v>
      </c>
      <c r="J1241" s="302">
        <f t="shared" si="528"/>
        <v>5.2540411871015555</v>
      </c>
      <c r="K1241" s="303"/>
      <c r="L1241" s="302">
        <v>0.57406700415896705</v>
      </c>
      <c r="M1241" s="302">
        <v>3.2897276734951744</v>
      </c>
      <c r="N1241" s="302">
        <v>9.2519086846196974E-2</v>
      </c>
      <c r="O1241" s="302">
        <f t="shared" si="527"/>
        <v>3.9563137645003383</v>
      </c>
    </row>
    <row r="1242" spans="1:15" s="236" customFormat="1" x14ac:dyDescent="0.3">
      <c r="A1242" s="237"/>
      <c r="B1242" s="302"/>
      <c r="C1242" s="302"/>
      <c r="D1242" s="302"/>
      <c r="E1242" s="302"/>
      <c r="F1242" s="303"/>
      <c r="G1242" s="302"/>
      <c r="H1242" s="302"/>
      <c r="I1242" s="302"/>
      <c r="J1242" s="302"/>
      <c r="K1242" s="303"/>
      <c r="L1242" s="302"/>
      <c r="M1242" s="302"/>
      <c r="N1242" s="302"/>
      <c r="O1242" s="302"/>
    </row>
    <row r="1243" spans="1:15" s="236" customFormat="1" x14ac:dyDescent="0.3">
      <c r="A1243" s="244" t="s">
        <v>32</v>
      </c>
      <c r="B1243" s="311">
        <f>SUM(B1233:B1241)</f>
        <v>16.824999999897376</v>
      </c>
      <c r="C1243" s="311">
        <f t="shared" ref="C1243:E1243" si="529">SUM(C1233:C1241)</f>
        <v>22.741000000167823</v>
      </c>
      <c r="D1243" s="311">
        <f t="shared" si="529"/>
        <v>4.923000000078118</v>
      </c>
      <c r="E1243" s="311">
        <f t="shared" si="529"/>
        <v>44.489000000143321</v>
      </c>
      <c r="F1243" s="311"/>
      <c r="G1243" s="311">
        <f t="shared" ref="G1243:J1243" si="530">SUM(G1233:G1241)</f>
        <v>21.499999999986407</v>
      </c>
      <c r="H1243" s="311">
        <f t="shared" si="530"/>
        <v>25.208000000049402</v>
      </c>
      <c r="I1243" s="311">
        <f t="shared" si="530"/>
        <v>8.1930000001298957</v>
      </c>
      <c r="J1243" s="311">
        <f t="shared" si="530"/>
        <v>54.901000000165709</v>
      </c>
      <c r="K1243" s="311"/>
      <c r="L1243" s="311">
        <f t="shared" ref="L1243:O1243" si="531">SUM(L1233:L1241)</f>
        <v>22.079999999936959</v>
      </c>
      <c r="M1243" s="311">
        <f t="shared" si="531"/>
        <v>27.397000000013758</v>
      </c>
      <c r="N1243" s="311">
        <f t="shared" si="531"/>
        <v>9.5420000003544256</v>
      </c>
      <c r="O1243" s="311">
        <f t="shared" si="531"/>
        <v>59.019000000305141</v>
      </c>
    </row>
    <row r="1244" spans="1:15" s="236" customFormat="1" x14ac:dyDescent="0.3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37"/>
      <c r="M1244" s="237"/>
      <c r="N1244" s="240"/>
    </row>
    <row r="1245" spans="1:15" s="236" customFormat="1" x14ac:dyDescent="0.3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37"/>
      <c r="M1245" s="237"/>
      <c r="N1245" s="240"/>
      <c r="O1245" s="251" t="s">
        <v>35</v>
      </c>
    </row>
    <row r="1246" spans="1:15" s="236" customFormat="1" x14ac:dyDescent="0.3">
      <c r="A1246" s="242"/>
      <c r="B1246" s="242"/>
      <c r="C1246" s="242"/>
      <c r="D1246" s="242"/>
      <c r="E1246" s="242"/>
      <c r="F1246" s="242"/>
      <c r="G1246" s="242"/>
      <c r="H1246" s="242"/>
      <c r="I1246" s="242"/>
      <c r="J1246" s="242"/>
      <c r="K1246" s="242"/>
      <c r="L1246" s="242"/>
      <c r="M1246" s="242"/>
      <c r="N1246" s="242"/>
      <c r="O1246" s="242"/>
    </row>
    <row r="1247" spans="1:15" s="236" customFormat="1" x14ac:dyDescent="0.3">
      <c r="A1247" s="241" t="str">
        <f>name!A76</f>
        <v>Membership organisations</v>
      </c>
      <c r="B1247" s="375">
        <f>$B$6</f>
        <v>2015</v>
      </c>
      <c r="C1247" s="375"/>
      <c r="D1247" s="375"/>
      <c r="E1247" s="375"/>
      <c r="F1247" s="263"/>
      <c r="G1247" s="375">
        <f>$G$6</f>
        <v>2020</v>
      </c>
      <c r="H1247" s="375"/>
      <c r="I1247" s="375"/>
      <c r="J1247" s="375"/>
      <c r="K1247" s="263"/>
      <c r="L1247" s="375">
        <f>$L$6</f>
        <v>2035</v>
      </c>
      <c r="M1247" s="375"/>
      <c r="N1247" s="375"/>
      <c r="O1247" s="375"/>
    </row>
    <row r="1248" spans="1:15" s="236" customFormat="1" x14ac:dyDescent="0.3">
      <c r="A1248" s="254"/>
      <c r="B1248" s="268" t="str">
        <f>$B$7</f>
        <v>FT</v>
      </c>
      <c r="C1248" s="268" t="str">
        <f>$C$7</f>
        <v>PT</v>
      </c>
      <c r="D1248" s="268" t="str">
        <f>$D$7</f>
        <v>SE</v>
      </c>
      <c r="E1248" s="268" t="str">
        <f>$E$7</f>
        <v>Total</v>
      </c>
      <c r="F1248" s="268"/>
      <c r="G1248" s="268" t="str">
        <f>$G$7</f>
        <v>FT</v>
      </c>
      <c r="H1248" s="268" t="str">
        <f>$H$7</f>
        <v>PT</v>
      </c>
      <c r="I1248" s="268" t="str">
        <f>$I$7</f>
        <v>SE</v>
      </c>
      <c r="J1248" s="268" t="str">
        <f>$J$7</f>
        <v>Total</v>
      </c>
      <c r="K1248" s="268"/>
      <c r="L1248" s="268" t="str">
        <f>$L$7</f>
        <v>FT</v>
      </c>
      <c r="M1248" s="268" t="str">
        <f>$M$7</f>
        <v>PT</v>
      </c>
      <c r="N1248" s="268" t="str">
        <f>$N$7</f>
        <v>SE</v>
      </c>
      <c r="O1248" s="268" t="str">
        <f>$O$7</f>
        <v>Total</v>
      </c>
    </row>
    <row r="1249" spans="1:15" s="236" customFormat="1" x14ac:dyDescent="0.3">
      <c r="A1249" s="258"/>
      <c r="B1249" s="239"/>
      <c r="C1249" s="239"/>
      <c r="D1249" s="239"/>
      <c r="E1249" s="239"/>
      <c r="F1249" s="239"/>
      <c r="G1249" s="239"/>
      <c r="H1249" s="239"/>
      <c r="I1249" s="239"/>
      <c r="J1249" s="239"/>
      <c r="K1249" s="239"/>
      <c r="L1249" s="239"/>
      <c r="M1249" s="239"/>
      <c r="N1249" s="239"/>
      <c r="O1249" s="239"/>
    </row>
    <row r="1250" spans="1:15" s="236" customFormat="1" x14ac:dyDescent="0.3">
      <c r="A1250" s="237" t="str">
        <f>name!E$4</f>
        <v>Managers, directors and senior officials</v>
      </c>
      <c r="B1250" s="302">
        <v>2.8008085062213088</v>
      </c>
      <c r="C1250" s="302">
        <v>1.1376468541111309</v>
      </c>
      <c r="D1250" s="302">
        <v>0.48564207490180988</v>
      </c>
      <c r="E1250" s="302">
        <f>SUM(B1250:D1250)</f>
        <v>4.4240974352342493</v>
      </c>
      <c r="F1250" s="303"/>
      <c r="G1250" s="302">
        <v>1.9538545186452683</v>
      </c>
      <c r="H1250" s="302">
        <v>1.3066459068065026</v>
      </c>
      <c r="I1250" s="302">
        <v>0.4144469996131952</v>
      </c>
      <c r="J1250" s="302">
        <f>SUM(G1250:I1250)</f>
        <v>3.6749474250649663</v>
      </c>
      <c r="K1250" s="303"/>
      <c r="L1250" s="302">
        <v>2.3343863477325502</v>
      </c>
      <c r="M1250" s="302">
        <v>1.912408700983715</v>
      </c>
      <c r="N1250" s="302">
        <v>0.2162252492370087</v>
      </c>
      <c r="O1250" s="302">
        <f>SUM(L1250:N1250)</f>
        <v>4.4630202979532738</v>
      </c>
    </row>
    <row r="1251" spans="1:15" s="236" customFormat="1" x14ac:dyDescent="0.3">
      <c r="A1251" s="237" t="str">
        <f>name!E$5</f>
        <v>Professional occupations</v>
      </c>
      <c r="B1251" s="302">
        <v>5.8332058770198936</v>
      </c>
      <c r="C1251" s="302">
        <v>1.7217527895043629</v>
      </c>
      <c r="D1251" s="302">
        <v>5.5165953722976004</v>
      </c>
      <c r="E1251" s="302">
        <f t="shared" ref="E1251:E1258" si="532">SUM(B1251:D1251)</f>
        <v>13.071554038821857</v>
      </c>
      <c r="F1251" s="303"/>
      <c r="G1251" s="302">
        <v>4.136398823957232</v>
      </c>
      <c r="H1251" s="302">
        <v>1.7390513810612043</v>
      </c>
      <c r="I1251" s="302">
        <v>4.9987244416976395</v>
      </c>
      <c r="J1251" s="302">
        <f t="shared" ref="J1251:J1253" si="533">SUM(G1251:I1251)</f>
        <v>10.874174646716076</v>
      </c>
      <c r="K1251" s="303"/>
      <c r="L1251" s="302">
        <v>4.3561654840461204</v>
      </c>
      <c r="M1251" s="302">
        <v>1.9216187160041569</v>
      </c>
      <c r="N1251" s="302">
        <v>5.4477495935878926</v>
      </c>
      <c r="O1251" s="302">
        <f t="shared" ref="O1251:O1258" si="534">SUM(L1251:N1251)</f>
        <v>11.725533793638171</v>
      </c>
    </row>
    <row r="1252" spans="1:15" s="236" customFormat="1" x14ac:dyDescent="0.3">
      <c r="A1252" s="237" t="str">
        <f>name!E$6</f>
        <v>Associate professional occupations</v>
      </c>
      <c r="B1252" s="302">
        <v>2.2806831420308815</v>
      </c>
      <c r="C1252" s="302">
        <v>1.359453117664748</v>
      </c>
      <c r="D1252" s="302">
        <v>2.4368822841185414</v>
      </c>
      <c r="E1252" s="302">
        <f t="shared" si="532"/>
        <v>6.0770185438141713</v>
      </c>
      <c r="F1252" s="303"/>
      <c r="G1252" s="302">
        <v>1.5696680320026057</v>
      </c>
      <c r="H1252" s="302">
        <v>1.1309107473265734</v>
      </c>
      <c r="I1252" s="302">
        <v>3.1352319698051598</v>
      </c>
      <c r="J1252" s="302">
        <f t="shared" si="533"/>
        <v>5.8358107491343389</v>
      </c>
      <c r="K1252" s="303"/>
      <c r="L1252" s="302">
        <v>1.3883406662205184</v>
      </c>
      <c r="M1252" s="302">
        <v>1.0438095838929313</v>
      </c>
      <c r="N1252" s="302">
        <v>3.4637353184541553</v>
      </c>
      <c r="O1252" s="302">
        <f t="shared" si="534"/>
        <v>5.8958855685676053</v>
      </c>
    </row>
    <row r="1253" spans="1:15" s="236" customFormat="1" x14ac:dyDescent="0.3">
      <c r="A1253" s="237" t="str">
        <f>name!E$7</f>
        <v>Administrative and secretarial occupations</v>
      </c>
      <c r="B1253" s="302">
        <v>1.846318915534749</v>
      </c>
      <c r="C1253" s="302">
        <v>2.135577421324971</v>
      </c>
      <c r="D1253" s="302">
        <v>1.2887921301978877</v>
      </c>
      <c r="E1253" s="302">
        <f t="shared" si="532"/>
        <v>5.2706884670576075</v>
      </c>
      <c r="F1253" s="303"/>
      <c r="G1253" s="302">
        <v>1.2354303969435245</v>
      </c>
      <c r="H1253" s="302">
        <v>1.7429605439920233</v>
      </c>
      <c r="I1253" s="302">
        <v>1.587667903452666</v>
      </c>
      <c r="J1253" s="302">
        <f t="shared" si="533"/>
        <v>4.5660588443882135</v>
      </c>
      <c r="K1253" s="303"/>
      <c r="L1253" s="302">
        <v>0.74987204884386338</v>
      </c>
      <c r="M1253" s="302">
        <v>1.2042338274886966</v>
      </c>
      <c r="N1253" s="302">
        <v>0.86459297135765567</v>
      </c>
      <c r="O1253" s="302">
        <f t="shared" si="534"/>
        <v>2.8186988476902157</v>
      </c>
    </row>
    <row r="1254" spans="1:15" s="236" customFormat="1" x14ac:dyDescent="0.3">
      <c r="A1254" s="237" t="str">
        <f>name!E$8</f>
        <v>Skilled trades occupations</v>
      </c>
      <c r="B1254" s="302">
        <v>0.43050237231109212</v>
      </c>
      <c r="C1254" s="302">
        <v>0.45195404559828634</v>
      </c>
      <c r="D1254" s="302">
        <v>0.53945397896181579</v>
      </c>
      <c r="E1254" s="302">
        <f t="shared" si="532"/>
        <v>1.4219103968711941</v>
      </c>
      <c r="F1254" s="303"/>
      <c r="G1254" s="302">
        <v>0.23627513768381458</v>
      </c>
      <c r="H1254" s="302">
        <v>0.27381403865227866</v>
      </c>
      <c r="I1254" s="302">
        <v>0.25655270104959893</v>
      </c>
      <c r="J1254" s="302">
        <f>SUM(G1254:I1254)</f>
        <v>0.76664187738569223</v>
      </c>
      <c r="K1254" s="303"/>
      <c r="L1254" s="302">
        <v>0.29115538334409391</v>
      </c>
      <c r="M1254" s="302">
        <v>0.43137882735678262</v>
      </c>
      <c r="N1254" s="302">
        <v>0.32841178395728227</v>
      </c>
      <c r="O1254" s="302">
        <f t="shared" si="534"/>
        <v>1.0509459946581587</v>
      </c>
    </row>
    <row r="1255" spans="1:15" s="236" customFormat="1" x14ac:dyDescent="0.3">
      <c r="A1255" s="237" t="str">
        <f>name!E$9</f>
        <v>Caring, leisure and other service occupations</v>
      </c>
      <c r="B1255" s="302">
        <v>0.88218739470292218</v>
      </c>
      <c r="C1255" s="302">
        <v>0.91261927747014471</v>
      </c>
      <c r="D1255" s="302">
        <v>0.6899962832752331</v>
      </c>
      <c r="E1255" s="302">
        <f t="shared" si="532"/>
        <v>2.4848029554483002</v>
      </c>
      <c r="F1255" s="303"/>
      <c r="G1255" s="302">
        <v>0.59954787519744823</v>
      </c>
      <c r="H1255" s="302">
        <v>0.64054779535994333</v>
      </c>
      <c r="I1255" s="302">
        <v>0.92239399351723206</v>
      </c>
      <c r="J1255" s="302">
        <f t="shared" ref="J1255:J1258" si="535">SUM(G1255:I1255)</f>
        <v>2.1624896640746236</v>
      </c>
      <c r="K1255" s="303"/>
      <c r="L1255" s="302">
        <v>0.53475696787806515</v>
      </c>
      <c r="M1255" s="302">
        <v>0.559429349722671</v>
      </c>
      <c r="N1255" s="302">
        <v>1.1926636035839941</v>
      </c>
      <c r="O1255" s="302">
        <f t="shared" si="534"/>
        <v>2.2868499211847304</v>
      </c>
    </row>
    <row r="1256" spans="1:15" s="236" customFormat="1" x14ac:dyDescent="0.3">
      <c r="A1256" s="237" t="str">
        <f>name!E$10</f>
        <v>Sales and customer service occupations</v>
      </c>
      <c r="B1256" s="302">
        <v>0.39087451929442668</v>
      </c>
      <c r="C1256" s="302">
        <v>0.39760191749264162</v>
      </c>
      <c r="D1256" s="302">
        <v>0.16421039133682711</v>
      </c>
      <c r="E1256" s="302">
        <f t="shared" si="532"/>
        <v>0.95268682812389538</v>
      </c>
      <c r="F1256" s="303"/>
      <c r="G1256" s="302">
        <v>0.25305397701759008</v>
      </c>
      <c r="H1256" s="302">
        <v>0.33297224069851677</v>
      </c>
      <c r="I1256" s="302">
        <v>0.1133964958108522</v>
      </c>
      <c r="J1256" s="302">
        <f t="shared" si="535"/>
        <v>0.69942271352695906</v>
      </c>
      <c r="K1256" s="303"/>
      <c r="L1256" s="302">
        <v>0.27593388074132158</v>
      </c>
      <c r="M1256" s="302">
        <v>0.41898939963792686</v>
      </c>
      <c r="N1256" s="302">
        <v>9.6706803102936292E-2</v>
      </c>
      <c r="O1256" s="302">
        <f t="shared" si="534"/>
        <v>0.79163008348218478</v>
      </c>
    </row>
    <row r="1257" spans="1:15" s="236" customFormat="1" x14ac:dyDescent="0.3">
      <c r="A1257" s="237" t="str">
        <f>name!E$11</f>
        <v>Process, plant and machine operatives</v>
      </c>
      <c r="B1257" s="302">
        <v>0.11653139373072308</v>
      </c>
      <c r="C1257" s="302">
        <v>0.24419532901526628</v>
      </c>
      <c r="D1257" s="302">
        <v>0.22924757000701707</v>
      </c>
      <c r="E1257" s="302">
        <f t="shared" si="532"/>
        <v>0.5899742927530065</v>
      </c>
      <c r="F1257" s="303"/>
      <c r="G1257" s="302">
        <v>4.6958031723825684E-2</v>
      </c>
      <c r="H1257" s="302">
        <v>0.16196683376120433</v>
      </c>
      <c r="I1257" s="302">
        <v>0.30233413585010011</v>
      </c>
      <c r="J1257" s="302">
        <f t="shared" si="535"/>
        <v>0.51125900133513014</v>
      </c>
      <c r="K1257" s="303"/>
      <c r="L1257" s="302">
        <v>3.6920317750341172E-2</v>
      </c>
      <c r="M1257" s="302">
        <v>0.26902530851812062</v>
      </c>
      <c r="N1257" s="302">
        <v>0.27424795890247278</v>
      </c>
      <c r="O1257" s="302">
        <f t="shared" si="534"/>
        <v>0.58019358517093456</v>
      </c>
    </row>
    <row r="1258" spans="1:15" s="236" customFormat="1" x14ac:dyDescent="0.3">
      <c r="A1258" s="237" t="str">
        <f>name!E$12</f>
        <v>Elementary occupations</v>
      </c>
      <c r="B1258" s="302">
        <v>0.2048878789218771</v>
      </c>
      <c r="C1258" s="302">
        <v>1.9111992478192061</v>
      </c>
      <c r="D1258" s="302">
        <v>0.86517991495334989</v>
      </c>
      <c r="E1258" s="302">
        <f t="shared" si="532"/>
        <v>2.9812670416944331</v>
      </c>
      <c r="F1258" s="303"/>
      <c r="G1258" s="302">
        <v>0.10181320680054858</v>
      </c>
      <c r="H1258" s="302">
        <v>1.1881305123624353</v>
      </c>
      <c r="I1258" s="302">
        <v>0.83225135933431449</v>
      </c>
      <c r="J1258" s="302">
        <f t="shared" si="535"/>
        <v>2.1221950784972985</v>
      </c>
      <c r="K1258" s="303"/>
      <c r="L1258" s="302">
        <v>8.8468903377931882E-2</v>
      </c>
      <c r="M1258" s="302">
        <v>0.53410628640093327</v>
      </c>
      <c r="N1258" s="302">
        <v>0.81266671803112311</v>
      </c>
      <c r="O1258" s="302">
        <f t="shared" si="534"/>
        <v>1.4352419078099883</v>
      </c>
    </row>
    <row r="1259" spans="1:15" s="236" customFormat="1" x14ac:dyDescent="0.3">
      <c r="A1259" s="237"/>
      <c r="B1259" s="302"/>
      <c r="C1259" s="302"/>
      <c r="D1259" s="302"/>
      <c r="E1259" s="302"/>
      <c r="F1259" s="303"/>
      <c r="G1259" s="302"/>
      <c r="H1259" s="302"/>
      <c r="I1259" s="302"/>
      <c r="J1259" s="302"/>
      <c r="K1259" s="303"/>
      <c r="L1259" s="302"/>
      <c r="M1259" s="302"/>
      <c r="N1259" s="302"/>
      <c r="O1259" s="302"/>
    </row>
    <row r="1260" spans="1:15" s="236" customFormat="1" x14ac:dyDescent="0.3">
      <c r="A1260" s="244" t="s">
        <v>32</v>
      </c>
      <c r="B1260" s="311">
        <f>SUM(B1250:B1258)</f>
        <v>14.785999999767874</v>
      </c>
      <c r="C1260" s="311">
        <f t="shared" ref="C1260:E1260" si="536">SUM(C1250:C1258)</f>
        <v>10.272000000000759</v>
      </c>
      <c r="D1260" s="311">
        <f t="shared" si="536"/>
        <v>12.216000000050082</v>
      </c>
      <c r="E1260" s="311">
        <f t="shared" si="536"/>
        <v>37.273999999818713</v>
      </c>
      <c r="F1260" s="311"/>
      <c r="G1260" s="311">
        <f t="shared" ref="G1260:J1260" si="537">SUM(G1250:G1258)</f>
        <v>10.132999999971856</v>
      </c>
      <c r="H1260" s="311">
        <f t="shared" si="537"/>
        <v>8.5170000000206816</v>
      </c>
      <c r="I1260" s="311">
        <f t="shared" si="537"/>
        <v>12.563000000130758</v>
      </c>
      <c r="J1260" s="311">
        <f t="shared" si="537"/>
        <v>31.213000000123298</v>
      </c>
      <c r="K1260" s="311"/>
      <c r="L1260" s="311">
        <f t="shared" ref="L1260:O1260" si="538">SUM(L1250:L1258)</f>
        <v>10.055999999934807</v>
      </c>
      <c r="M1260" s="311">
        <f t="shared" si="538"/>
        <v>8.295000000005933</v>
      </c>
      <c r="N1260" s="311">
        <f t="shared" si="538"/>
        <v>12.697000000214521</v>
      </c>
      <c r="O1260" s="311">
        <f t="shared" si="538"/>
        <v>31.048000000155263</v>
      </c>
    </row>
    <row r="1261" spans="1:15" s="236" customFormat="1" x14ac:dyDescent="0.3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37"/>
      <c r="M1261" s="237"/>
      <c r="N1261" s="240"/>
    </row>
    <row r="1262" spans="1:15" s="236" customFormat="1" x14ac:dyDescent="0.3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37"/>
      <c r="M1262" s="237"/>
      <c r="N1262" s="240"/>
      <c r="O1262" s="251" t="s">
        <v>35</v>
      </c>
    </row>
    <row r="1263" spans="1:15" s="236" customFormat="1" x14ac:dyDescent="0.3">
      <c r="A1263" s="242"/>
      <c r="B1263" s="242"/>
      <c r="C1263" s="242"/>
      <c r="D1263" s="242"/>
      <c r="E1263" s="242"/>
      <c r="F1263" s="242"/>
      <c r="G1263" s="242"/>
      <c r="H1263" s="242"/>
      <c r="I1263" s="242"/>
      <c r="J1263" s="242"/>
      <c r="K1263" s="242"/>
      <c r="L1263" s="242"/>
      <c r="M1263" s="242"/>
      <c r="N1263" s="242"/>
      <c r="O1263" s="242"/>
    </row>
    <row r="1264" spans="1:15" s="236" customFormat="1" x14ac:dyDescent="0.3">
      <c r="A1264" s="241" t="str">
        <f>name!A77</f>
        <v>Repair of goods</v>
      </c>
      <c r="B1264" s="375">
        <f>$B$6</f>
        <v>2015</v>
      </c>
      <c r="C1264" s="375"/>
      <c r="D1264" s="375"/>
      <c r="E1264" s="375"/>
      <c r="F1264" s="263"/>
      <c r="G1264" s="375">
        <f>$G$6</f>
        <v>2020</v>
      </c>
      <c r="H1264" s="375"/>
      <c r="I1264" s="375"/>
      <c r="J1264" s="375"/>
      <c r="K1264" s="263"/>
      <c r="L1264" s="375">
        <f>$L$6</f>
        <v>2035</v>
      </c>
      <c r="M1264" s="375"/>
      <c r="N1264" s="375"/>
      <c r="O1264" s="375"/>
    </row>
    <row r="1265" spans="1:15" s="236" customFormat="1" x14ac:dyDescent="0.3">
      <c r="A1265" s="254"/>
      <c r="B1265" s="268" t="str">
        <f>$B$7</f>
        <v>FT</v>
      </c>
      <c r="C1265" s="268" t="str">
        <f>$C$7</f>
        <v>PT</v>
      </c>
      <c r="D1265" s="268" t="str">
        <f>$D$7</f>
        <v>SE</v>
      </c>
      <c r="E1265" s="268" t="str">
        <f>$E$7</f>
        <v>Total</v>
      </c>
      <c r="F1265" s="268"/>
      <c r="G1265" s="268" t="str">
        <f>$G$7</f>
        <v>FT</v>
      </c>
      <c r="H1265" s="268" t="str">
        <f>$H$7</f>
        <v>PT</v>
      </c>
      <c r="I1265" s="268" t="str">
        <f>$I$7</f>
        <v>SE</v>
      </c>
      <c r="J1265" s="268" t="str">
        <f>$J$7</f>
        <v>Total</v>
      </c>
      <c r="K1265" s="268"/>
      <c r="L1265" s="268" t="str">
        <f>$L$7</f>
        <v>FT</v>
      </c>
      <c r="M1265" s="268" t="str">
        <f>$M$7</f>
        <v>PT</v>
      </c>
      <c r="N1265" s="268" t="str">
        <f>$N$7</f>
        <v>SE</v>
      </c>
      <c r="O1265" s="268" t="str">
        <f>$O$7</f>
        <v>Total</v>
      </c>
    </row>
    <row r="1266" spans="1:15" s="236" customFormat="1" x14ac:dyDescent="0.3">
      <c r="A1266" s="258"/>
      <c r="B1266" s="239"/>
      <c r="C1266" s="239"/>
      <c r="D1266" s="239"/>
      <c r="E1266" s="239"/>
      <c r="F1266" s="239"/>
      <c r="G1266" s="239"/>
      <c r="H1266" s="239"/>
      <c r="I1266" s="239"/>
      <c r="J1266" s="239"/>
      <c r="K1266" s="239"/>
      <c r="L1266" s="239"/>
      <c r="M1266" s="239"/>
      <c r="N1266" s="239"/>
      <c r="O1266" s="239"/>
    </row>
    <row r="1267" spans="1:15" s="236" customFormat="1" x14ac:dyDescent="0.3">
      <c r="A1267" s="237" t="str">
        <f>name!E$4</f>
        <v>Managers, directors and senior officials</v>
      </c>
      <c r="B1267" s="302">
        <v>1.511144752470913</v>
      </c>
      <c r="C1267" s="302">
        <v>5.8578113749324229E-2</v>
      </c>
      <c r="D1267" s="302">
        <v>1.6136281951189786</v>
      </c>
      <c r="E1267" s="302">
        <f>SUM(B1267:D1267)</f>
        <v>3.1833510613392155</v>
      </c>
      <c r="F1267" s="303"/>
      <c r="G1267" s="302">
        <v>0.91769162888178391</v>
      </c>
      <c r="H1267" s="302">
        <v>2.4195018383776645E-2</v>
      </c>
      <c r="I1267" s="302">
        <v>1.5627492741143023</v>
      </c>
      <c r="J1267" s="302">
        <f>SUM(G1267:I1267)</f>
        <v>2.504635921379863</v>
      </c>
      <c r="K1267" s="303"/>
      <c r="L1267" s="302">
        <v>1.0570679788208959</v>
      </c>
      <c r="M1267" s="302">
        <v>2.7373391824855951E-2</v>
      </c>
      <c r="N1267" s="302">
        <v>1.6373918402126133</v>
      </c>
      <c r="O1267" s="302">
        <f>SUM(L1267:N1267)</f>
        <v>2.7218332108583652</v>
      </c>
    </row>
    <row r="1268" spans="1:15" s="236" customFormat="1" x14ac:dyDescent="0.3">
      <c r="A1268" s="237" t="str">
        <f>name!E$5</f>
        <v>Professional occupations</v>
      </c>
      <c r="B1268" s="302">
        <v>1.7409116892542409</v>
      </c>
      <c r="C1268" s="302">
        <v>9.1024329022508219E-2</v>
      </c>
      <c r="D1268" s="302">
        <v>1.1017695122914688</v>
      </c>
      <c r="E1268" s="302">
        <f t="shared" ref="E1268:E1275" si="539">SUM(B1268:D1268)</f>
        <v>2.9337055305682176</v>
      </c>
      <c r="F1268" s="303"/>
      <c r="G1268" s="302">
        <v>1.1560748786306836</v>
      </c>
      <c r="H1268" s="302">
        <v>3.5234286006305439E-2</v>
      </c>
      <c r="I1268" s="302">
        <v>0.97565737588532442</v>
      </c>
      <c r="J1268" s="302">
        <f t="shared" ref="J1268:J1270" si="540">SUM(G1268:I1268)</f>
        <v>2.1669665405223135</v>
      </c>
      <c r="K1268" s="303"/>
      <c r="L1268" s="302">
        <v>1.497145244987238</v>
      </c>
      <c r="M1268" s="302">
        <v>4.3000993722472021E-2</v>
      </c>
      <c r="N1268" s="302">
        <v>0.96847304126483169</v>
      </c>
      <c r="O1268" s="302">
        <f t="shared" ref="O1268:O1275" si="541">SUM(L1268:N1268)</f>
        <v>2.5086192799745417</v>
      </c>
    </row>
    <row r="1269" spans="1:15" s="236" customFormat="1" x14ac:dyDescent="0.3">
      <c r="A1269" s="237" t="str">
        <f>name!E$6</f>
        <v>Associate professional occupations</v>
      </c>
      <c r="B1269" s="302">
        <v>0.88717133247312219</v>
      </c>
      <c r="C1269" s="302">
        <v>0.11169958753345406</v>
      </c>
      <c r="D1269" s="302">
        <v>0.56384744736521475</v>
      </c>
      <c r="E1269" s="302">
        <f t="shared" si="539"/>
        <v>1.562718367371791</v>
      </c>
      <c r="F1269" s="303"/>
      <c r="G1269" s="302">
        <v>0.55829783929047672</v>
      </c>
      <c r="H1269" s="302">
        <v>3.5797991609572262E-2</v>
      </c>
      <c r="I1269" s="302">
        <v>0.51759622521026594</v>
      </c>
      <c r="J1269" s="302">
        <f t="shared" si="540"/>
        <v>1.111692056110315</v>
      </c>
      <c r="K1269" s="303"/>
      <c r="L1269" s="302">
        <v>0.60120269451210218</v>
      </c>
      <c r="M1269" s="302">
        <v>3.6941988416345668E-2</v>
      </c>
      <c r="N1269" s="302">
        <v>0.57486740017323912</v>
      </c>
      <c r="O1269" s="302">
        <f t="shared" si="541"/>
        <v>1.2130120831016868</v>
      </c>
    </row>
    <row r="1270" spans="1:15" s="236" customFormat="1" x14ac:dyDescent="0.3">
      <c r="A1270" s="237" t="str">
        <f>name!E$7</f>
        <v>Administrative and secretarial occupations</v>
      </c>
      <c r="B1270" s="302">
        <v>0.47309768352471343</v>
      </c>
      <c r="C1270" s="302">
        <v>0.14849058461938536</v>
      </c>
      <c r="D1270" s="302">
        <v>0.10142805399555499</v>
      </c>
      <c r="E1270" s="302">
        <f t="shared" si="539"/>
        <v>0.72301632213965372</v>
      </c>
      <c r="F1270" s="303"/>
      <c r="G1270" s="302">
        <v>0.30669845421184566</v>
      </c>
      <c r="H1270" s="302">
        <v>4.3405319305867329E-2</v>
      </c>
      <c r="I1270" s="302">
        <v>0.10019914849021004</v>
      </c>
      <c r="J1270" s="302">
        <f t="shared" si="540"/>
        <v>0.45030292200792305</v>
      </c>
      <c r="K1270" s="303"/>
      <c r="L1270" s="302">
        <v>0.29253453115692046</v>
      </c>
      <c r="M1270" s="302">
        <v>3.7441255775568963E-2</v>
      </c>
      <c r="N1270" s="302">
        <v>8.459058330722169E-2</v>
      </c>
      <c r="O1270" s="302">
        <f t="shared" si="541"/>
        <v>0.4145663702397111</v>
      </c>
    </row>
    <row r="1271" spans="1:15" s="236" customFormat="1" x14ac:dyDescent="0.3">
      <c r="A1271" s="237" t="str">
        <f>name!E$8</f>
        <v>Skilled trades occupations</v>
      </c>
      <c r="B1271" s="302">
        <v>0.52396579962391687</v>
      </c>
      <c r="C1271" s="302">
        <v>6.2740776701303402E-2</v>
      </c>
      <c r="D1271" s="302">
        <v>0.94390710610103112</v>
      </c>
      <c r="E1271" s="302">
        <f t="shared" si="539"/>
        <v>1.5306136824262513</v>
      </c>
      <c r="F1271" s="303"/>
      <c r="G1271" s="302">
        <v>0.20787955923720455</v>
      </c>
      <c r="H1271" s="302">
        <v>1.2853658294557384E-2</v>
      </c>
      <c r="I1271" s="302">
        <v>0.79671125206361015</v>
      </c>
      <c r="J1271" s="302">
        <f>SUM(G1271:I1271)</f>
        <v>1.0174444695953722</v>
      </c>
      <c r="K1271" s="303"/>
      <c r="L1271" s="302">
        <v>0.19902196725592486</v>
      </c>
      <c r="M1271" s="302">
        <v>1.2438766433986351E-2</v>
      </c>
      <c r="N1271" s="302">
        <v>1.0308884041446811</v>
      </c>
      <c r="O1271" s="302">
        <f t="shared" si="541"/>
        <v>1.2423491378345923</v>
      </c>
    </row>
    <row r="1272" spans="1:15" s="236" customFormat="1" x14ac:dyDescent="0.3">
      <c r="A1272" s="237" t="str">
        <f>name!E$9</f>
        <v>Caring, leisure and other service occupations</v>
      </c>
      <c r="B1272" s="302">
        <v>5.6102790077742763E-2</v>
      </c>
      <c r="C1272" s="302">
        <v>1.8948514351135651E-2</v>
      </c>
      <c r="D1272" s="302">
        <v>6.3750422145891578E-2</v>
      </c>
      <c r="E1272" s="302">
        <f t="shared" si="539"/>
        <v>0.13880172657477</v>
      </c>
      <c r="F1272" s="303"/>
      <c r="G1272" s="302">
        <v>3.3264363526433902E-2</v>
      </c>
      <c r="H1272" s="302">
        <v>4.6275627839142365E-3</v>
      </c>
      <c r="I1272" s="302">
        <v>7.9843955270193917E-2</v>
      </c>
      <c r="J1272" s="302">
        <f t="shared" ref="J1272:J1275" si="542">SUM(G1272:I1272)</f>
        <v>0.11773588158054205</v>
      </c>
      <c r="K1272" s="303"/>
      <c r="L1272" s="302">
        <v>4.0028414113487829E-2</v>
      </c>
      <c r="M1272" s="302">
        <v>3.942623603407607E-3</v>
      </c>
      <c r="N1272" s="302">
        <v>0.12266761832115826</v>
      </c>
      <c r="O1272" s="302">
        <f t="shared" si="541"/>
        <v>0.1666386560380537</v>
      </c>
    </row>
    <row r="1273" spans="1:15" s="236" customFormat="1" x14ac:dyDescent="0.3">
      <c r="A1273" s="237" t="str">
        <f>name!E$10</f>
        <v>Sales and customer service occupations</v>
      </c>
      <c r="B1273" s="302">
        <v>1.3878450565438119</v>
      </c>
      <c r="C1273" s="302">
        <v>1.8333153185426858</v>
      </c>
      <c r="D1273" s="302">
        <v>1.0974326439253841</v>
      </c>
      <c r="E1273" s="302">
        <f t="shared" si="539"/>
        <v>4.3185930190118818</v>
      </c>
      <c r="F1273" s="303"/>
      <c r="G1273" s="302">
        <v>0.69387920492966815</v>
      </c>
      <c r="H1273" s="302">
        <v>0.4763519244019559</v>
      </c>
      <c r="I1273" s="302">
        <v>0.70351736061750125</v>
      </c>
      <c r="J1273" s="302">
        <f t="shared" si="542"/>
        <v>1.8737484899491252</v>
      </c>
      <c r="K1273" s="303"/>
      <c r="L1273" s="302">
        <v>0.44175751338302849</v>
      </c>
      <c r="M1273" s="302">
        <v>0.45073568781153439</v>
      </c>
      <c r="N1273" s="302">
        <v>0.44120021872285209</v>
      </c>
      <c r="O1273" s="302">
        <f t="shared" si="541"/>
        <v>1.3336934199174149</v>
      </c>
    </row>
    <row r="1274" spans="1:15" s="236" customFormat="1" x14ac:dyDescent="0.3">
      <c r="A1274" s="237" t="str">
        <f>name!E$11</f>
        <v>Process, plant and machine operatives</v>
      </c>
      <c r="B1274" s="302">
        <v>0.53105217301013263</v>
      </c>
      <c r="C1274" s="302">
        <v>6.1242902429453523E-2</v>
      </c>
      <c r="D1274" s="302">
        <v>0.35688087168756566</v>
      </c>
      <c r="E1274" s="302">
        <f t="shared" si="539"/>
        <v>0.94917594712715181</v>
      </c>
      <c r="F1274" s="303"/>
      <c r="G1274" s="302">
        <v>0.22177960115402101</v>
      </c>
      <c r="H1274" s="302">
        <v>1.4261743380342064E-2</v>
      </c>
      <c r="I1274" s="302">
        <v>0.39824206758559721</v>
      </c>
      <c r="J1274" s="302">
        <f t="shared" si="542"/>
        <v>0.63428341211996031</v>
      </c>
      <c r="K1274" s="303"/>
      <c r="L1274" s="302">
        <v>0.21105243888291078</v>
      </c>
      <c r="M1274" s="302">
        <v>2.6941047373720939E-2</v>
      </c>
      <c r="N1274" s="302">
        <v>0.56890504241169271</v>
      </c>
      <c r="O1274" s="302">
        <f t="shared" si="541"/>
        <v>0.80689852866832446</v>
      </c>
    </row>
    <row r="1275" spans="1:15" s="236" customFormat="1" x14ac:dyDescent="0.3">
      <c r="A1275" s="237" t="str">
        <f>name!E$12</f>
        <v>Elementary occupations</v>
      </c>
      <c r="B1275" s="302">
        <v>0.76370872294410785</v>
      </c>
      <c r="C1275" s="302">
        <v>0.36795987316263323</v>
      </c>
      <c r="D1275" s="302">
        <v>7.3355747442315392E-2</v>
      </c>
      <c r="E1275" s="302">
        <f t="shared" si="539"/>
        <v>1.2050243435490566</v>
      </c>
      <c r="F1275" s="303"/>
      <c r="G1275" s="302">
        <v>0.35643447009030116</v>
      </c>
      <c r="H1275" s="302">
        <v>8.2272495845931576E-2</v>
      </c>
      <c r="I1275" s="302">
        <v>3.9483340741340724E-2</v>
      </c>
      <c r="J1275" s="302">
        <f t="shared" si="542"/>
        <v>0.47819030667757345</v>
      </c>
      <c r="K1275" s="303"/>
      <c r="L1275" s="302">
        <v>0.36218921682843169</v>
      </c>
      <c r="M1275" s="302">
        <v>7.3184245034520257E-2</v>
      </c>
      <c r="N1275" s="302">
        <v>4.7015851472953313E-2</v>
      </c>
      <c r="O1275" s="302">
        <f t="shared" si="541"/>
        <v>0.48238931333590529</v>
      </c>
    </row>
    <row r="1276" spans="1:15" s="236" customFormat="1" x14ac:dyDescent="0.3">
      <c r="A1276" s="237"/>
      <c r="B1276" s="302"/>
      <c r="C1276" s="302"/>
      <c r="D1276" s="302"/>
      <c r="E1276" s="302"/>
      <c r="F1276" s="303"/>
      <c r="G1276" s="302"/>
      <c r="H1276" s="302"/>
      <c r="I1276" s="302"/>
      <c r="J1276" s="302"/>
      <c r="K1276" s="303"/>
      <c r="L1276" s="302"/>
      <c r="M1276" s="302"/>
      <c r="N1276" s="302"/>
      <c r="O1276" s="302"/>
    </row>
    <row r="1277" spans="1:15" s="236" customFormat="1" x14ac:dyDescent="0.3">
      <c r="A1277" s="244" t="s">
        <v>32</v>
      </c>
      <c r="B1277" s="311">
        <f>SUM(B1267:B1275)</f>
        <v>7.8749999999227009</v>
      </c>
      <c r="C1277" s="311">
        <f t="shared" ref="C1277:E1277" si="543">SUM(C1267:C1275)</f>
        <v>2.7540000001118834</v>
      </c>
      <c r="D1277" s="311">
        <f t="shared" si="543"/>
        <v>5.9160000000734057</v>
      </c>
      <c r="E1277" s="311">
        <f t="shared" si="543"/>
        <v>16.54500000010799</v>
      </c>
      <c r="F1277" s="311"/>
      <c r="G1277" s="311">
        <f t="shared" ref="G1277:J1277" si="544">SUM(G1267:G1275)</f>
        <v>4.4519999999524194</v>
      </c>
      <c r="H1277" s="311">
        <f t="shared" si="544"/>
        <v>0.72900000001222276</v>
      </c>
      <c r="I1277" s="311">
        <f t="shared" si="544"/>
        <v>5.1739999999783448</v>
      </c>
      <c r="J1277" s="311">
        <f t="shared" si="544"/>
        <v>10.354999999942988</v>
      </c>
      <c r="K1277" s="311"/>
      <c r="L1277" s="311">
        <f t="shared" ref="L1277:O1277" si="545">SUM(L1267:L1275)</f>
        <v>4.7019999999409396</v>
      </c>
      <c r="M1277" s="311">
        <f t="shared" si="545"/>
        <v>0.71199999999641217</v>
      </c>
      <c r="N1277" s="311">
        <f t="shared" si="545"/>
        <v>5.4760000000312443</v>
      </c>
      <c r="O1277" s="311">
        <f t="shared" si="545"/>
        <v>10.889999999968595</v>
      </c>
    </row>
    <row r="1278" spans="1:15" s="236" customFormat="1" x14ac:dyDescent="0.3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37"/>
      <c r="M1278" s="237"/>
      <c r="N1278" s="240"/>
    </row>
    <row r="1279" spans="1:15" s="236" customFormat="1" x14ac:dyDescent="0.3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37"/>
      <c r="M1279" s="237"/>
      <c r="N1279" s="240"/>
      <c r="O1279" s="251" t="s">
        <v>35</v>
      </c>
    </row>
    <row r="1280" spans="1:15" s="236" customFormat="1" x14ac:dyDescent="0.3">
      <c r="A1280" s="242"/>
      <c r="B1280" s="242"/>
      <c r="C1280" s="242"/>
      <c r="D1280" s="242"/>
      <c r="E1280" s="242"/>
      <c r="F1280" s="242"/>
      <c r="G1280" s="242"/>
      <c r="H1280" s="242"/>
      <c r="I1280" s="242"/>
      <c r="J1280" s="242"/>
      <c r="K1280" s="242"/>
      <c r="L1280" s="242"/>
      <c r="M1280" s="242"/>
      <c r="N1280" s="242"/>
      <c r="O1280" s="242"/>
    </row>
    <row r="1281" spans="1:15" s="236" customFormat="1" x14ac:dyDescent="0.3">
      <c r="A1281" s="241" t="str">
        <f>name!A78</f>
        <v>Other personal service</v>
      </c>
      <c r="B1281" s="375">
        <f>$B$6</f>
        <v>2015</v>
      </c>
      <c r="C1281" s="375"/>
      <c r="D1281" s="375"/>
      <c r="E1281" s="375"/>
      <c r="F1281" s="263"/>
      <c r="G1281" s="375">
        <f>$G$6</f>
        <v>2020</v>
      </c>
      <c r="H1281" s="375"/>
      <c r="I1281" s="375"/>
      <c r="J1281" s="375"/>
      <c r="K1281" s="263"/>
      <c r="L1281" s="375">
        <f>$L$6</f>
        <v>2035</v>
      </c>
      <c r="M1281" s="375"/>
      <c r="N1281" s="375"/>
      <c r="O1281" s="375"/>
    </row>
    <row r="1282" spans="1:15" s="236" customFormat="1" x14ac:dyDescent="0.3">
      <c r="A1282" s="254"/>
      <c r="B1282" s="268" t="str">
        <f>$B$7</f>
        <v>FT</v>
      </c>
      <c r="C1282" s="268" t="str">
        <f>$C$7</f>
        <v>PT</v>
      </c>
      <c r="D1282" s="268" t="str">
        <f>$D$7</f>
        <v>SE</v>
      </c>
      <c r="E1282" s="268" t="str">
        <f>$E$7</f>
        <v>Total</v>
      </c>
      <c r="F1282" s="268"/>
      <c r="G1282" s="268" t="str">
        <f>$G$7</f>
        <v>FT</v>
      </c>
      <c r="H1282" s="268" t="str">
        <f>$H$7</f>
        <v>PT</v>
      </c>
      <c r="I1282" s="268" t="str">
        <f>$I$7</f>
        <v>SE</v>
      </c>
      <c r="J1282" s="268" t="str">
        <f>$J$7</f>
        <v>Total</v>
      </c>
      <c r="K1282" s="268"/>
      <c r="L1282" s="268" t="str">
        <f>$L$7</f>
        <v>FT</v>
      </c>
      <c r="M1282" s="268" t="str">
        <f>$M$7</f>
        <v>PT</v>
      </c>
      <c r="N1282" s="268" t="str">
        <f>$N$7</f>
        <v>SE</v>
      </c>
      <c r="O1282" s="268" t="str">
        <f>$O$7</f>
        <v>Total</v>
      </c>
    </row>
    <row r="1283" spans="1:15" s="236" customFormat="1" x14ac:dyDescent="0.3">
      <c r="A1283" s="258"/>
      <c r="B1283" s="239"/>
      <c r="C1283" s="239"/>
      <c r="D1283" s="239"/>
      <c r="E1283" s="239"/>
      <c r="F1283" s="239"/>
      <c r="G1283" s="239"/>
      <c r="H1283" s="239"/>
      <c r="I1283" s="239"/>
      <c r="J1283" s="239"/>
      <c r="K1283" s="239"/>
      <c r="L1283" s="239"/>
      <c r="M1283" s="239"/>
      <c r="N1283" s="239"/>
      <c r="O1283" s="239"/>
    </row>
    <row r="1284" spans="1:15" s="236" customFormat="1" x14ac:dyDescent="0.3">
      <c r="A1284" s="237" t="str">
        <f>name!E$4</f>
        <v>Managers, directors and senior officials</v>
      </c>
      <c r="B1284" s="302">
        <v>3.0116082109279745</v>
      </c>
      <c r="C1284" s="302">
        <v>0.92952825878755529</v>
      </c>
      <c r="D1284" s="302">
        <v>1.1367439946470723</v>
      </c>
      <c r="E1284" s="302">
        <f>SUM(B1284:D1284)</f>
        <v>5.0778804643626021</v>
      </c>
      <c r="F1284" s="303"/>
      <c r="G1284" s="302">
        <v>3.46847322834468</v>
      </c>
      <c r="H1284" s="302">
        <v>1.3493014933755307</v>
      </c>
      <c r="I1284" s="302">
        <v>0.81247278447939975</v>
      </c>
      <c r="J1284" s="302">
        <f>SUM(G1284:I1284)</f>
        <v>5.6302475061996109</v>
      </c>
      <c r="K1284" s="303"/>
      <c r="L1284" s="302">
        <v>4.5410069008494345</v>
      </c>
      <c r="M1284" s="302">
        <v>2.2443835771114591</v>
      </c>
      <c r="N1284" s="302">
        <v>0.77162023010076441</v>
      </c>
      <c r="O1284" s="302">
        <f>SUM(L1284:N1284)</f>
        <v>7.5570107080616582</v>
      </c>
    </row>
    <row r="1285" spans="1:15" s="236" customFormat="1" x14ac:dyDescent="0.3">
      <c r="A1285" s="237" t="str">
        <f>name!E$5</f>
        <v>Professional occupations</v>
      </c>
      <c r="B1285" s="302">
        <v>1.733673945498168</v>
      </c>
      <c r="C1285" s="302">
        <v>0.58652162823133791</v>
      </c>
      <c r="D1285" s="302">
        <v>1.2608631320273667</v>
      </c>
      <c r="E1285" s="302">
        <f t="shared" ref="E1285:E1292" si="546">SUM(B1285:D1285)</f>
        <v>3.5810587057568721</v>
      </c>
      <c r="F1285" s="303"/>
      <c r="G1285" s="302">
        <v>2.0057615411497265</v>
      </c>
      <c r="H1285" s="302">
        <v>0.75842842090978391</v>
      </c>
      <c r="I1285" s="302">
        <v>1.9441599884495204</v>
      </c>
      <c r="J1285" s="302">
        <f t="shared" ref="J1285:J1287" si="547">SUM(G1285:I1285)</f>
        <v>4.7083499505090307</v>
      </c>
      <c r="K1285" s="303"/>
      <c r="L1285" s="302">
        <v>2.3236508556179625</v>
      </c>
      <c r="M1285" s="302">
        <v>0.97528841908635977</v>
      </c>
      <c r="N1285" s="302">
        <v>1.6130809643083694</v>
      </c>
      <c r="O1285" s="302">
        <f t="shared" ref="O1285:O1292" si="548">SUM(L1285:N1285)</f>
        <v>4.9120202390126915</v>
      </c>
    </row>
    <row r="1286" spans="1:15" s="236" customFormat="1" x14ac:dyDescent="0.3">
      <c r="A1286" s="237" t="str">
        <f>name!E$6</f>
        <v>Associate professional occupations</v>
      </c>
      <c r="B1286" s="302">
        <v>1.3372260986565911</v>
      </c>
      <c r="C1286" s="302">
        <v>0.65921193769637809</v>
      </c>
      <c r="D1286" s="302">
        <v>2.4939634017383741</v>
      </c>
      <c r="E1286" s="302">
        <f t="shared" si="546"/>
        <v>4.4904014380913431</v>
      </c>
      <c r="F1286" s="303"/>
      <c r="G1286" s="302">
        <v>1.3448354394044577</v>
      </c>
      <c r="H1286" s="302">
        <v>0.73312296009552436</v>
      </c>
      <c r="I1286" s="302">
        <v>4.1844363509487472</v>
      </c>
      <c r="J1286" s="302">
        <f t="shared" si="547"/>
        <v>6.2623947504487294</v>
      </c>
      <c r="K1286" s="303"/>
      <c r="L1286" s="302">
        <v>1.3764989356349697</v>
      </c>
      <c r="M1286" s="302">
        <v>0.7848214175489916</v>
      </c>
      <c r="N1286" s="302">
        <v>3.9556951786666357</v>
      </c>
      <c r="O1286" s="302">
        <f t="shared" si="548"/>
        <v>6.1170155318505968</v>
      </c>
    </row>
    <row r="1287" spans="1:15" s="236" customFormat="1" x14ac:dyDescent="0.3">
      <c r="A1287" s="237" t="str">
        <f>name!E$7</f>
        <v>Administrative and secretarial occupations</v>
      </c>
      <c r="B1287" s="302">
        <v>0.58729689530513274</v>
      </c>
      <c r="C1287" s="302">
        <v>0.96512096662622482</v>
      </c>
      <c r="D1287" s="302">
        <v>0.14520671508475128</v>
      </c>
      <c r="E1287" s="302">
        <f t="shared" si="546"/>
        <v>1.6976245770161089</v>
      </c>
      <c r="F1287" s="303"/>
      <c r="G1287" s="302">
        <v>0.69051655061805262</v>
      </c>
      <c r="H1287" s="302">
        <v>1.0614841388119369</v>
      </c>
      <c r="I1287" s="302">
        <v>0.22398129119710594</v>
      </c>
      <c r="J1287" s="302">
        <f t="shared" si="547"/>
        <v>1.9759819806270955</v>
      </c>
      <c r="K1287" s="303"/>
      <c r="L1287" s="302">
        <v>0.46469188342812395</v>
      </c>
      <c r="M1287" s="302">
        <v>0.99925589513330326</v>
      </c>
      <c r="N1287" s="302">
        <v>0.90983345080477618</v>
      </c>
      <c r="O1287" s="302">
        <f t="shared" si="548"/>
        <v>2.3737812293662035</v>
      </c>
    </row>
    <row r="1288" spans="1:15" s="236" customFormat="1" x14ac:dyDescent="0.3">
      <c r="A1288" s="237" t="str">
        <f>name!E$8</f>
        <v>Skilled trades occupations</v>
      </c>
      <c r="B1288" s="302">
        <v>1.3663695925552455</v>
      </c>
      <c r="C1288" s="302">
        <v>0.44698579517631165</v>
      </c>
      <c r="D1288" s="302">
        <v>0.78617302410387735</v>
      </c>
      <c r="E1288" s="302">
        <f t="shared" si="546"/>
        <v>2.5995284118354345</v>
      </c>
      <c r="F1288" s="303"/>
      <c r="G1288" s="302">
        <v>1.1411646489268279</v>
      </c>
      <c r="H1288" s="302">
        <v>0.3618271730067612</v>
      </c>
      <c r="I1288" s="302">
        <v>0.81515674194804499</v>
      </c>
      <c r="J1288" s="302">
        <f>SUM(G1288:I1288)</f>
        <v>2.3181485638816341</v>
      </c>
      <c r="K1288" s="303"/>
      <c r="L1288" s="302">
        <v>1.3594582263591557</v>
      </c>
      <c r="M1288" s="302">
        <v>0.75062234843915976</v>
      </c>
      <c r="N1288" s="302">
        <v>0.89966031677164338</v>
      </c>
      <c r="O1288" s="302">
        <f t="shared" si="548"/>
        <v>3.0097408915699591</v>
      </c>
    </row>
    <row r="1289" spans="1:15" s="236" customFormat="1" x14ac:dyDescent="0.3">
      <c r="A1289" s="237" t="str">
        <f>name!E$9</f>
        <v>Caring, leisure and other service occupations</v>
      </c>
      <c r="B1289" s="302">
        <v>6.6365894881148781</v>
      </c>
      <c r="C1289" s="302">
        <v>5.968603207435133</v>
      </c>
      <c r="D1289" s="302">
        <v>8.7907233735950729</v>
      </c>
      <c r="E1289" s="302">
        <f t="shared" si="546"/>
        <v>21.395916069145084</v>
      </c>
      <c r="F1289" s="303"/>
      <c r="G1289" s="302">
        <v>6.5634432197161523</v>
      </c>
      <c r="H1289" s="302">
        <v>4.9004082197177983</v>
      </c>
      <c r="I1289" s="302">
        <v>17.712954269611988</v>
      </c>
      <c r="J1289" s="302">
        <f t="shared" ref="J1289:J1292" si="549">SUM(G1289:I1289)</f>
        <v>29.176805709045937</v>
      </c>
      <c r="K1289" s="303"/>
      <c r="L1289" s="302">
        <v>5.2927179256882786</v>
      </c>
      <c r="M1289" s="302">
        <v>3.4958984528380679</v>
      </c>
      <c r="N1289" s="302">
        <v>17.821456058873402</v>
      </c>
      <c r="O1289" s="302">
        <f t="shared" si="548"/>
        <v>26.610072437399747</v>
      </c>
    </row>
    <row r="1290" spans="1:15" s="236" customFormat="1" x14ac:dyDescent="0.3">
      <c r="A1290" s="237" t="str">
        <f>name!E$10</f>
        <v>Sales and customer service occupations</v>
      </c>
      <c r="B1290" s="302">
        <v>0.55776367829231088</v>
      </c>
      <c r="C1290" s="302">
        <v>0.90580959843928555</v>
      </c>
      <c r="D1290" s="302">
        <v>0.34836798142935943</v>
      </c>
      <c r="E1290" s="302">
        <f t="shared" si="546"/>
        <v>1.811941258160956</v>
      </c>
      <c r="F1290" s="303"/>
      <c r="G1290" s="302">
        <v>0.57408400421857531</v>
      </c>
      <c r="H1290" s="302">
        <v>0.89029555165673313</v>
      </c>
      <c r="I1290" s="302">
        <v>0.22772295515123192</v>
      </c>
      <c r="J1290" s="302">
        <f t="shared" si="549"/>
        <v>1.6921025110265404</v>
      </c>
      <c r="K1290" s="303"/>
      <c r="L1290" s="302">
        <v>0.6385455601380593</v>
      </c>
      <c r="M1290" s="302">
        <v>0.96157891118000338</v>
      </c>
      <c r="N1290" s="302">
        <v>0.13888180992056298</v>
      </c>
      <c r="O1290" s="302">
        <f t="shared" si="548"/>
        <v>1.7390062812386256</v>
      </c>
    </row>
    <row r="1291" spans="1:15" s="236" customFormat="1" x14ac:dyDescent="0.3">
      <c r="A1291" s="237" t="str">
        <f>name!E$11</f>
        <v>Process, plant and machine operatives</v>
      </c>
      <c r="B1291" s="302">
        <v>0.82069125340008553</v>
      </c>
      <c r="C1291" s="302">
        <v>0.50471378195306149</v>
      </c>
      <c r="D1291" s="302">
        <v>0.12954039273105922</v>
      </c>
      <c r="E1291" s="302">
        <f t="shared" si="546"/>
        <v>1.4549454280842062</v>
      </c>
      <c r="F1291" s="303"/>
      <c r="G1291" s="302">
        <v>0.53667653277441774</v>
      </c>
      <c r="H1291" s="302">
        <v>0.31694093501460102</v>
      </c>
      <c r="I1291" s="302">
        <v>0.20945288827426575</v>
      </c>
      <c r="J1291" s="302">
        <f t="shared" si="549"/>
        <v>1.0630703560632844</v>
      </c>
      <c r="K1291" s="303"/>
      <c r="L1291" s="302">
        <v>0.47795423862187758</v>
      </c>
      <c r="M1291" s="302">
        <v>0.2966968433130327</v>
      </c>
      <c r="N1291" s="302">
        <v>0.24859831554666237</v>
      </c>
      <c r="O1291" s="302">
        <f t="shared" si="548"/>
        <v>1.0232493974815726</v>
      </c>
    </row>
    <row r="1292" spans="1:15" s="236" customFormat="1" x14ac:dyDescent="0.3">
      <c r="A1292" s="237" t="str">
        <f>name!E$12</f>
        <v>Elementary occupations</v>
      </c>
      <c r="B1292" s="302">
        <v>1.2877808372386503</v>
      </c>
      <c r="C1292" s="302">
        <v>1.7255048258265049</v>
      </c>
      <c r="D1292" s="302">
        <v>0.73041798503760924</v>
      </c>
      <c r="E1292" s="302">
        <f t="shared" si="546"/>
        <v>3.7437036481027648</v>
      </c>
      <c r="F1292" s="303"/>
      <c r="G1292" s="302">
        <v>0.93904483470690958</v>
      </c>
      <c r="H1292" s="302">
        <v>1.2281911074350873</v>
      </c>
      <c r="I1292" s="302">
        <v>0.5126627293991719</v>
      </c>
      <c r="J1292" s="302">
        <f t="shared" si="549"/>
        <v>2.679898671541169</v>
      </c>
      <c r="K1292" s="303"/>
      <c r="L1292" s="302">
        <v>0.97347547360352549</v>
      </c>
      <c r="M1292" s="302">
        <v>0.80545413531898391</v>
      </c>
      <c r="N1292" s="302">
        <v>0.49917367523086592</v>
      </c>
      <c r="O1292" s="302">
        <f t="shared" si="548"/>
        <v>2.2781032841533753</v>
      </c>
    </row>
    <row r="1293" spans="1:15" s="236" customFormat="1" x14ac:dyDescent="0.3">
      <c r="A1293" s="237"/>
      <c r="B1293" s="302"/>
      <c r="C1293" s="302"/>
      <c r="D1293" s="302"/>
      <c r="E1293" s="302"/>
      <c r="F1293" s="303"/>
      <c r="G1293" s="302"/>
      <c r="H1293" s="302"/>
      <c r="I1293" s="302"/>
      <c r="J1293" s="302"/>
      <c r="K1293" s="303"/>
      <c r="L1293" s="302"/>
      <c r="M1293" s="302"/>
      <c r="N1293" s="302"/>
      <c r="O1293" s="302"/>
    </row>
    <row r="1294" spans="1:15" s="236" customFormat="1" x14ac:dyDescent="0.3">
      <c r="A1294" s="244" t="s">
        <v>32</v>
      </c>
      <c r="B1294" s="311">
        <f>SUM(B1284:B1292)</f>
        <v>17.338999999989035</v>
      </c>
      <c r="C1294" s="311">
        <f t="shared" ref="C1294:E1294" si="550">SUM(C1284:C1292)</f>
        <v>12.692000000171792</v>
      </c>
      <c r="D1294" s="311">
        <f t="shared" si="550"/>
        <v>15.822000000394542</v>
      </c>
      <c r="E1294" s="311">
        <f t="shared" si="550"/>
        <v>45.853000000555376</v>
      </c>
      <c r="F1294" s="311"/>
      <c r="G1294" s="311">
        <f t="shared" ref="G1294:J1294" si="551">SUM(G1284:G1292)</f>
        <v>17.263999999859799</v>
      </c>
      <c r="H1294" s="311">
        <f t="shared" si="551"/>
        <v>11.600000000023757</v>
      </c>
      <c r="I1294" s="311">
        <f t="shared" si="551"/>
        <v>26.642999999459477</v>
      </c>
      <c r="J1294" s="311">
        <f t="shared" si="551"/>
        <v>55.50699999934303</v>
      </c>
      <c r="K1294" s="311"/>
      <c r="L1294" s="311">
        <f t="shared" ref="L1294:O1294" si="552">SUM(L1284:L1292)</f>
        <v>17.447999999941384</v>
      </c>
      <c r="M1294" s="311">
        <f t="shared" si="552"/>
        <v>11.313999999969361</v>
      </c>
      <c r="N1294" s="311">
        <f t="shared" si="552"/>
        <v>26.858000000223683</v>
      </c>
      <c r="O1294" s="311">
        <f t="shared" si="552"/>
        <v>55.620000000134425</v>
      </c>
    </row>
    <row r="1295" spans="1:15" s="236" customFormat="1" x14ac:dyDescent="0.3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37"/>
      <c r="M1295" s="237"/>
      <c r="N1295" s="240"/>
    </row>
  </sheetData>
  <mergeCells count="228">
    <mergeCell ref="B1264:E1264"/>
    <mergeCell ref="G1264:J1264"/>
    <mergeCell ref="L1264:O1264"/>
    <mergeCell ref="B1281:E1281"/>
    <mergeCell ref="G1281:J1281"/>
    <mergeCell ref="L1281:O1281"/>
    <mergeCell ref="B1230:E1230"/>
    <mergeCell ref="G1230:J1230"/>
    <mergeCell ref="L1230:O1230"/>
    <mergeCell ref="B1247:E1247"/>
    <mergeCell ref="G1247:J1247"/>
    <mergeCell ref="L1247:O1247"/>
    <mergeCell ref="B1196:E1196"/>
    <mergeCell ref="G1196:J1196"/>
    <mergeCell ref="L1196:O1196"/>
    <mergeCell ref="B1213:E1213"/>
    <mergeCell ref="G1213:J1213"/>
    <mergeCell ref="L1213:O1213"/>
    <mergeCell ref="B1162:E1162"/>
    <mergeCell ref="G1162:J1162"/>
    <mergeCell ref="L1162:O1162"/>
    <mergeCell ref="B1179:E1179"/>
    <mergeCell ref="G1179:J1179"/>
    <mergeCell ref="L1179:O1179"/>
    <mergeCell ref="B1128:E1128"/>
    <mergeCell ref="G1128:J1128"/>
    <mergeCell ref="L1128:O1128"/>
    <mergeCell ref="B1145:E1145"/>
    <mergeCell ref="G1145:J1145"/>
    <mergeCell ref="L1145:O1145"/>
    <mergeCell ref="B1094:E1094"/>
    <mergeCell ref="G1094:J1094"/>
    <mergeCell ref="L1094:O1094"/>
    <mergeCell ref="B1111:E1111"/>
    <mergeCell ref="G1111:J1111"/>
    <mergeCell ref="L1111:O1111"/>
    <mergeCell ref="B1060:E1060"/>
    <mergeCell ref="G1060:J1060"/>
    <mergeCell ref="L1060:O1060"/>
    <mergeCell ref="B1077:E1077"/>
    <mergeCell ref="G1077:J1077"/>
    <mergeCell ref="L1077:O1077"/>
    <mergeCell ref="B1026:E1026"/>
    <mergeCell ref="G1026:J1026"/>
    <mergeCell ref="L1026:O1026"/>
    <mergeCell ref="B1043:E1043"/>
    <mergeCell ref="G1043:J1043"/>
    <mergeCell ref="L1043:O1043"/>
    <mergeCell ref="B992:E992"/>
    <mergeCell ref="G992:J992"/>
    <mergeCell ref="L992:O992"/>
    <mergeCell ref="B1009:E1009"/>
    <mergeCell ref="G1009:J1009"/>
    <mergeCell ref="L1009:O1009"/>
    <mergeCell ref="B958:E958"/>
    <mergeCell ref="G958:J958"/>
    <mergeCell ref="L958:O958"/>
    <mergeCell ref="B975:E975"/>
    <mergeCell ref="G975:J975"/>
    <mergeCell ref="L975:O975"/>
    <mergeCell ref="B924:E924"/>
    <mergeCell ref="G924:J924"/>
    <mergeCell ref="L924:O924"/>
    <mergeCell ref="B941:E941"/>
    <mergeCell ref="G941:J941"/>
    <mergeCell ref="L941:O941"/>
    <mergeCell ref="B890:E890"/>
    <mergeCell ref="G890:J890"/>
    <mergeCell ref="L890:O890"/>
    <mergeCell ref="B907:E907"/>
    <mergeCell ref="G907:J907"/>
    <mergeCell ref="L907:O907"/>
    <mergeCell ref="B856:E856"/>
    <mergeCell ref="G856:J856"/>
    <mergeCell ref="L856:O856"/>
    <mergeCell ref="B873:E873"/>
    <mergeCell ref="G873:J873"/>
    <mergeCell ref="L873:O873"/>
    <mergeCell ref="B822:E822"/>
    <mergeCell ref="G822:J822"/>
    <mergeCell ref="L822:O822"/>
    <mergeCell ref="B839:E839"/>
    <mergeCell ref="G839:J839"/>
    <mergeCell ref="L839:O839"/>
    <mergeCell ref="B788:E788"/>
    <mergeCell ref="G788:J788"/>
    <mergeCell ref="L788:O788"/>
    <mergeCell ref="B805:E805"/>
    <mergeCell ref="G805:J805"/>
    <mergeCell ref="L805:O805"/>
    <mergeCell ref="B754:E754"/>
    <mergeCell ref="G754:J754"/>
    <mergeCell ref="L754:O754"/>
    <mergeCell ref="B771:E771"/>
    <mergeCell ref="G771:J771"/>
    <mergeCell ref="L771:O771"/>
    <mergeCell ref="B720:E720"/>
    <mergeCell ref="G720:J720"/>
    <mergeCell ref="L720:O720"/>
    <mergeCell ref="B737:E737"/>
    <mergeCell ref="G737:J737"/>
    <mergeCell ref="L737:O737"/>
    <mergeCell ref="B686:E686"/>
    <mergeCell ref="G686:J686"/>
    <mergeCell ref="L686:O686"/>
    <mergeCell ref="B703:E703"/>
    <mergeCell ref="G703:J703"/>
    <mergeCell ref="L703:O703"/>
    <mergeCell ref="B652:E652"/>
    <mergeCell ref="G652:J652"/>
    <mergeCell ref="L652:O652"/>
    <mergeCell ref="B669:E669"/>
    <mergeCell ref="G669:J669"/>
    <mergeCell ref="L669:O669"/>
    <mergeCell ref="B618:E618"/>
    <mergeCell ref="G618:J618"/>
    <mergeCell ref="L618:O618"/>
    <mergeCell ref="B635:E635"/>
    <mergeCell ref="G635:J635"/>
    <mergeCell ref="L635:O635"/>
    <mergeCell ref="B584:E584"/>
    <mergeCell ref="G584:J584"/>
    <mergeCell ref="L584:O584"/>
    <mergeCell ref="B601:E601"/>
    <mergeCell ref="G601:J601"/>
    <mergeCell ref="L601:O601"/>
    <mergeCell ref="B550:E550"/>
    <mergeCell ref="G550:J550"/>
    <mergeCell ref="L550:O550"/>
    <mergeCell ref="B567:E567"/>
    <mergeCell ref="G567:J567"/>
    <mergeCell ref="L567:O567"/>
    <mergeCell ref="B516:E516"/>
    <mergeCell ref="G516:J516"/>
    <mergeCell ref="L516:O516"/>
    <mergeCell ref="B533:E533"/>
    <mergeCell ref="G533:J533"/>
    <mergeCell ref="L533:O533"/>
    <mergeCell ref="B482:E482"/>
    <mergeCell ref="G482:J482"/>
    <mergeCell ref="L482:O482"/>
    <mergeCell ref="B499:E499"/>
    <mergeCell ref="G499:J499"/>
    <mergeCell ref="L499:O499"/>
    <mergeCell ref="B448:E448"/>
    <mergeCell ref="G448:J448"/>
    <mergeCell ref="L448:O448"/>
    <mergeCell ref="B465:E465"/>
    <mergeCell ref="G465:J465"/>
    <mergeCell ref="L465:O465"/>
    <mergeCell ref="B414:E414"/>
    <mergeCell ref="G414:J414"/>
    <mergeCell ref="L414:O414"/>
    <mergeCell ref="B431:E431"/>
    <mergeCell ref="G431:J431"/>
    <mergeCell ref="L431:O431"/>
    <mergeCell ref="B380:E380"/>
    <mergeCell ref="G380:J380"/>
    <mergeCell ref="L380:O380"/>
    <mergeCell ref="B397:E397"/>
    <mergeCell ref="G397:J397"/>
    <mergeCell ref="L397:O397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25:E125"/>
    <mergeCell ref="G125:J125"/>
    <mergeCell ref="L125:O125"/>
    <mergeCell ref="B91:E91"/>
    <mergeCell ref="G91:J91"/>
    <mergeCell ref="L91:O91"/>
    <mergeCell ref="B176:E176"/>
    <mergeCell ref="G176:J176"/>
    <mergeCell ref="L176:O176"/>
    <mergeCell ref="B6:E6"/>
    <mergeCell ref="G6:J6"/>
    <mergeCell ref="L6:O6"/>
    <mergeCell ref="B23:E23"/>
    <mergeCell ref="G23:J23"/>
    <mergeCell ref="L23:O23"/>
    <mergeCell ref="B108:E108"/>
    <mergeCell ref="G108:J108"/>
    <mergeCell ref="L108:O108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2" fitToHeight="0" orientation="portrait" r:id="rId1"/>
  <rowBreaks count="18" manualBreakCount="18">
    <brk id="71" max="14" man="1"/>
    <brk id="139" max="14" man="1"/>
    <brk id="207" max="14" man="1"/>
    <brk id="275" max="14" man="1"/>
    <brk id="343" max="14" man="1"/>
    <brk id="411" max="14" man="1"/>
    <brk id="479" max="14" man="1"/>
    <brk id="547" max="14" man="1"/>
    <brk id="615" max="14" man="1"/>
    <brk id="683" max="14" man="1"/>
    <brk id="751" max="14" man="1"/>
    <brk id="819" max="14" man="1"/>
    <brk id="887" max="14" man="1"/>
    <brk id="955" max="14" man="1"/>
    <brk id="1023" max="14" man="1"/>
    <brk id="1091" max="14" man="1"/>
    <brk id="1159" max="14" man="1"/>
    <brk id="1227" max="14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AF90"/>
  <sheetViews>
    <sheetView showGridLines="0" zoomScale="85" zoomScaleNormal="85" workbookViewId="0"/>
  </sheetViews>
  <sheetFormatPr defaultRowHeight="12.45" x14ac:dyDescent="0.3"/>
  <cols>
    <col min="1" max="1" width="44.69140625" customWidth="1"/>
    <col min="2" max="6" width="10" customWidth="1"/>
    <col min="7" max="7" width="6.69140625" customWidth="1"/>
    <col min="8" max="10" width="13" customWidth="1"/>
    <col min="11" max="11" width="17" customWidth="1"/>
    <col min="12" max="12" width="44.69140625" customWidth="1"/>
    <col min="13" max="17" width="10" customWidth="1"/>
    <col min="18" max="18" width="6.69140625" customWidth="1"/>
    <col min="19" max="21" width="13" customWidth="1"/>
    <col min="22" max="22" width="16.15234375" customWidth="1"/>
    <col min="23" max="23" width="44.69140625" customWidth="1"/>
    <col min="24" max="28" width="10" customWidth="1"/>
    <col min="29" max="29" width="6.69140625" customWidth="1"/>
    <col min="30" max="32" width="13" customWidth="1"/>
  </cols>
  <sheetData>
    <row r="1" spans="1:32" ht="15.45" x14ac:dyDescent="0.4">
      <c r="A1" s="18" t="str">
        <f>CONCATENATE("Occupation Table 1  Employment Change by Occupation Group (SOC 2020) and Replacement Demand, ",B$6,"-",F$6,", ",Info!B5)</f>
        <v>Occupation Table 1  Employment Change by Occupation Group (SOC 2020) and Replacement Demand, 2015-2035, East</v>
      </c>
      <c r="L1" s="18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East</v>
      </c>
      <c r="W1" s="18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East</v>
      </c>
    </row>
    <row r="2" spans="1:32" x14ac:dyDescent="0.3">
      <c r="A2" s="1" t="s">
        <v>538</v>
      </c>
    </row>
    <row r="3" spans="1:32" x14ac:dyDescent="0.3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</row>
    <row r="4" spans="1:32" x14ac:dyDescent="0.3">
      <c r="A4" s="35"/>
      <c r="B4" s="35"/>
      <c r="C4" s="35"/>
      <c r="D4" s="35"/>
      <c r="E4" s="35"/>
      <c r="F4" s="35"/>
      <c r="H4" s="27" t="str">
        <f>CONCATENATE(D6,"-",F6)</f>
        <v>2020-2035</v>
      </c>
      <c r="I4" s="35"/>
      <c r="J4" s="35"/>
      <c r="L4" s="27" t="s">
        <v>98</v>
      </c>
      <c r="M4" s="35"/>
      <c r="N4" s="35"/>
      <c r="O4" s="35"/>
      <c r="P4" s="35"/>
      <c r="Q4" s="35"/>
      <c r="S4" s="27" t="str">
        <f>CONCATENATE(O6,"-",Q6)</f>
        <v>2020-2035</v>
      </c>
      <c r="T4" s="35"/>
      <c r="U4" s="35"/>
      <c r="W4" s="27" t="s">
        <v>99</v>
      </c>
      <c r="X4" s="35"/>
      <c r="Y4" s="35"/>
      <c r="Z4" s="35"/>
      <c r="AA4" s="35"/>
      <c r="AB4" s="35"/>
      <c r="AD4" s="27" t="str">
        <f>CONCATENATE(Z6,"-",AB6)</f>
        <v>2020-2035</v>
      </c>
      <c r="AE4" s="35"/>
      <c r="AF4" s="35"/>
    </row>
    <row r="5" spans="1:32" x14ac:dyDescent="0.3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</row>
    <row r="6" spans="1:32" x14ac:dyDescent="0.3">
      <c r="A6" s="40" t="s">
        <v>13</v>
      </c>
      <c r="B6" s="34">
        <f>'Occ T2'!B6</f>
        <v>2015</v>
      </c>
      <c r="C6" s="34">
        <f>'Occ T2'!C6</f>
        <v>2019</v>
      </c>
      <c r="D6" s="34">
        <f>'Occ T2'!D6</f>
        <v>2020</v>
      </c>
      <c r="E6" s="34">
        <f>'Occ T2'!E6</f>
        <v>2025</v>
      </c>
      <c r="F6" s="34">
        <f>'Occ T2'!F6</f>
        <v>2035</v>
      </c>
      <c r="G6" s="10"/>
      <c r="H6" s="62" t="s">
        <v>18</v>
      </c>
      <c r="I6" s="62" t="s">
        <v>31</v>
      </c>
      <c r="J6" s="62" t="s">
        <v>33</v>
      </c>
      <c r="L6" s="40" t="s">
        <v>13</v>
      </c>
      <c r="M6" s="34">
        <f>'Occ T2'!B6</f>
        <v>2015</v>
      </c>
      <c r="N6" s="34">
        <f>'Occ T2'!C6</f>
        <v>2019</v>
      </c>
      <c r="O6" s="34">
        <f>'Occ T2'!D6</f>
        <v>2020</v>
      </c>
      <c r="P6" s="34">
        <f>'Occ T2'!E6</f>
        <v>2025</v>
      </c>
      <c r="Q6" s="34">
        <f>'Occ T2'!F6</f>
        <v>2035</v>
      </c>
      <c r="R6" s="10"/>
      <c r="S6" s="62" t="s">
        <v>18</v>
      </c>
      <c r="T6" s="62" t="s">
        <v>31</v>
      </c>
      <c r="U6" s="62" t="s">
        <v>33</v>
      </c>
      <c r="W6" s="40" t="s">
        <v>13</v>
      </c>
      <c r="X6" s="34">
        <f>'Occ T2'!B6</f>
        <v>2015</v>
      </c>
      <c r="Y6" s="34">
        <f>'Occ T2'!C6</f>
        <v>2019</v>
      </c>
      <c r="Z6" s="34">
        <f>'Occ T2'!D6</f>
        <v>2020</v>
      </c>
      <c r="AA6" s="34">
        <f>'Occ T2'!E6</f>
        <v>2025</v>
      </c>
      <c r="AB6" s="34">
        <f>'Occ T2'!F6</f>
        <v>2035</v>
      </c>
      <c r="AC6" s="10"/>
      <c r="AD6" s="62" t="s">
        <v>18</v>
      </c>
      <c r="AE6" s="62" t="s">
        <v>31</v>
      </c>
      <c r="AF6" s="62" t="s">
        <v>33</v>
      </c>
    </row>
    <row r="7" spans="1:32" x14ac:dyDescent="0.3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3">
      <c r="A8" t="str">
        <f>name!E4</f>
        <v>Managers, directors and senior officials</v>
      </c>
      <c r="B8" s="11">
        <f t="array" ref="B8:B16">MMULT(aggregation!$B$38:$AA$46,'Occ T2'!B8:B33)</f>
        <v>317.29921203279753</v>
      </c>
      <c r="C8" s="11">
        <f t="array" ref="C8:C16">MMULT(aggregation!$B$38:$AA$46,'Occ T2'!C8:C33)</f>
        <v>358.84616174802488</v>
      </c>
      <c r="D8" s="11">
        <f t="array" ref="D8:D16">MMULT(aggregation!$B$38:$AA$46,'Occ T2'!D8:D33)</f>
        <v>364.87560410778576</v>
      </c>
      <c r="E8" s="11">
        <f t="array" ref="E8:E16">MMULT(aggregation!$B$38:$AA$46,'Occ T2'!E8:E33)</f>
        <v>377.19167855722014</v>
      </c>
      <c r="F8" s="11">
        <f t="array" ref="F8:F16">MMULT(aggregation!$B$38:$AA$46,'Occ T2'!F8:F33)</f>
        <v>426.0530763163315</v>
      </c>
      <c r="G8" s="11"/>
      <c r="H8" s="11">
        <f>F8-D8</f>
        <v>61.177472208545737</v>
      </c>
      <c r="I8" s="11">
        <f t="array" ref="I8:I16">MMULT(aggregation!$B$38:$AA$46,'Occ T2'!I8:I33)</f>
        <v>208.39975440714568</v>
      </c>
      <c r="J8" s="11">
        <f>SUM(H8:I8)</f>
        <v>269.57722661569142</v>
      </c>
      <c r="L8" s="10" t="str">
        <f>name!E4</f>
        <v>Managers, directors and senior officials</v>
      </c>
      <c r="M8" s="11">
        <f t="array" ref="M8:M16">MMULT(aggregation!$B$38:$AA$46,'Occ T2'!M8:M33)</f>
        <v>213.57649970697025</v>
      </c>
      <c r="N8" s="11">
        <f t="array" ref="N8:N16">MMULT(aggregation!$B$38:$AA$46,'Occ T2'!N8:N33)</f>
        <v>230.85552781360803</v>
      </c>
      <c r="O8" s="11">
        <f t="array" ref="O8:O16">MMULT(aggregation!$B$38:$AA$46,'Occ T2'!O8:O33)</f>
        <v>234.81532054319121</v>
      </c>
      <c r="P8" s="11">
        <f t="array" ref="P8:P16">MMULT(aggregation!$B$38:$AA$46,'Occ T2'!P8:P33)</f>
        <v>237.91295632111502</v>
      </c>
      <c r="Q8" s="11">
        <f t="array" ref="Q8:Q16">MMULT(aggregation!$B$38:$AA$46,'Occ T2'!Q8:Q33)</f>
        <v>259.42588641605772</v>
      </c>
      <c r="R8" s="11"/>
      <c r="S8" s="11">
        <f>Q8-O8</f>
        <v>24.610565872866516</v>
      </c>
      <c r="T8" s="11">
        <f t="array" ref="T8:T16">MMULT(aggregation!$B$38:$AA$46,'Occ T2'!T8:T33)</f>
        <v>117.71627675870295</v>
      </c>
      <c r="U8" s="11">
        <f>SUM(S8:T8)</f>
        <v>142.32684263156946</v>
      </c>
      <c r="W8" s="10" t="str">
        <f>name!E4</f>
        <v>Managers, directors and senior officials</v>
      </c>
      <c r="X8" s="11">
        <f t="array" ref="X8:X16">MMULT(aggregation!$B$38:$AA$46,'Occ T2'!X8:X33)</f>
        <v>103.72271232582699</v>
      </c>
      <c r="Y8" s="11">
        <f t="array" ref="Y8:Y16">MMULT(aggregation!$B$38:$AA$46,'Occ T2'!Y8:Y33)</f>
        <v>127.99063393441739</v>
      </c>
      <c r="Z8" s="11">
        <f t="array" ref="Z8:Z16">MMULT(aggregation!$B$38:$AA$46,'Occ T2'!Z8:Z33)</f>
        <v>130.06028356459524</v>
      </c>
      <c r="AA8" s="11">
        <f t="array" ref="AA8:AA16">MMULT(aggregation!$B$38:$AA$46,'Occ T2'!AA8:AA33)</f>
        <v>139.27872223610561</v>
      </c>
      <c r="AB8" s="11">
        <f t="array" ref="AB8:AB16">MMULT(aggregation!$B$38:$AA$46,'Occ T2'!AB8:AB33)</f>
        <v>166.6271899002727</v>
      </c>
      <c r="AC8" s="11"/>
      <c r="AD8" s="11">
        <f>AB8-Z8</f>
        <v>36.566906335677459</v>
      </c>
      <c r="AE8" s="11">
        <f t="array" ref="AE8:AE16">MMULT(aggregation!$B$38:$AA$46,'Occ T2'!AE8:AE33)</f>
        <v>90.683477648442761</v>
      </c>
      <c r="AF8" s="11">
        <f>SUM(AD8:AE8)</f>
        <v>127.25038398412022</v>
      </c>
    </row>
    <row r="9" spans="1:32" x14ac:dyDescent="0.3">
      <c r="A9" t="str">
        <f>name!E5</f>
        <v>Professional occupations</v>
      </c>
      <c r="B9" s="11">
        <v>586.3042977264812</v>
      </c>
      <c r="C9" s="11">
        <v>679.33227526654014</v>
      </c>
      <c r="D9" s="11">
        <v>704.81718555733551</v>
      </c>
      <c r="E9" s="11">
        <v>760.56664547867615</v>
      </c>
      <c r="F9" s="11">
        <v>851.32527131328266</v>
      </c>
      <c r="G9" s="11"/>
      <c r="H9" s="11">
        <f t="shared" ref="H9:H16" si="0">F9-D9</f>
        <v>146.50808575594715</v>
      </c>
      <c r="I9" s="11">
        <v>361.79900603041074</v>
      </c>
      <c r="J9" s="11">
        <f t="shared" ref="J9:J15" si="1">SUM(H9:I9)</f>
        <v>508.30709178635789</v>
      </c>
      <c r="L9" s="10" t="str">
        <f>name!E5</f>
        <v>Professional occupations</v>
      </c>
      <c r="M9" s="11">
        <v>327.27560309959318</v>
      </c>
      <c r="N9" s="11">
        <v>365.76802537336101</v>
      </c>
      <c r="O9" s="11">
        <v>373.71474668083891</v>
      </c>
      <c r="P9" s="11">
        <v>401.33870698846954</v>
      </c>
      <c r="Q9" s="11">
        <v>439.54464832560063</v>
      </c>
      <c r="R9" s="11"/>
      <c r="S9" s="11">
        <f t="shared" ref="S9:S16" si="2">Q9-O9</f>
        <v>65.829901644761719</v>
      </c>
      <c r="T9" s="11">
        <v>154.80839527534579</v>
      </c>
      <c r="U9" s="11">
        <f t="shared" ref="U9:U12" si="3">SUM(S9:T9)</f>
        <v>220.63829692010751</v>
      </c>
      <c r="W9" s="10" t="str">
        <f>name!E5</f>
        <v>Professional occupations</v>
      </c>
      <c r="X9" s="11">
        <v>259.02869462688858</v>
      </c>
      <c r="Y9" s="11">
        <v>313.56424989317918</v>
      </c>
      <c r="Z9" s="11">
        <v>331.10243887649665</v>
      </c>
      <c r="AA9" s="11">
        <v>359.22793849020661</v>
      </c>
      <c r="AB9" s="11">
        <v>411.78062298768259</v>
      </c>
      <c r="AC9" s="11"/>
      <c r="AD9" s="11">
        <f t="shared" ref="AD9:AD16" si="4">AB9-Z9</f>
        <v>80.678184111185942</v>
      </c>
      <c r="AE9" s="11">
        <v>206.99061075506495</v>
      </c>
      <c r="AF9" s="11">
        <f t="shared" ref="AF9:AF12" si="5">SUM(AD9:AE9)</f>
        <v>287.66879486625089</v>
      </c>
    </row>
    <row r="10" spans="1:32" x14ac:dyDescent="0.3">
      <c r="A10" t="str">
        <f>name!E6</f>
        <v>Associate professional occupations</v>
      </c>
      <c r="B10" s="11">
        <v>368.99148710427676</v>
      </c>
      <c r="C10" s="11">
        <v>398.19745908852406</v>
      </c>
      <c r="D10" s="11">
        <v>424.88656688403216</v>
      </c>
      <c r="E10" s="11">
        <v>416.55702449984153</v>
      </c>
      <c r="F10" s="11">
        <v>455.01327421440635</v>
      </c>
      <c r="G10" s="11"/>
      <c r="H10" s="11">
        <f t="shared" si="0"/>
        <v>30.126707330374188</v>
      </c>
      <c r="I10" s="11">
        <v>198.16102914962755</v>
      </c>
      <c r="J10" s="11">
        <f t="shared" si="1"/>
        <v>228.28773648000174</v>
      </c>
      <c r="L10" s="10" t="str">
        <f>name!E6</f>
        <v>Associate professional occupations</v>
      </c>
      <c r="M10" s="11">
        <v>201.54255325504042</v>
      </c>
      <c r="N10" s="11">
        <v>213.57058144838476</v>
      </c>
      <c r="O10" s="11">
        <v>225.11027635689797</v>
      </c>
      <c r="P10" s="11">
        <v>212.58168487119013</v>
      </c>
      <c r="Q10" s="11">
        <v>222.39187286248819</v>
      </c>
      <c r="R10" s="11"/>
      <c r="S10" s="11">
        <f t="shared" si="2"/>
        <v>-2.7184034944097846</v>
      </c>
      <c r="T10" s="11">
        <v>81.664318629238267</v>
      </c>
      <c r="U10" s="11">
        <f t="shared" si="3"/>
        <v>78.945915134828482</v>
      </c>
      <c r="W10" s="10" t="str">
        <f>name!E6</f>
        <v>Associate professional occupations</v>
      </c>
      <c r="X10" s="11">
        <v>167.44893384923637</v>
      </c>
      <c r="Y10" s="11">
        <v>184.62687764013953</v>
      </c>
      <c r="Z10" s="11">
        <v>199.77629052713496</v>
      </c>
      <c r="AA10" s="11">
        <v>203.97533962865157</v>
      </c>
      <c r="AB10" s="11">
        <v>232.62140135191922</v>
      </c>
      <c r="AC10" s="11"/>
      <c r="AD10" s="11">
        <f t="shared" si="4"/>
        <v>32.845110824784257</v>
      </c>
      <c r="AE10" s="11">
        <v>116.49671052038929</v>
      </c>
      <c r="AF10" s="11">
        <f t="shared" si="5"/>
        <v>149.34182134517354</v>
      </c>
    </row>
    <row r="11" spans="1:32" x14ac:dyDescent="0.3">
      <c r="A11" t="str">
        <f>name!E7</f>
        <v>Administrative and secretarial occupations</v>
      </c>
      <c r="B11" s="11">
        <v>335.25022176360835</v>
      </c>
      <c r="C11" s="11">
        <v>328.08114463886125</v>
      </c>
      <c r="D11" s="11">
        <v>330.71047944005625</v>
      </c>
      <c r="E11" s="11">
        <v>313.02846052458028</v>
      </c>
      <c r="F11" s="11">
        <v>280.35480319868844</v>
      </c>
      <c r="G11" s="11"/>
      <c r="H11" s="11">
        <f t="shared" si="0"/>
        <v>-50.355676241367803</v>
      </c>
      <c r="I11" s="11">
        <v>154.80971681719731</v>
      </c>
      <c r="J11" s="11">
        <f t="shared" si="1"/>
        <v>104.45404057582951</v>
      </c>
      <c r="L11" s="10" t="str">
        <f>name!E7</f>
        <v>Administrative and secretarial occupations</v>
      </c>
      <c r="M11" s="11">
        <v>72.36771582136889</v>
      </c>
      <c r="N11" s="11">
        <v>66.095044248255732</v>
      </c>
      <c r="O11" s="11">
        <v>77.909757962021558</v>
      </c>
      <c r="P11" s="11">
        <v>75.461123385429971</v>
      </c>
      <c r="Q11" s="11">
        <v>82.394604698877771</v>
      </c>
      <c r="R11" s="11"/>
      <c r="S11" s="11">
        <f t="shared" si="2"/>
        <v>4.4848467368562126</v>
      </c>
      <c r="T11" s="11">
        <v>28.7228138348481</v>
      </c>
      <c r="U11" s="11">
        <f t="shared" si="3"/>
        <v>33.207660571704309</v>
      </c>
      <c r="W11" s="10" t="str">
        <f>name!E7</f>
        <v>Administrative and secretarial occupations</v>
      </c>
      <c r="X11" s="11">
        <v>262.88250594223888</v>
      </c>
      <c r="Y11" s="11">
        <v>261.98610039060543</v>
      </c>
      <c r="Z11" s="11">
        <v>252.8007214780348</v>
      </c>
      <c r="AA11" s="11">
        <v>237.56733713915025</v>
      </c>
      <c r="AB11" s="11">
        <v>197.96019849981047</v>
      </c>
      <c r="AC11" s="11"/>
      <c r="AD11" s="11">
        <f t="shared" si="4"/>
        <v>-54.840522978224328</v>
      </c>
      <c r="AE11" s="11">
        <v>126.08690298234922</v>
      </c>
      <c r="AF11" s="11">
        <f t="shared" si="5"/>
        <v>71.246380004124887</v>
      </c>
    </row>
    <row r="12" spans="1:32" x14ac:dyDescent="0.3">
      <c r="A12" t="str">
        <f>name!E8</f>
        <v>Skilled trades occupations</v>
      </c>
      <c r="B12" s="11">
        <v>324.93128995317278</v>
      </c>
      <c r="C12" s="11">
        <v>302.30344915223691</v>
      </c>
      <c r="D12" s="11">
        <v>271.46659410623909</v>
      </c>
      <c r="E12" s="11">
        <v>281.6308378580386</v>
      </c>
      <c r="F12" s="11">
        <v>277.64242629963269</v>
      </c>
      <c r="G12" s="11"/>
      <c r="H12" s="11">
        <f t="shared" si="0"/>
        <v>6.1758321933936031</v>
      </c>
      <c r="I12" s="11">
        <v>119.1800852086013</v>
      </c>
      <c r="J12" s="11">
        <f t="shared" si="1"/>
        <v>125.3559174019949</v>
      </c>
      <c r="L12" s="10" t="str">
        <f>name!E8</f>
        <v>Skilled trades occupations</v>
      </c>
      <c r="M12" s="11">
        <v>289.12722393518089</v>
      </c>
      <c r="N12" s="11">
        <v>264.60033733080257</v>
      </c>
      <c r="O12" s="11">
        <v>233.43904305251908</v>
      </c>
      <c r="P12" s="11">
        <v>238.48193143791087</v>
      </c>
      <c r="Q12" s="11">
        <v>229.03936427790978</v>
      </c>
      <c r="R12" s="11"/>
      <c r="S12" s="11">
        <f t="shared" si="2"/>
        <v>-4.3996787746092991</v>
      </c>
      <c r="T12" s="11">
        <v>92.716793815743785</v>
      </c>
      <c r="U12" s="11">
        <f t="shared" si="3"/>
        <v>88.317115041134485</v>
      </c>
      <c r="W12" s="10" t="str">
        <f>name!E8</f>
        <v>Skilled trades occupations</v>
      </c>
      <c r="X12" s="11">
        <v>35.804066017991374</v>
      </c>
      <c r="Y12" s="11">
        <v>37.703111821434284</v>
      </c>
      <c r="Z12" s="11">
        <v>38.027551053720067</v>
      </c>
      <c r="AA12" s="11">
        <v>43.148906420127702</v>
      </c>
      <c r="AB12" s="11">
        <v>48.603062021722742</v>
      </c>
      <c r="AC12" s="11"/>
      <c r="AD12" s="11">
        <f t="shared" si="4"/>
        <v>10.575510968002675</v>
      </c>
      <c r="AE12" s="11">
        <v>26.463291392857542</v>
      </c>
      <c r="AF12" s="11">
        <f t="shared" si="5"/>
        <v>37.038802360860217</v>
      </c>
    </row>
    <row r="13" spans="1:32" x14ac:dyDescent="0.3">
      <c r="A13" t="str">
        <f>name!E9</f>
        <v>Caring, leisure and other service occupations</v>
      </c>
      <c r="B13" s="11">
        <v>280.87834355941607</v>
      </c>
      <c r="C13" s="11">
        <v>306.71652415145797</v>
      </c>
      <c r="D13" s="11">
        <v>299.51227939645844</v>
      </c>
      <c r="E13" s="11">
        <v>320.87259399162235</v>
      </c>
      <c r="F13" s="11">
        <v>353.502009295888</v>
      </c>
      <c r="G13" s="11"/>
      <c r="H13" s="11">
        <f t="shared" si="0"/>
        <v>53.989729899429562</v>
      </c>
      <c r="I13" s="11">
        <v>183.59302354832846</v>
      </c>
      <c r="J13" s="11">
        <f>SUM(H13:I13)</f>
        <v>237.58275344775802</v>
      </c>
      <c r="L13" s="10" t="str">
        <f>name!E9</f>
        <v>Caring, leisure and other service occupations</v>
      </c>
      <c r="M13" s="11">
        <v>53.595120782197206</v>
      </c>
      <c r="N13" s="11">
        <v>55.168892409746299</v>
      </c>
      <c r="O13" s="11">
        <v>53.017473030708679</v>
      </c>
      <c r="P13" s="11">
        <v>60.373942422099439</v>
      </c>
      <c r="Q13" s="11">
        <v>70.56761650827265</v>
      </c>
      <c r="R13" s="11"/>
      <c r="S13" s="11">
        <f t="shared" si="2"/>
        <v>17.550143477563971</v>
      </c>
      <c r="T13" s="11">
        <v>27.845838864766758</v>
      </c>
      <c r="U13" s="11">
        <f>SUM(S13:T13)</f>
        <v>45.395982342330726</v>
      </c>
      <c r="W13" s="10" t="str">
        <f>name!E9</f>
        <v>Caring, leisure and other service occupations</v>
      </c>
      <c r="X13" s="11">
        <v>227.28322277721887</v>
      </c>
      <c r="Y13" s="11">
        <v>251.54763174171177</v>
      </c>
      <c r="Z13" s="11">
        <v>246.49480636574961</v>
      </c>
      <c r="AA13" s="11">
        <v>260.49865156952279</v>
      </c>
      <c r="AB13" s="11">
        <v>282.93439278761531</v>
      </c>
      <c r="AC13" s="11"/>
      <c r="AD13" s="11">
        <f t="shared" si="4"/>
        <v>36.439586421865698</v>
      </c>
      <c r="AE13" s="11">
        <v>155.7471846835617</v>
      </c>
      <c r="AF13" s="11">
        <f>SUM(AD13:AE13)</f>
        <v>192.1867711054274</v>
      </c>
    </row>
    <row r="14" spans="1:32" x14ac:dyDescent="0.3">
      <c r="A14" t="str">
        <f>name!E10</f>
        <v>Sales and customer service occupations</v>
      </c>
      <c r="B14" s="11">
        <v>266.38974781856729</v>
      </c>
      <c r="C14" s="11">
        <v>246.22830152310058</v>
      </c>
      <c r="D14" s="11">
        <v>244.55606769223141</v>
      </c>
      <c r="E14" s="11">
        <v>245.44670382685663</v>
      </c>
      <c r="F14" s="11">
        <v>245.81255793965613</v>
      </c>
      <c r="G14" s="11"/>
      <c r="H14" s="11">
        <f t="shared" si="0"/>
        <v>1.2564902474247219</v>
      </c>
      <c r="I14" s="11">
        <v>112.78260697752548</v>
      </c>
      <c r="J14" s="11">
        <f t="shared" si="1"/>
        <v>114.0390972249502</v>
      </c>
      <c r="L14" s="10" t="str">
        <f>name!E10</f>
        <v>Sales and customer service occupations</v>
      </c>
      <c r="M14" s="11">
        <v>105.44801401654989</v>
      </c>
      <c r="N14" s="11">
        <v>96.492829224296784</v>
      </c>
      <c r="O14" s="11">
        <v>99.069676745709558</v>
      </c>
      <c r="P14" s="11">
        <v>101.88686083681142</v>
      </c>
      <c r="Q14" s="11">
        <v>104.63405967875842</v>
      </c>
      <c r="R14" s="11"/>
      <c r="S14" s="11">
        <f t="shared" si="2"/>
        <v>5.5643829330488614</v>
      </c>
      <c r="T14" s="11">
        <v>34.575696474933977</v>
      </c>
      <c r="U14" s="11">
        <f t="shared" ref="U14:U15" si="6">SUM(S14:T14)</f>
        <v>40.140079407982839</v>
      </c>
      <c r="W14" s="10" t="str">
        <f>name!E10</f>
        <v>Sales and customer service occupations</v>
      </c>
      <c r="X14" s="11">
        <v>160.94173380201769</v>
      </c>
      <c r="Y14" s="11">
        <v>149.73547229880253</v>
      </c>
      <c r="Z14" s="11">
        <v>145.48639094652185</v>
      </c>
      <c r="AA14" s="11">
        <v>143.55984299004535</v>
      </c>
      <c r="AB14" s="11">
        <v>141.17849826089778</v>
      </c>
      <c r="AC14" s="11"/>
      <c r="AD14" s="11">
        <f t="shared" si="4"/>
        <v>-4.3078926856240685</v>
      </c>
      <c r="AE14" s="11">
        <v>78.206910502591469</v>
      </c>
      <c r="AF14" s="11">
        <f t="shared" ref="AF14:AF15" si="7">SUM(AD14:AE14)</f>
        <v>73.899017816967401</v>
      </c>
    </row>
    <row r="15" spans="1:32" x14ac:dyDescent="0.3">
      <c r="A15" t="str">
        <f>name!E11</f>
        <v>Process, plant and machine operatives</v>
      </c>
      <c r="B15" s="11">
        <v>190.77811978340014</v>
      </c>
      <c r="C15" s="11">
        <v>205.13065322486889</v>
      </c>
      <c r="D15" s="11">
        <v>181.61620255244659</v>
      </c>
      <c r="E15" s="11">
        <v>211.05423461850737</v>
      </c>
      <c r="F15" s="11">
        <v>214.64661526835857</v>
      </c>
      <c r="G15" s="11"/>
      <c r="H15" s="11">
        <f t="shared" si="0"/>
        <v>33.030412715911979</v>
      </c>
      <c r="I15" s="11">
        <v>99.686389911292508</v>
      </c>
      <c r="J15" s="11">
        <f t="shared" si="1"/>
        <v>132.71680262720449</v>
      </c>
      <c r="L15" s="10" t="str">
        <f>name!E11</f>
        <v>Process, plant and machine operatives</v>
      </c>
      <c r="M15" s="11">
        <v>164.37026575466234</v>
      </c>
      <c r="N15" s="11">
        <v>177.38969749820635</v>
      </c>
      <c r="O15" s="11">
        <v>157.02548447655039</v>
      </c>
      <c r="P15" s="11">
        <v>177.34033118056053</v>
      </c>
      <c r="Q15" s="11">
        <v>179.87607748543579</v>
      </c>
      <c r="R15" s="11"/>
      <c r="S15" s="11">
        <f t="shared" si="2"/>
        <v>22.850593008885397</v>
      </c>
      <c r="T15" s="11">
        <v>81.392425416947418</v>
      </c>
      <c r="U15" s="11">
        <f t="shared" si="6"/>
        <v>104.24301842583282</v>
      </c>
      <c r="W15" s="10" t="str">
        <f>name!E11</f>
        <v>Process, plant and machine operatives</v>
      </c>
      <c r="X15" s="11">
        <v>26.407854028737589</v>
      </c>
      <c r="Y15" s="11">
        <v>27.740955726662833</v>
      </c>
      <c r="Z15" s="11">
        <v>24.590718075896312</v>
      </c>
      <c r="AA15" s="11">
        <v>33.713903437946776</v>
      </c>
      <c r="AB15" s="11">
        <v>34.770537782923071</v>
      </c>
      <c r="AC15" s="11"/>
      <c r="AD15" s="11">
        <f t="shared" si="4"/>
        <v>10.179819707026759</v>
      </c>
      <c r="AE15" s="11">
        <v>18.293964494345076</v>
      </c>
      <c r="AF15" s="11">
        <f t="shared" si="7"/>
        <v>28.473784201371835</v>
      </c>
    </row>
    <row r="16" spans="1:32" x14ac:dyDescent="0.3">
      <c r="A16" t="str">
        <f>name!E12</f>
        <v>Elementary occupations</v>
      </c>
      <c r="B16" s="11">
        <v>384.95628025779229</v>
      </c>
      <c r="C16" s="11">
        <v>382.26703120470302</v>
      </c>
      <c r="D16" s="11">
        <v>351.75102026181492</v>
      </c>
      <c r="E16" s="11">
        <v>353.90382064466087</v>
      </c>
      <c r="F16" s="11">
        <v>339.93296615165656</v>
      </c>
      <c r="G16" s="11"/>
      <c r="H16" s="11">
        <f t="shared" si="0"/>
        <v>-11.818054110158357</v>
      </c>
      <c r="I16" s="11">
        <v>168.08243634106583</v>
      </c>
      <c r="J16" s="11">
        <f>SUM(H16:I16)</f>
        <v>156.26438223090747</v>
      </c>
      <c r="L16" s="10" t="str">
        <f>name!E12</f>
        <v>Elementary occupations</v>
      </c>
      <c r="M16" s="11">
        <v>201.40300362790509</v>
      </c>
      <c r="N16" s="11">
        <v>189.0740646530285</v>
      </c>
      <c r="O16" s="11">
        <v>180.80222115065666</v>
      </c>
      <c r="P16" s="11">
        <v>186.69946255463734</v>
      </c>
      <c r="Q16" s="11">
        <v>180.79686974487626</v>
      </c>
      <c r="R16" s="11"/>
      <c r="S16" s="11">
        <f t="shared" si="2"/>
        <v>-5.3514057804022741E-3</v>
      </c>
      <c r="T16" s="11">
        <v>71.367986402792212</v>
      </c>
      <c r="U16" s="11">
        <f>SUM(S16:T16)</f>
        <v>71.36263499701181</v>
      </c>
      <c r="W16" s="10" t="str">
        <f>name!E12</f>
        <v>Elementary occupations</v>
      </c>
      <c r="X16" s="11">
        <v>183.55327662988839</v>
      </c>
      <c r="Y16" s="11">
        <v>193.19296655167415</v>
      </c>
      <c r="Z16" s="11">
        <v>170.94879911115726</v>
      </c>
      <c r="AA16" s="11">
        <v>167.20435809002379</v>
      </c>
      <c r="AB16" s="11">
        <v>159.13609640678052</v>
      </c>
      <c r="AC16" s="11"/>
      <c r="AD16" s="11">
        <f t="shared" si="4"/>
        <v>-11.812702704376733</v>
      </c>
      <c r="AE16" s="11">
        <v>96.714449938273589</v>
      </c>
      <c r="AF16" s="11">
        <f>SUM(AD16:AE16)</f>
        <v>84.901747233896856</v>
      </c>
    </row>
    <row r="17" spans="1:32" x14ac:dyDescent="0.3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3">
      <c r="A18" s="23" t="str">
        <f>name!E3</f>
        <v>All occupations</v>
      </c>
      <c r="B18" s="33">
        <f>SUM(B8:B16)</f>
        <v>3055.7789999995121</v>
      </c>
      <c r="C18" s="33">
        <f>SUM(C8:C16)</f>
        <v>3207.102999998318</v>
      </c>
      <c r="D18" s="33">
        <f>SUM(D8:D16)</f>
        <v>3174.1919999984002</v>
      </c>
      <c r="E18" s="33">
        <f>SUM(E8:E16)</f>
        <v>3280.2520000000036</v>
      </c>
      <c r="F18" s="33">
        <f>SUM(F8:F16)</f>
        <v>3444.2829999979012</v>
      </c>
      <c r="G18" s="11"/>
      <c r="H18" s="33">
        <f>SUM(H8:H16)</f>
        <v>270.09099999950075</v>
      </c>
      <c r="I18" s="33">
        <f>SUM(I8:I16)</f>
        <v>1606.4940483911951</v>
      </c>
      <c r="J18" s="33">
        <f>SUM(H18:I18)</f>
        <v>1876.5850483906959</v>
      </c>
      <c r="L18" s="231" t="str">
        <f>name!E3</f>
        <v>All occupations</v>
      </c>
      <c r="M18" s="33">
        <f>SUM(M8:M16)</f>
        <v>1628.7059999994681</v>
      </c>
      <c r="N18" s="33">
        <f>SUM(N8:N16)</f>
        <v>1659.01499999969</v>
      </c>
      <c r="O18" s="33">
        <f>SUM(O8:O16)</f>
        <v>1634.9039999990939</v>
      </c>
      <c r="P18" s="33">
        <f>SUM(P8:P16)</f>
        <v>1692.0769999982242</v>
      </c>
      <c r="Q18" s="33">
        <f>SUM(Q8:Q16)</f>
        <v>1768.6709999982772</v>
      </c>
      <c r="R18" s="11"/>
      <c r="S18" s="33">
        <f>SUM(S8:S16)</f>
        <v>133.76699999918321</v>
      </c>
      <c r="T18" s="33">
        <f>SUM(T8:T16)</f>
        <v>690.81054547331928</v>
      </c>
      <c r="U18" s="33">
        <f>SUM(S18:T18)</f>
        <v>824.57754547250249</v>
      </c>
      <c r="W18" s="231" t="str">
        <f>name!E3</f>
        <v>All occupations</v>
      </c>
      <c r="X18" s="33">
        <f>SUM(X8:X16)</f>
        <v>1427.0730000000449</v>
      </c>
      <c r="Y18" s="33">
        <f>SUM(Y8:Y16)</f>
        <v>1548.0879999986271</v>
      </c>
      <c r="Z18" s="33">
        <f>SUM(Z8:Z16)</f>
        <v>1539.287999999307</v>
      </c>
      <c r="AA18" s="33">
        <f>SUM(AA8:AA16)</f>
        <v>1588.1750000017805</v>
      </c>
      <c r="AB18" s="33">
        <f>SUM(AB8:AB16)</f>
        <v>1675.6119999996245</v>
      </c>
      <c r="AC18" s="11"/>
      <c r="AD18" s="33">
        <f>SUM(AD8:AD16)</f>
        <v>136.32400000031765</v>
      </c>
      <c r="AE18" s="33">
        <f>SUM(AE8:AE16)</f>
        <v>915.68350291787556</v>
      </c>
      <c r="AF18" s="33">
        <f>SUM(AD18:AE18)</f>
        <v>1052.0075029181933</v>
      </c>
    </row>
    <row r="19" spans="1:32" x14ac:dyDescent="0.3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3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3">
      <c r="B21" s="11"/>
      <c r="C21" s="11"/>
      <c r="D21" s="11"/>
      <c r="E21" s="11"/>
      <c r="F21" s="15" t="s">
        <v>34</v>
      </c>
      <c r="G21" s="11"/>
      <c r="J21" s="15" t="s">
        <v>34</v>
      </c>
      <c r="M21" s="11"/>
      <c r="N21" s="11"/>
      <c r="O21" s="11"/>
      <c r="P21" s="11"/>
      <c r="Q21" s="15" t="s">
        <v>34</v>
      </c>
      <c r="R21" s="11"/>
      <c r="U21" s="15" t="s">
        <v>34</v>
      </c>
      <c r="X21" s="11"/>
      <c r="Y21" s="11"/>
      <c r="Z21" s="11"/>
      <c r="AA21" s="11"/>
      <c r="AB21" s="15" t="s">
        <v>34</v>
      </c>
      <c r="AC21" s="11"/>
      <c r="AF21" s="15" t="s">
        <v>34</v>
      </c>
    </row>
    <row r="22" spans="1:32" x14ac:dyDescent="0.3">
      <c r="A22" s="35"/>
      <c r="B22" s="64"/>
      <c r="C22" s="64"/>
      <c r="D22" s="64"/>
      <c r="E22" s="64"/>
      <c r="F22" s="64"/>
      <c r="G22" s="11"/>
      <c r="H22" s="27" t="str">
        <f>H4</f>
        <v>2020-2035</v>
      </c>
      <c r="I22" s="35"/>
      <c r="J22" s="35"/>
      <c r="L22" s="35"/>
      <c r="M22" s="64"/>
      <c r="N22" s="64"/>
      <c r="O22" s="64"/>
      <c r="P22" s="64"/>
      <c r="Q22" s="64"/>
      <c r="R22" s="11"/>
      <c r="S22" s="27" t="str">
        <f>S4</f>
        <v>2020-2035</v>
      </c>
      <c r="T22" s="35"/>
      <c r="U22" s="35"/>
      <c r="W22" s="35"/>
      <c r="X22" s="64"/>
      <c r="Y22" s="64"/>
      <c r="Z22" s="64"/>
      <c r="AA22" s="64"/>
      <c r="AB22" s="64"/>
      <c r="AC22" s="11"/>
      <c r="AD22" s="27" t="str">
        <f>AD4</f>
        <v>2020-2035</v>
      </c>
      <c r="AE22" s="35"/>
      <c r="AF22" s="35"/>
    </row>
    <row r="23" spans="1:32" x14ac:dyDescent="0.3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3">
      <c r="A24" s="40" t="s">
        <v>463</v>
      </c>
      <c r="B24" s="34">
        <f>B$6</f>
        <v>2015</v>
      </c>
      <c r="C24" s="34">
        <f>C$6</f>
        <v>2019</v>
      </c>
      <c r="D24" s="34">
        <f>D$6</f>
        <v>2020</v>
      </c>
      <c r="E24" s="34">
        <f>E$6</f>
        <v>2025</v>
      </c>
      <c r="F24" s="34">
        <f>F$6</f>
        <v>2035</v>
      </c>
      <c r="G24" s="11"/>
      <c r="H24" s="23" t="str">
        <f>H6</f>
        <v>Change</v>
      </c>
      <c r="I24" s="23" t="str">
        <f>I6</f>
        <v>Demand</v>
      </c>
      <c r="J24" s="23" t="str">
        <f>J6</f>
        <v>Requirement</v>
      </c>
      <c r="L24" s="40" t="s">
        <v>463</v>
      </c>
      <c r="M24" s="34">
        <f>M$6</f>
        <v>2015</v>
      </c>
      <c r="N24" s="34">
        <f>N$6</f>
        <v>2019</v>
      </c>
      <c r="O24" s="34">
        <f>O$6</f>
        <v>2020</v>
      </c>
      <c r="P24" s="34">
        <f>P$6</f>
        <v>2025</v>
      </c>
      <c r="Q24" s="34">
        <f>Q$6</f>
        <v>2035</v>
      </c>
      <c r="R24" s="11"/>
      <c r="S24" s="23" t="str">
        <f>S6</f>
        <v>Change</v>
      </c>
      <c r="T24" s="23" t="str">
        <f>T6</f>
        <v>Demand</v>
      </c>
      <c r="U24" s="23" t="str">
        <f>U6</f>
        <v>Requirement</v>
      </c>
      <c r="W24" s="40" t="s">
        <v>463</v>
      </c>
      <c r="X24" s="34">
        <f>X$6</f>
        <v>2015</v>
      </c>
      <c r="Y24" s="34">
        <f>Y$6</f>
        <v>2019</v>
      </c>
      <c r="Z24" s="34">
        <f>Z$6</f>
        <v>2020</v>
      </c>
      <c r="AA24" s="34">
        <f>AA$6</f>
        <v>2025</v>
      </c>
      <c r="AB24" s="34">
        <f>AB$6</f>
        <v>2035</v>
      </c>
      <c r="AC24" s="11"/>
      <c r="AD24" s="23" t="str">
        <f>AD6</f>
        <v>Change</v>
      </c>
      <c r="AE24" s="23" t="str">
        <f>AE6</f>
        <v>Demand</v>
      </c>
      <c r="AF24" s="23" t="str">
        <f>AF6</f>
        <v>Requirement</v>
      </c>
    </row>
    <row r="25" spans="1:32" x14ac:dyDescent="0.3">
      <c r="A25" s="1"/>
      <c r="B25" s="16"/>
      <c r="C25" s="16"/>
      <c r="D25" s="16"/>
      <c r="E25" s="16"/>
      <c r="F25" s="16"/>
      <c r="G25" s="11"/>
      <c r="L25" s="1"/>
      <c r="M25" s="16"/>
      <c r="N25" s="16"/>
      <c r="O25" s="16"/>
      <c r="P25" s="16"/>
      <c r="Q25" s="16"/>
      <c r="R25" s="11"/>
      <c r="W25" s="1"/>
      <c r="X25" s="16"/>
      <c r="Y25" s="16"/>
      <c r="Z25" s="16"/>
      <c r="AA25" s="16"/>
      <c r="AB25" s="16"/>
      <c r="AC25" s="11"/>
    </row>
    <row r="26" spans="1:32" x14ac:dyDescent="0.3">
      <c r="A26" t="str">
        <f>$A$8</f>
        <v>Managers, directors and senior officials</v>
      </c>
      <c r="B26" s="17">
        <f t="shared" ref="B26:F34" si="8">B8/B$18*100</f>
        <v>10.383578525569034</v>
      </c>
      <c r="C26" s="17">
        <f t="shared" si="8"/>
        <v>11.189106235384804</v>
      </c>
      <c r="D26" s="17">
        <f t="shared" si="8"/>
        <v>11.495070370915485</v>
      </c>
      <c r="E26" s="17">
        <f t="shared" si="8"/>
        <v>11.498862848257382</v>
      </c>
      <c r="F26" s="17">
        <f t="shared" si="8"/>
        <v>12.369862648237415</v>
      </c>
      <c r="G26" s="11"/>
      <c r="H26" s="39">
        <f>IF(D8&gt;0,(H8/D8)*100,0)</f>
        <v>16.766665548424459</v>
      </c>
      <c r="I26" s="39">
        <f>IF(D8&gt;0,(I8/D8)*100,0)</f>
        <v>57.115288624663307</v>
      </c>
      <c r="J26" s="39">
        <f>IF(D8&gt;0,(J8/D8)*100,0)</f>
        <v>73.881954173087763</v>
      </c>
      <c r="L26" t="str">
        <f>$A$8</f>
        <v>Managers, directors and senior officials</v>
      </c>
      <c r="M26" s="17">
        <f t="shared" ref="M26:Q26" si="9">M8/M$18*100</f>
        <v>13.11326290362042</v>
      </c>
      <c r="N26" s="17">
        <f t="shared" si="9"/>
        <v>13.915216427437436</v>
      </c>
      <c r="O26" s="17">
        <f t="shared" si="9"/>
        <v>14.362636616175712</v>
      </c>
      <c r="P26" s="17">
        <f t="shared" si="9"/>
        <v>14.060409563002436</v>
      </c>
      <c r="Q26" s="17">
        <f t="shared" si="9"/>
        <v>14.66784305370023</v>
      </c>
      <c r="R26" s="11"/>
      <c r="S26" s="39">
        <f>IF(O8&gt;0,(S8/O8)*100,0)</f>
        <v>10.480817783071238</v>
      </c>
      <c r="T26" s="39">
        <f>IF(O8&gt;0,(T8/O8)*100,0)</f>
        <v>50.131429451193142</v>
      </c>
      <c r="U26" s="39">
        <f>IF(O8&gt;0,(U8/O8)*100,0)</f>
        <v>60.61224723426438</v>
      </c>
      <c r="W26" t="str">
        <f>$A$8</f>
        <v>Managers, directors and senior officials</v>
      </c>
      <c r="X26" s="17">
        <f t="shared" ref="X26:AB26" si="10">X8/X$18*100</f>
        <v>7.2682134919393553</v>
      </c>
      <c r="Y26" s="17">
        <f t="shared" si="10"/>
        <v>8.267658811032117</v>
      </c>
      <c r="Z26" s="17">
        <f t="shared" si="10"/>
        <v>8.449379425075346</v>
      </c>
      <c r="AA26" s="17">
        <f t="shared" si="10"/>
        <v>8.7697339547562123</v>
      </c>
      <c r="AB26" s="17">
        <f t="shared" si="10"/>
        <v>9.944258569424786</v>
      </c>
      <c r="AC26" s="11"/>
      <c r="AD26" s="39">
        <f>IF(Z8&gt;0,(AD8/Z8)*100,0)</f>
        <v>28.115351845681836</v>
      </c>
      <c r="AE26" s="39">
        <f>IF(Z8&gt;0,(AE8/Z8)*100,0)</f>
        <v>69.724188786197942</v>
      </c>
      <c r="AF26" s="39">
        <f>IF(Z8&gt;0,(AF8/Z8)*100,0)</f>
        <v>97.839540631879785</v>
      </c>
    </row>
    <row r="27" spans="1:32" x14ac:dyDescent="0.3">
      <c r="A27" t="str">
        <f>$A$9</f>
        <v>Professional occupations</v>
      </c>
      <c r="B27" s="17">
        <f t="shared" si="8"/>
        <v>19.186737579078027</v>
      </c>
      <c r="C27" s="17">
        <f t="shared" si="8"/>
        <v>21.182115924150128</v>
      </c>
      <c r="D27" s="17">
        <f t="shared" si="8"/>
        <v>22.204617287098284</v>
      </c>
      <c r="E27" s="17">
        <f t="shared" si="8"/>
        <v>23.186226103319967</v>
      </c>
      <c r="F27" s="17">
        <f t="shared" si="8"/>
        <v>24.717053485843103</v>
      </c>
      <c r="G27" s="11"/>
      <c r="H27" s="39">
        <f>IF(D9&gt;0,(H9/D9)*100,0)</f>
        <v>20.786678979754956</v>
      </c>
      <c r="I27" s="39">
        <f t="shared" ref="I27:I36" si="11">IF(D9&gt;0,(I9/D9)*100,0)</f>
        <v>51.332318996211413</v>
      </c>
      <c r="J27" s="39">
        <f t="shared" ref="J27:J36" si="12">IF(D9&gt;0,(J9/D9)*100,0)</f>
        <v>72.118997975966366</v>
      </c>
      <c r="L27" t="str">
        <f>$A$9</f>
        <v>Professional occupations</v>
      </c>
      <c r="M27" s="17">
        <f t="shared" ref="M27:Q27" si="13">M9/M$18*100</f>
        <v>20.094209949475232</v>
      </c>
      <c r="N27" s="17">
        <f t="shared" si="13"/>
        <v>22.047300679826847</v>
      </c>
      <c r="O27" s="17">
        <f t="shared" si="13"/>
        <v>22.858513202062387</v>
      </c>
      <c r="P27" s="17">
        <f t="shared" si="13"/>
        <v>23.718702339721581</v>
      </c>
      <c r="Q27" s="17">
        <f t="shared" si="13"/>
        <v>24.851690807732403</v>
      </c>
      <c r="R27" s="11"/>
      <c r="S27" s="39">
        <f t="shared" ref="S27:S34" si="14">IF(O9&gt;0,(S9/O9)*100,0)</f>
        <v>17.615013116135337</v>
      </c>
      <c r="T27" s="39">
        <f t="shared" ref="T27:T34" si="15">IF(O9&gt;0,(T9/O9)*100,0)</f>
        <v>41.424213695146413</v>
      </c>
      <c r="U27" s="39">
        <f t="shared" ref="U27:U34" si="16">IF(O9&gt;0,(U9/O9)*100,0)</f>
        <v>59.039226811281743</v>
      </c>
      <c r="W27" t="str">
        <f>$A$9</f>
        <v>Professional occupations</v>
      </c>
      <c r="X27" s="17">
        <f t="shared" ref="X27:AB27" si="17">X9/X$18*100</f>
        <v>18.151047257349866</v>
      </c>
      <c r="Y27" s="17">
        <f t="shared" si="17"/>
        <v>20.254937050959459</v>
      </c>
      <c r="Z27" s="17">
        <f t="shared" si="17"/>
        <v>21.510103299489487</v>
      </c>
      <c r="AA27" s="17">
        <f t="shared" si="17"/>
        <v>22.618914067392062</v>
      </c>
      <c r="AB27" s="17">
        <f t="shared" si="17"/>
        <v>24.574938767911359</v>
      </c>
      <c r="AC27" s="11"/>
      <c r="AD27" s="39">
        <f t="shared" ref="AD27:AD34" si="18">IF(Z9&gt;0,(AD9/Z9)*100,0)</f>
        <v>24.36653272169929</v>
      </c>
      <c r="AE27" s="39">
        <f t="shared" ref="AE27:AE34" si="19">IF(Z9&gt;0,(AE9/Z9)*100,0)</f>
        <v>62.515580210592702</v>
      </c>
      <c r="AF27" s="39">
        <f t="shared" ref="AF27:AF34" si="20">IF(Z9&gt;0,(AF9/Z9)*100,0)</f>
        <v>86.882112932292003</v>
      </c>
    </row>
    <row r="28" spans="1:32" x14ac:dyDescent="0.3">
      <c r="A28" t="str">
        <f>$A$10</f>
        <v>Associate professional occupations</v>
      </c>
      <c r="B28" s="17">
        <f t="shared" si="8"/>
        <v>12.075202005915207</v>
      </c>
      <c r="C28" s="17">
        <f t="shared" si="8"/>
        <v>12.41611071077957</v>
      </c>
      <c r="D28" s="17">
        <f t="shared" si="8"/>
        <v>13.385660567610474</v>
      </c>
      <c r="E28" s="17">
        <f t="shared" si="8"/>
        <v>12.698933633752564</v>
      </c>
      <c r="F28" s="17">
        <f t="shared" si="8"/>
        <v>13.210681997230878</v>
      </c>
      <c r="G28" s="11"/>
      <c r="H28" s="39">
        <f t="shared" ref="H28:H34" si="21">IF(D10&gt;0,(H10/D10)*100,0)</f>
        <v>7.0905294915094172</v>
      </c>
      <c r="I28" s="39">
        <f t="shared" si="11"/>
        <v>46.638572408365476</v>
      </c>
      <c r="J28" s="39">
        <f t="shared" si="12"/>
        <v>53.729101899874898</v>
      </c>
      <c r="L28" t="str">
        <f>$A$10</f>
        <v>Associate professional occupations</v>
      </c>
      <c r="M28" s="17">
        <f t="shared" ref="M28:Q28" si="22">M10/M$18*100</f>
        <v>12.374397420719653</v>
      </c>
      <c r="N28" s="17">
        <f t="shared" si="22"/>
        <v>12.873336374199429</v>
      </c>
      <c r="O28" s="17">
        <f t="shared" si="22"/>
        <v>13.769021077508082</v>
      </c>
      <c r="P28" s="17">
        <f t="shared" si="22"/>
        <v>12.563357629198507</v>
      </c>
      <c r="Q28" s="17">
        <f t="shared" si="22"/>
        <v>12.573953712290459</v>
      </c>
      <c r="R28" s="11"/>
      <c r="S28" s="39">
        <f t="shared" si="14"/>
        <v>-1.2075874715288117</v>
      </c>
      <c r="T28" s="39">
        <f t="shared" si="15"/>
        <v>36.277472512967243</v>
      </c>
      <c r="U28" s="39">
        <f t="shared" si="16"/>
        <v>35.06988504143844</v>
      </c>
      <c r="W28" t="str">
        <f>$A$10</f>
        <v>Associate professional occupations</v>
      </c>
      <c r="X28" s="17">
        <f t="shared" ref="X28:AB28" si="23">X10/X$18*100</f>
        <v>11.733732881865965</v>
      </c>
      <c r="Y28" s="17">
        <f t="shared" si="23"/>
        <v>11.9261229103451</v>
      </c>
      <c r="Z28" s="17">
        <f t="shared" si="23"/>
        <v>12.978486841138558</v>
      </c>
      <c r="AA28" s="17">
        <f t="shared" si="23"/>
        <v>12.843379327115898</v>
      </c>
      <c r="AB28" s="17">
        <f t="shared" si="23"/>
        <v>13.8827724647455</v>
      </c>
      <c r="AC28" s="11"/>
      <c r="AD28" s="39">
        <f t="shared" si="18"/>
        <v>16.440945388523474</v>
      </c>
      <c r="AE28" s="39">
        <f t="shared" si="19"/>
        <v>58.313581763380427</v>
      </c>
      <c r="AF28" s="39">
        <f t="shared" si="20"/>
        <v>74.754527151903901</v>
      </c>
    </row>
    <row r="29" spans="1:32" x14ac:dyDescent="0.3">
      <c r="A29" t="str">
        <f>$A$11</f>
        <v>Administrative and secretarial occupations</v>
      </c>
      <c r="B29" s="17">
        <f t="shared" si="8"/>
        <v>10.971023158535415</v>
      </c>
      <c r="C29" s="17">
        <f t="shared" si="8"/>
        <v>10.229828746972995</v>
      </c>
      <c r="D29" s="17">
        <f t="shared" si="8"/>
        <v>10.418729536216553</v>
      </c>
      <c r="E29" s="17">
        <f t="shared" si="8"/>
        <v>9.5428174580666347</v>
      </c>
      <c r="F29" s="17">
        <f t="shared" si="8"/>
        <v>8.1397145123922527</v>
      </c>
      <c r="G29" s="11"/>
      <c r="H29" s="39">
        <f t="shared" si="21"/>
        <v>-15.226513634109121</v>
      </c>
      <c r="I29" s="39">
        <f t="shared" si="11"/>
        <v>46.811252270963408</v>
      </c>
      <c r="J29" s="39">
        <f t="shared" si="12"/>
        <v>31.584738636854294</v>
      </c>
      <c r="L29" t="str">
        <f>$A$11</f>
        <v>Administrative and secretarial occupations</v>
      </c>
      <c r="M29" s="17">
        <f t="shared" ref="M29:Q29" si="24">M11/M$18*100</f>
        <v>4.4432645192804916</v>
      </c>
      <c r="N29" s="17">
        <f t="shared" si="24"/>
        <v>3.9839931675282068</v>
      </c>
      <c r="O29" s="17">
        <f t="shared" si="24"/>
        <v>4.7654026145917276</v>
      </c>
      <c r="P29" s="17">
        <f t="shared" si="24"/>
        <v>4.4596743165653319</v>
      </c>
      <c r="Q29" s="17">
        <f t="shared" si="24"/>
        <v>4.6585602805133357</v>
      </c>
      <c r="R29" s="11"/>
      <c r="S29" s="39">
        <f t="shared" si="14"/>
        <v>5.7564634445949991</v>
      </c>
      <c r="T29" s="39">
        <f t="shared" si="15"/>
        <v>36.866773285124985</v>
      </c>
      <c r="U29" s="39">
        <f t="shared" si="16"/>
        <v>42.623236729719984</v>
      </c>
      <c r="W29" t="str">
        <f>$A$11</f>
        <v>Administrative and secretarial occupations</v>
      </c>
      <c r="X29" s="17">
        <f t="shared" ref="X29:AB29" si="25">X11/X$18*100</f>
        <v>18.421097304919272</v>
      </c>
      <c r="Y29" s="17">
        <f t="shared" si="25"/>
        <v>16.923204649273025</v>
      </c>
      <c r="Z29" s="17">
        <f t="shared" si="25"/>
        <v>16.423224339964232</v>
      </c>
      <c r="AA29" s="17">
        <f t="shared" si="25"/>
        <v>14.958511318896464</v>
      </c>
      <c r="AB29" s="17">
        <f t="shared" si="25"/>
        <v>11.814202721146353</v>
      </c>
      <c r="AC29" s="11"/>
      <c r="AD29" s="39">
        <f t="shared" si="18"/>
        <v>-21.693182937766764</v>
      </c>
      <c r="AE29" s="39">
        <f t="shared" si="19"/>
        <v>49.876005988101809</v>
      </c>
      <c r="AF29" s="39">
        <f t="shared" si="20"/>
        <v>28.182823050335042</v>
      </c>
    </row>
    <row r="30" spans="1:32" x14ac:dyDescent="0.3">
      <c r="A30" t="str">
        <f>$A$12</f>
        <v>Skilled trades occupations</v>
      </c>
      <c r="B30" s="17">
        <f t="shared" si="8"/>
        <v>10.633337356962812</v>
      </c>
      <c r="C30" s="17">
        <f t="shared" si="8"/>
        <v>9.4260598787252992</v>
      </c>
      <c r="D30" s="17">
        <f t="shared" si="8"/>
        <v>8.552305408947408</v>
      </c>
      <c r="E30" s="17">
        <f t="shared" si="8"/>
        <v>8.5856464033262778</v>
      </c>
      <c r="F30" s="17">
        <f t="shared" si="8"/>
        <v>8.0609643951963843</v>
      </c>
      <c r="G30" s="11"/>
      <c r="H30" s="39">
        <f t="shared" si="21"/>
        <v>2.2749879091851266</v>
      </c>
      <c r="I30" s="39">
        <f t="shared" si="11"/>
        <v>43.902302454923756</v>
      </c>
      <c r="J30" s="39">
        <f t="shared" si="12"/>
        <v>46.177290364108877</v>
      </c>
      <c r="L30" t="str">
        <f>$A$12</f>
        <v>Skilled trades occupations</v>
      </c>
      <c r="M30" s="17">
        <f t="shared" ref="M30:Q30" si="26">M12/M$18*100</f>
        <v>17.751959158698703</v>
      </c>
      <c r="N30" s="17">
        <f t="shared" si="26"/>
        <v>15.949243215453269</v>
      </c>
      <c r="O30" s="17">
        <f t="shared" si="26"/>
        <v>14.278455680128523</v>
      </c>
      <c r="P30" s="17">
        <f t="shared" si="26"/>
        <v>14.094035403717511</v>
      </c>
      <c r="Q30" s="17">
        <f t="shared" si="26"/>
        <v>12.949800402569664</v>
      </c>
      <c r="R30" s="11"/>
      <c r="S30" s="39">
        <f t="shared" si="14"/>
        <v>-1.8847227597739338</v>
      </c>
      <c r="T30" s="39">
        <f t="shared" si="15"/>
        <v>39.717774971723294</v>
      </c>
      <c r="U30" s="39">
        <f t="shared" si="16"/>
        <v>37.833052211949358</v>
      </c>
      <c r="W30" t="str">
        <f>$A$12</f>
        <v>Skilled trades occupations</v>
      </c>
      <c r="X30" s="17">
        <f t="shared" ref="X30:AB30" si="27">X12/X$18*100</f>
        <v>2.508916223486132</v>
      </c>
      <c r="Y30" s="17">
        <f t="shared" si="27"/>
        <v>2.435463088756435</v>
      </c>
      <c r="Z30" s="17">
        <f t="shared" si="27"/>
        <v>2.4704636854011195</v>
      </c>
      <c r="AA30" s="17">
        <f t="shared" si="27"/>
        <v>2.7168861378676361</v>
      </c>
      <c r="AB30" s="17">
        <f t="shared" si="27"/>
        <v>2.9006155375906615</v>
      </c>
      <c r="AC30" s="11"/>
      <c r="AD30" s="39">
        <f t="shared" si="18"/>
        <v>27.810128906442209</v>
      </c>
      <c r="AE30" s="39">
        <f t="shared" si="19"/>
        <v>69.589785982993916</v>
      </c>
      <c r="AF30" s="39">
        <f t="shared" si="20"/>
        <v>97.399914889436118</v>
      </c>
    </row>
    <row r="31" spans="1:32" x14ac:dyDescent="0.3">
      <c r="A31" t="str">
        <f>$A$13</f>
        <v>Caring, leisure and other service occupations</v>
      </c>
      <c r="B31" s="17">
        <f t="shared" si="8"/>
        <v>9.1917099881719491</v>
      </c>
      <c r="C31" s="17">
        <f t="shared" si="8"/>
        <v>9.5636630364418878</v>
      </c>
      <c r="D31" s="17">
        <f t="shared" si="8"/>
        <v>9.4358589334422547</v>
      </c>
      <c r="E31" s="17">
        <f t="shared" si="8"/>
        <v>9.7819494963076608</v>
      </c>
      <c r="F31" s="17">
        <f t="shared" si="8"/>
        <v>10.26344261769731</v>
      </c>
      <c r="G31" s="11"/>
      <c r="H31" s="39">
        <f t="shared" si="21"/>
        <v>18.025881946550989</v>
      </c>
      <c r="I31" s="39">
        <f t="shared" si="11"/>
        <v>61.297327748392597</v>
      </c>
      <c r="J31" s="39">
        <f t="shared" si="12"/>
        <v>79.323209694943571</v>
      </c>
      <c r="L31" t="str">
        <f>$A$13</f>
        <v>Caring, leisure and other service occupations</v>
      </c>
      <c r="M31" s="17">
        <f t="shared" ref="M31:Q31" si="28">M13/M$18*100</f>
        <v>3.2906565569362862</v>
      </c>
      <c r="N31" s="17">
        <f t="shared" si="28"/>
        <v>3.3254004580884811</v>
      </c>
      <c r="O31" s="17">
        <f t="shared" si="28"/>
        <v>3.2428493067934299</v>
      </c>
      <c r="P31" s="17">
        <f t="shared" si="28"/>
        <v>3.5680375315167572</v>
      </c>
      <c r="Q31" s="17">
        <f t="shared" si="28"/>
        <v>3.9898667704927253</v>
      </c>
      <c r="R31" s="11"/>
      <c r="S31" s="39">
        <f t="shared" si="14"/>
        <v>33.102565011724735</v>
      </c>
      <c r="T31" s="39">
        <f t="shared" si="15"/>
        <v>52.522003167970574</v>
      </c>
      <c r="U31" s="39">
        <f t="shared" si="16"/>
        <v>85.624568179695302</v>
      </c>
      <c r="W31" t="str">
        <f>$A$13</f>
        <v>Caring, leisure and other service occupations</v>
      </c>
      <c r="X31" s="17">
        <f t="shared" ref="X31:AB31" si="29">X13/X$18*100</f>
        <v>15.926530932700128</v>
      </c>
      <c r="Y31" s="17">
        <f t="shared" si="29"/>
        <v>16.24892330035081</v>
      </c>
      <c r="Z31" s="17">
        <f t="shared" si="29"/>
        <v>16.013559929386872</v>
      </c>
      <c r="AA31" s="17">
        <f t="shared" si="29"/>
        <v>16.402389633965448</v>
      </c>
      <c r="AB31" s="17">
        <f t="shared" si="29"/>
        <v>16.885436054867039</v>
      </c>
      <c r="AC31" s="11"/>
      <c r="AD31" s="39">
        <f t="shared" si="18"/>
        <v>14.783105153054036</v>
      </c>
      <c r="AE31" s="39">
        <f t="shared" si="19"/>
        <v>63.184773334519527</v>
      </c>
      <c r="AF31" s="39">
        <f t="shared" si="20"/>
        <v>77.967878487573557</v>
      </c>
    </row>
    <row r="32" spans="1:32" x14ac:dyDescent="0.3">
      <c r="A32" t="str">
        <f>$A$14</f>
        <v>Sales and customer service occupations</v>
      </c>
      <c r="B32" s="17">
        <f t="shared" si="8"/>
        <v>8.7175724363119791</v>
      </c>
      <c r="C32" s="17">
        <f t="shared" si="8"/>
        <v>7.677592566351306</v>
      </c>
      <c r="D32" s="17">
        <f t="shared" si="8"/>
        <v>7.704514020965167</v>
      </c>
      <c r="E32" s="17">
        <f t="shared" si="8"/>
        <v>7.4825563349052562</v>
      </c>
      <c r="F32" s="17">
        <f t="shared" si="8"/>
        <v>7.1368281276482186</v>
      </c>
      <c r="H32" s="39">
        <f t="shared" si="21"/>
        <v>0.51378412291368214</v>
      </c>
      <c r="I32" s="39">
        <f t="shared" si="11"/>
        <v>46.117280197463749</v>
      </c>
      <c r="J32" s="39">
        <f t="shared" si="12"/>
        <v>46.631064320377433</v>
      </c>
      <c r="L32" t="str">
        <f>$A$14</f>
        <v>Sales and customer service occupations</v>
      </c>
      <c r="M32" s="17">
        <f t="shared" ref="M32:Q32" si="30">M14/M$18*100</f>
        <v>6.4743430684595218</v>
      </c>
      <c r="N32" s="17">
        <f t="shared" si="30"/>
        <v>5.8162722594018028</v>
      </c>
      <c r="O32" s="17">
        <f t="shared" si="30"/>
        <v>6.059663242964997</v>
      </c>
      <c r="P32" s="17">
        <f t="shared" si="30"/>
        <v>6.0214080586709917</v>
      </c>
      <c r="Q32" s="17">
        <f t="shared" si="30"/>
        <v>5.9159707870406839</v>
      </c>
      <c r="S32" s="39">
        <f t="shared" si="14"/>
        <v>5.6166358020238922</v>
      </c>
      <c r="T32" s="39">
        <f t="shared" si="15"/>
        <v>34.900382852446683</v>
      </c>
      <c r="U32" s="39">
        <f t="shared" si="16"/>
        <v>40.517018654470576</v>
      </c>
      <c r="W32" t="str">
        <f>$A$14</f>
        <v>Sales and customer service occupations</v>
      </c>
      <c r="X32" s="17">
        <f t="shared" ref="X32:AB32" si="31">X14/X$18*100</f>
        <v>11.277750598743905</v>
      </c>
      <c r="Y32" s="17">
        <f t="shared" si="31"/>
        <v>9.6722842822200885</v>
      </c>
      <c r="Z32" s="17">
        <f t="shared" si="31"/>
        <v>9.4515380452902473</v>
      </c>
      <c r="AA32" s="17">
        <f t="shared" si="31"/>
        <v>9.0392962356090738</v>
      </c>
      <c r="AB32" s="17">
        <f t="shared" si="31"/>
        <v>8.4254886131711526</v>
      </c>
      <c r="AD32" s="39">
        <f t="shared" si="18"/>
        <v>-2.9610279405498288</v>
      </c>
      <c r="AE32" s="39">
        <f t="shared" si="19"/>
        <v>53.755481865887312</v>
      </c>
      <c r="AF32" s="39">
        <f t="shared" si="20"/>
        <v>50.794453925337478</v>
      </c>
    </row>
    <row r="33" spans="1:32" x14ac:dyDescent="0.3">
      <c r="A33" t="str">
        <f>$A$15</f>
        <v>Process, plant and machine operatives</v>
      </c>
      <c r="B33" s="17">
        <f t="shared" si="8"/>
        <v>6.2431910090170328</v>
      </c>
      <c r="C33" s="17">
        <f t="shared" si="8"/>
        <v>6.3961354912822097</v>
      </c>
      <c r="D33" s="17">
        <f t="shared" si="8"/>
        <v>5.7216514487005865</v>
      </c>
      <c r="E33" s="17">
        <f t="shared" si="8"/>
        <v>6.4340859976156448</v>
      </c>
      <c r="F33" s="17">
        <f t="shared" si="8"/>
        <v>6.2319680255219838</v>
      </c>
      <c r="G33" s="11"/>
      <c r="H33" s="39">
        <f t="shared" si="21"/>
        <v>18.186930599638295</v>
      </c>
      <c r="I33" s="39">
        <f t="shared" si="11"/>
        <v>54.8884893034284</v>
      </c>
      <c r="J33" s="39">
        <f t="shared" si="12"/>
        <v>73.075419903066702</v>
      </c>
      <c r="L33" t="str">
        <f>$A$15</f>
        <v>Process, plant and machine operatives</v>
      </c>
      <c r="M33" s="17">
        <f t="shared" ref="M33:Q33" si="32">M15/M$18*100</f>
        <v>10.092077130845961</v>
      </c>
      <c r="N33" s="17">
        <f t="shared" si="32"/>
        <v>10.692470984182753</v>
      </c>
      <c r="O33" s="17">
        <f t="shared" si="32"/>
        <v>9.6045691047692969</v>
      </c>
      <c r="P33" s="17">
        <f t="shared" si="32"/>
        <v>10.480630088391168</v>
      </c>
      <c r="Q33" s="17">
        <f t="shared" si="32"/>
        <v>10.170126467025863</v>
      </c>
      <c r="R33" s="11"/>
      <c r="S33" s="39">
        <f t="shared" si="14"/>
        <v>14.552155712213594</v>
      </c>
      <c r="T33" s="39">
        <f t="shared" si="15"/>
        <v>51.83389542676575</v>
      </c>
      <c r="U33" s="39">
        <f t="shared" si="16"/>
        <v>66.38605113897934</v>
      </c>
      <c r="W33" t="str">
        <f>$A$15</f>
        <v>Process, plant and machine operatives</v>
      </c>
      <c r="X33" s="17">
        <f t="shared" ref="X33:AB33" si="33">X15/X$18*100</f>
        <v>1.8504907617715953</v>
      </c>
      <c r="Y33" s="17">
        <f t="shared" si="33"/>
        <v>1.7919495356005237</v>
      </c>
      <c r="Z33" s="17">
        <f t="shared" si="33"/>
        <v>1.5975384772639938</v>
      </c>
      <c r="AA33" s="17">
        <f t="shared" si="33"/>
        <v>2.1228078415734397</v>
      </c>
      <c r="AB33" s="17">
        <f t="shared" si="33"/>
        <v>2.0750948180683153</v>
      </c>
      <c r="AC33" s="11"/>
      <c r="AD33" s="39">
        <f t="shared" si="18"/>
        <v>41.397000590255075</v>
      </c>
      <c r="AE33" s="39">
        <f t="shared" si="19"/>
        <v>74.393779140092377</v>
      </c>
      <c r="AF33" s="39">
        <f t="shared" si="20"/>
        <v>115.79077973034745</v>
      </c>
    </row>
    <row r="34" spans="1:32" x14ac:dyDescent="0.3">
      <c r="A34" t="str">
        <f>$A$16</f>
        <v>Elementary occupations</v>
      </c>
      <c r="B34" s="17">
        <f t="shared" si="8"/>
        <v>12.59764794043855</v>
      </c>
      <c r="C34" s="17">
        <f t="shared" si="8"/>
        <v>11.919387409911796</v>
      </c>
      <c r="D34" s="17">
        <f t="shared" si="8"/>
        <v>11.081592426103782</v>
      </c>
      <c r="E34" s="17">
        <f t="shared" si="8"/>
        <v>10.788921724448624</v>
      </c>
      <c r="F34" s="17">
        <f t="shared" si="8"/>
        <v>9.8694841902324431</v>
      </c>
      <c r="G34" s="11"/>
      <c r="H34" s="39">
        <f t="shared" si="21"/>
        <v>-3.3597782037311381</v>
      </c>
      <c r="I34" s="39">
        <f t="shared" si="11"/>
        <v>47.784491489451518</v>
      </c>
      <c r="J34" s="39">
        <f t="shared" si="12"/>
        <v>44.424713285720379</v>
      </c>
      <c r="L34" t="str">
        <f>$A$16</f>
        <v>Elementary occupations</v>
      </c>
      <c r="M34" s="17">
        <f t="shared" ref="M34:Q34" si="34">M16/M$18*100</f>
        <v>12.365829291963735</v>
      </c>
      <c r="N34" s="17">
        <f t="shared" si="34"/>
        <v>11.396766433881782</v>
      </c>
      <c r="O34" s="17">
        <f t="shared" si="34"/>
        <v>11.058889155005852</v>
      </c>
      <c r="P34" s="17">
        <f t="shared" si="34"/>
        <v>11.033745069215719</v>
      </c>
      <c r="Q34" s="17">
        <f t="shared" si="34"/>
        <v>10.222187718634634</v>
      </c>
      <c r="R34" s="11"/>
      <c r="S34" s="39">
        <f t="shared" si="14"/>
        <v>-2.9598119682075806E-3</v>
      </c>
      <c r="T34" s="39">
        <f t="shared" si="15"/>
        <v>39.472958876607812</v>
      </c>
      <c r="U34" s="39">
        <f t="shared" si="16"/>
        <v>39.469999064639602</v>
      </c>
      <c r="W34" t="str">
        <f>$A$16</f>
        <v>Elementary occupations</v>
      </c>
      <c r="X34" s="17">
        <f t="shared" ref="X34:AB34" si="35">X16/X$18*100</f>
        <v>12.862220547223766</v>
      </c>
      <c r="Y34" s="17">
        <f t="shared" si="35"/>
        <v>12.479456371462442</v>
      </c>
      <c r="Z34" s="17">
        <f t="shared" si="35"/>
        <v>11.105705956990128</v>
      </c>
      <c r="AA34" s="17">
        <f t="shared" si="35"/>
        <v>10.528081482823765</v>
      </c>
      <c r="AB34" s="17">
        <f t="shared" si="35"/>
        <v>9.4971924530748275</v>
      </c>
      <c r="AC34" s="11"/>
      <c r="AD34" s="39">
        <f t="shared" si="18"/>
        <v>-6.9100822970365972</v>
      </c>
      <c r="AE34" s="39">
        <f t="shared" si="19"/>
        <v>56.57509759713858</v>
      </c>
      <c r="AF34" s="39">
        <f t="shared" si="20"/>
        <v>49.665015300101985</v>
      </c>
    </row>
    <row r="35" spans="1:32" x14ac:dyDescent="0.3">
      <c r="B35" s="17"/>
      <c r="C35" s="17"/>
      <c r="D35" s="17"/>
      <c r="E35" s="17"/>
      <c r="F35" s="17"/>
      <c r="G35" s="11"/>
      <c r="H35" s="39"/>
      <c r="I35" s="39"/>
      <c r="J35" s="39"/>
      <c r="M35" s="17"/>
      <c r="N35" s="17"/>
      <c r="O35" s="17"/>
      <c r="P35" s="17"/>
      <c r="Q35" s="17"/>
      <c r="R35" s="11"/>
      <c r="S35" s="39"/>
      <c r="T35" s="39"/>
      <c r="U35" s="39"/>
      <c r="X35" s="17"/>
      <c r="Y35" s="17"/>
      <c r="Z35" s="17"/>
      <c r="AA35" s="17"/>
      <c r="AB35" s="17"/>
      <c r="AC35" s="11"/>
      <c r="AD35" s="39"/>
      <c r="AE35" s="39"/>
      <c r="AF35" s="39"/>
    </row>
    <row r="36" spans="1:32" x14ac:dyDescent="0.3">
      <c r="A36" s="23" t="str">
        <f>$A$18</f>
        <v>All occupations</v>
      </c>
      <c r="B36" s="25">
        <f>B18/B$18*100</f>
        <v>100</v>
      </c>
      <c r="C36" s="25">
        <f>C18/C$18*100</f>
        <v>100</v>
      </c>
      <c r="D36" s="25">
        <f>D18/D$18*100</f>
        <v>100</v>
      </c>
      <c r="E36" s="25">
        <f>E18/E$18*100</f>
        <v>100</v>
      </c>
      <c r="F36" s="25">
        <f>F18/F$18*100</f>
        <v>100</v>
      </c>
      <c r="G36" s="11"/>
      <c r="H36" s="42">
        <f>IF(D18&gt;0,(H18/D18)*100,0)</f>
        <v>8.50896858159925</v>
      </c>
      <c r="I36" s="42">
        <f t="shared" si="11"/>
        <v>50.611117676309583</v>
      </c>
      <c r="J36" s="42">
        <f t="shared" si="12"/>
        <v>59.120086257908831</v>
      </c>
      <c r="L36" s="23" t="str">
        <f>$A$18</f>
        <v>All occupations</v>
      </c>
      <c r="M36" s="25">
        <f>M18/M$18*100</f>
        <v>100</v>
      </c>
      <c r="N36" s="25">
        <f>N18/N$18*100</f>
        <v>100</v>
      </c>
      <c r="O36" s="25">
        <f>O18/O$18*100</f>
        <v>100</v>
      </c>
      <c r="P36" s="25">
        <f>P18/P$18*100</f>
        <v>100</v>
      </c>
      <c r="Q36" s="25">
        <f>Q18/Q$18*100</f>
        <v>100</v>
      </c>
      <c r="R36" s="11"/>
      <c r="S36" s="42">
        <f t="shared" ref="S36" si="36">IF(O18&gt;0,(S18/O18)*100,0)</f>
        <v>8.1819482978362856</v>
      </c>
      <c r="T36" s="42">
        <f t="shared" ref="T36" si="37">IF(O18&gt;0,(T18/O18)*100,0)</f>
        <v>42.253890471471237</v>
      </c>
      <c r="U36" s="42">
        <f t="shared" ref="U36" si="38">IF(O18&gt;0,(U18/O18)*100,0)</f>
        <v>50.43583876930753</v>
      </c>
      <c r="W36" s="23" t="str">
        <f>$A$18</f>
        <v>All occupations</v>
      </c>
      <c r="X36" s="25">
        <f>X18/X$18*100</f>
        <v>100</v>
      </c>
      <c r="Y36" s="25">
        <f>Y18/Y$18*100</f>
        <v>100</v>
      </c>
      <c r="Z36" s="25">
        <f>Z18/Z$18*100</f>
        <v>100</v>
      </c>
      <c r="AA36" s="25">
        <f>AA18/AA$18*100</f>
        <v>100</v>
      </c>
      <c r="AB36" s="25">
        <f>AB18/AB$18*100</f>
        <v>100</v>
      </c>
      <c r="AC36" s="11"/>
      <c r="AD36" s="42">
        <f t="shared" ref="AD36" si="39">IF(Z18&gt;0,(AD18/Z18)*100,0)</f>
        <v>8.8563023943783765</v>
      </c>
      <c r="AE36" s="42">
        <f t="shared" ref="AE36" si="40">IF(Z18&gt;0,(AE18/Z18)*100,0)</f>
        <v>59.487471020256621</v>
      </c>
      <c r="AF36" s="42">
        <f t="shared" ref="AF36" si="41">IF(Z18&gt;0,(AF18/Z18)*100,0)</f>
        <v>68.34377341463501</v>
      </c>
    </row>
    <row r="37" spans="1:32" x14ac:dyDescent="0.3">
      <c r="B37" s="17"/>
      <c r="C37" s="17"/>
      <c r="D37" s="17"/>
      <c r="E37" s="17"/>
      <c r="F37" s="17"/>
      <c r="G37" s="11"/>
      <c r="M37" s="17"/>
      <c r="N37" s="17"/>
      <c r="O37" s="17"/>
      <c r="P37" s="17"/>
      <c r="Q37" s="17"/>
      <c r="R37" s="11"/>
      <c r="X37" s="17"/>
      <c r="Y37" s="17"/>
      <c r="Z37" s="17"/>
      <c r="AA37" s="17"/>
      <c r="AB37" s="17"/>
      <c r="AC37" s="11"/>
    </row>
    <row r="38" spans="1:32" x14ac:dyDescent="0.3">
      <c r="B38" s="17"/>
      <c r="C38" s="17"/>
      <c r="D38" s="17"/>
      <c r="E38" s="17"/>
      <c r="F38" s="17"/>
      <c r="G38" s="11"/>
      <c r="M38" s="17"/>
      <c r="N38" s="17"/>
      <c r="O38" s="17"/>
      <c r="P38" s="17"/>
      <c r="Q38" s="17"/>
      <c r="R38" s="11"/>
      <c r="X38" s="17"/>
      <c r="Y38" s="17"/>
      <c r="Z38" s="17"/>
      <c r="AA38" s="17"/>
      <c r="AB38" s="17"/>
      <c r="AC38" s="11"/>
    </row>
    <row r="39" spans="1:32" ht="15.45" x14ac:dyDescent="0.4">
      <c r="A39" s="18" t="str">
        <f>CONCATENATE(A$1," (Continued)")</f>
        <v>Occupation Table 1  Employment Change by Occupation Group (SOC 2020) and Replacement Demand, 2015-2035, East (Continued)</v>
      </c>
      <c r="B39" s="17"/>
      <c r="C39" s="17"/>
      <c r="D39" s="17"/>
      <c r="E39" s="17"/>
      <c r="F39" s="17"/>
      <c r="G39" s="11"/>
      <c r="L39" s="18" t="str">
        <f>CONCATENATE(L$1," (Continued)")</f>
        <v>Occupation Table 1.1  Males: Employment Change by Occupation Group (SOC 2020) and Replacement Demand, 2015-2035, East (Continued)</v>
      </c>
      <c r="M39" s="17"/>
      <c r="N39" s="17"/>
      <c r="O39" s="17"/>
      <c r="P39" s="17"/>
      <c r="Q39" s="17"/>
      <c r="R39" s="11"/>
      <c r="W39" s="18" t="str">
        <f>CONCATENATE(W$1," (Continued)")</f>
        <v>Occupation Table 1.2  Females: Employment Change by Occupation Group (SOC 2020) and Replacement Demand, 2015-2035, East (Continued)</v>
      </c>
      <c r="X39" s="17"/>
      <c r="Y39" s="17"/>
      <c r="Z39" s="17"/>
      <c r="AA39" s="17"/>
      <c r="AB39" s="17"/>
      <c r="AC39" s="11"/>
    </row>
    <row r="40" spans="1:32" x14ac:dyDescent="0.3">
      <c r="B40" s="17"/>
      <c r="C40" s="17"/>
      <c r="D40" s="17"/>
      <c r="E40" s="17"/>
      <c r="F40" s="17"/>
      <c r="G40" s="11"/>
      <c r="M40" s="17"/>
      <c r="N40" s="17"/>
      <c r="O40" s="17"/>
      <c r="P40" s="17"/>
      <c r="Q40" s="17"/>
      <c r="R40" s="11"/>
      <c r="X40" s="17"/>
      <c r="Y40" s="17"/>
      <c r="Z40" s="17"/>
      <c r="AA40" s="17"/>
      <c r="AB40" s="17"/>
      <c r="AC40" s="11"/>
    </row>
    <row r="41" spans="1:32" x14ac:dyDescent="0.3">
      <c r="B41" s="17"/>
      <c r="C41" s="17"/>
      <c r="D41" s="17"/>
      <c r="E41" s="17"/>
      <c r="F41" s="15" t="s">
        <v>36</v>
      </c>
      <c r="G41" s="11"/>
      <c r="J41" s="15" t="s">
        <v>36</v>
      </c>
      <c r="M41" s="17"/>
      <c r="N41" s="17"/>
      <c r="O41" s="17"/>
      <c r="P41" s="17"/>
      <c r="Q41" s="15" t="s">
        <v>36</v>
      </c>
      <c r="R41" s="11"/>
      <c r="U41" s="15" t="s">
        <v>36</v>
      </c>
      <c r="X41" s="17"/>
      <c r="Y41" s="17"/>
      <c r="Z41" s="17"/>
      <c r="AA41" s="17"/>
      <c r="AB41" s="15" t="s">
        <v>36</v>
      </c>
      <c r="AC41" s="11"/>
      <c r="AF41" s="15" t="s">
        <v>36</v>
      </c>
    </row>
    <row r="42" spans="1:32" x14ac:dyDescent="0.3">
      <c r="A42" s="35"/>
      <c r="B42" s="65"/>
      <c r="C42" s="65"/>
      <c r="D42" s="65"/>
      <c r="E42" s="65"/>
      <c r="F42" s="65"/>
      <c r="G42" s="11"/>
      <c r="H42" s="27" t="str">
        <f>H4</f>
        <v>2020-2035</v>
      </c>
      <c r="I42" s="35"/>
      <c r="J42" s="35"/>
      <c r="L42" s="35"/>
      <c r="M42" s="65"/>
      <c r="N42" s="65"/>
      <c r="O42" s="65"/>
      <c r="P42" s="65"/>
      <c r="Q42" s="65"/>
      <c r="R42" s="11"/>
      <c r="S42" s="27" t="str">
        <f>S4</f>
        <v>2020-2035</v>
      </c>
      <c r="T42" s="35"/>
      <c r="U42" s="35"/>
      <c r="W42" s="35"/>
      <c r="X42" s="65"/>
      <c r="Y42" s="65"/>
      <c r="Z42" s="65"/>
      <c r="AA42" s="65"/>
      <c r="AB42" s="65"/>
      <c r="AC42" s="11"/>
      <c r="AD42" s="27" t="str">
        <f>AD4</f>
        <v>2020-2035</v>
      </c>
      <c r="AE42" s="35"/>
      <c r="AF42" s="35"/>
    </row>
    <row r="43" spans="1:32" x14ac:dyDescent="0.3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3">
      <c r="A44" s="40" t="s">
        <v>14</v>
      </c>
      <c r="B44" s="63" t="str">
        <f>CONCATENATE(B$6,"-",C$6)</f>
        <v>2015-2019</v>
      </c>
      <c r="C44" s="63" t="str">
        <f>CONCATENATE(C$6,"-",D$6)</f>
        <v>2019-2020</v>
      </c>
      <c r="D44" s="63" t="str">
        <f>CONCATENATE(D$6,"-",E$6)</f>
        <v>2020-2025</v>
      </c>
      <c r="E44" s="63" t="str">
        <f>CONCATENATE(E$6,"-",F$6)</f>
        <v>2025-2035</v>
      </c>
      <c r="F44" s="63" t="str">
        <f>CONCATENATE(D$6,"-",F$6)</f>
        <v>2020-2035</v>
      </c>
      <c r="H44" s="23" t="str">
        <f>H6</f>
        <v>Change</v>
      </c>
      <c r="I44" s="23" t="str">
        <f>I6</f>
        <v>Demand</v>
      </c>
      <c r="J44" s="23" t="str">
        <f>J6</f>
        <v>Requirement</v>
      </c>
      <c r="L44" s="40" t="s">
        <v>14</v>
      </c>
      <c r="M44" s="63" t="str">
        <f>CONCATENATE(M$6,"-",N$6)</f>
        <v>2015-2019</v>
      </c>
      <c r="N44" s="63" t="str">
        <f>CONCATENATE(N$6,"-",O$6)</f>
        <v>2019-2020</v>
      </c>
      <c r="O44" s="63" t="str">
        <f>CONCATENATE(O$6,"-",P$6)</f>
        <v>2020-2025</v>
      </c>
      <c r="P44" s="63" t="str">
        <f>CONCATENATE(P$6,"-",Q$6)</f>
        <v>2025-2035</v>
      </c>
      <c r="Q44" s="63" t="str">
        <f>CONCATENATE(O$6,"-",Q$6)</f>
        <v>2020-2035</v>
      </c>
      <c r="S44" s="23" t="str">
        <f>S6</f>
        <v>Change</v>
      </c>
      <c r="T44" s="23" t="str">
        <f>T6</f>
        <v>Demand</v>
      </c>
      <c r="U44" s="23" t="str">
        <f>U6</f>
        <v>Requirement</v>
      </c>
      <c r="W44" s="40" t="s">
        <v>14</v>
      </c>
      <c r="X44" s="63" t="str">
        <f>CONCATENATE(X$6,"-",Y$6)</f>
        <v>2015-2019</v>
      </c>
      <c r="Y44" s="63" t="str">
        <f>CONCATENATE(Y$6,"-",Z$6)</f>
        <v>2019-2020</v>
      </c>
      <c r="Z44" s="63" t="str">
        <f>CONCATENATE(Z$6,"-",AA$6)</f>
        <v>2020-2025</v>
      </c>
      <c r="AA44" s="63" t="str">
        <f>CONCATENATE(AA$6,"-",AB$6)</f>
        <v>2025-2035</v>
      </c>
      <c r="AB44" s="63" t="str">
        <f>CONCATENATE(Z$6,"-",AB$6)</f>
        <v>2020-2035</v>
      </c>
      <c r="AD44" s="23" t="str">
        <f>AD6</f>
        <v>Change</v>
      </c>
      <c r="AE44" s="23" t="str">
        <f>AE6</f>
        <v>Demand</v>
      </c>
      <c r="AF44" s="23" t="str">
        <f>AF6</f>
        <v>Requirement</v>
      </c>
    </row>
    <row r="45" spans="1:32" x14ac:dyDescent="0.3">
      <c r="A45" s="1"/>
      <c r="B45" s="19"/>
      <c r="C45" s="19"/>
      <c r="D45" s="19"/>
      <c r="E45" s="19"/>
      <c r="F45" s="19"/>
      <c r="L45" s="1"/>
      <c r="M45" s="19"/>
      <c r="N45" s="19"/>
      <c r="O45" s="19"/>
      <c r="P45" s="19"/>
      <c r="Q45" s="19"/>
      <c r="W45" s="1"/>
      <c r="X45" s="19"/>
      <c r="Y45" s="19"/>
      <c r="Z45" s="19"/>
      <c r="AA45" s="19"/>
      <c r="AB45" s="19"/>
    </row>
    <row r="46" spans="1:32" x14ac:dyDescent="0.3">
      <c r="A46" t="str">
        <f>$A$8</f>
        <v>Managers, directors and senior officials</v>
      </c>
      <c r="B46" s="17">
        <f>IF(C$6-B$6 &lt;&gt; 0,(EXP(LN(C8/B8)/(C$6-B$6))-1)*100,0)</f>
        <v>3.124018459318223</v>
      </c>
      <c r="C46" s="17">
        <f t="shared" ref="B46:E54" si="42">IF(D$6-C$6 &lt;&gt; 0,(EXP(LN(D8/C8)/(D$6-C$6))-1)*100,0)</f>
        <v>1.6802304169536209</v>
      </c>
      <c r="D46" s="17">
        <f t="shared" si="42"/>
        <v>0.66614906020818765</v>
      </c>
      <c r="E46" s="17">
        <f t="shared" si="42"/>
        <v>1.2255535207871038</v>
      </c>
      <c r="F46" s="17">
        <f>IF(F$6-D$6 &lt;&gt; 0,(EXP(LN(F8/D8)/(F$6-D$6))-1)*100,0)</f>
        <v>1.0387408147528587</v>
      </c>
      <c r="H46" s="17">
        <f>IF($F$6-$D$6 &lt;&gt; 0,(EXP(LN(1+(H26/100))/($F$6-$D$6))-1)*100,0)</f>
        <v>1.0387408147528587</v>
      </c>
      <c r="I46" s="17">
        <f>IF($F$6-$D$6 &lt;&gt; 0,(EXP(LN(1+(I26/100))/($F$6-$D$6))-1)*100,0)</f>
        <v>3.0578860456695889</v>
      </c>
      <c r="J46" s="17">
        <f>IF($F$6-$D$6 &lt;&gt; 0,(EXP(LN(1+(J26/100))/($F$6-$D$6))-1)*100,0)</f>
        <v>3.7568951903086401</v>
      </c>
      <c r="L46" t="str">
        <f>$A$8</f>
        <v>Managers, directors and senior officials</v>
      </c>
      <c r="M46" s="17">
        <f t="shared" ref="M46:M54" si="43">IF(N$6-M$6 &lt;&gt; 0,(EXP(LN(N8/M8)/(N$6-M$6))-1)*100,0)</f>
        <v>1.9639622204121743</v>
      </c>
      <c r="N46" s="17">
        <f t="shared" ref="N46:N54" si="44">IF(O$6-N$6 &lt;&gt; 0,(EXP(LN(O8/N8)/(O$6-N$6))-1)*100,0)</f>
        <v>1.7152687514506049</v>
      </c>
      <c r="O46" s="17">
        <f t="shared" ref="O46:O54" si="45">IF(P$6-O$6 &lt;&gt; 0,(EXP(LN(P8/O8)/(P$6-O$6))-1)*100,0)</f>
        <v>0.26245464828591469</v>
      </c>
      <c r="P46" s="17">
        <f t="shared" ref="P46:P54" si="46">IF(Q$6-P$6 &lt;&gt; 0,(EXP(LN(Q8/P8)/(Q$6-P$6))-1)*100,0)</f>
        <v>0.86941952019081725</v>
      </c>
      <c r="Q46" s="17">
        <f>IF(Q$6-O$6 &lt;&gt; 0,(EXP(LN(Q8/O8)/(Q$6-O$6))-1)*100,0)</f>
        <v>0.66669072195635337</v>
      </c>
      <c r="S46" s="17">
        <f>IF($F$6-$D$6 &lt;&gt; 0,(EXP(LN(1+(S26/100))/($F$6-$D$6))-1)*100,0)</f>
        <v>0.66669072195635337</v>
      </c>
      <c r="T46" s="17">
        <f>IF($F$6-$D$6 &lt;&gt; 0,(EXP(LN(1+(T26/100))/($F$6-$D$6))-1)*100,0)</f>
        <v>2.7459648126664238</v>
      </c>
      <c r="U46" s="17">
        <f>IF($F$6-$D$6 &lt;&gt; 0,(EXP(LN(1+(U26/100))/($F$6-$D$6))-1)*100,0)</f>
        <v>3.2092393314292922</v>
      </c>
      <c r="W46" t="str">
        <f>$A$8</f>
        <v>Managers, directors and senior officials</v>
      </c>
      <c r="X46" s="17">
        <f t="shared" ref="X46:X54" si="47">IF(Y$6-X$6 &lt;&gt; 0,(EXP(LN(Y8/X8)/(Y$6-X$6))-1)*100,0)</f>
        <v>5.3964738384469246</v>
      </c>
      <c r="Y46" s="17">
        <f t="shared" ref="Y46:Y54" si="48">IF(Z$6-Y$6 &lt;&gt; 0,(EXP(LN(Z8/Y8)/(Z$6-Y$6))-1)*100,0)</f>
        <v>1.6170320956753192</v>
      </c>
      <c r="Z46" s="17">
        <f t="shared" ref="Z46:Z54" si="49">IF(AA$6-Z$6 &lt;&gt; 0,(EXP(LN(AA8/Z8)/(AA$6-Z$6))-1)*100,0)</f>
        <v>1.3790028996133241</v>
      </c>
      <c r="AA46" s="17">
        <f t="shared" ref="AA46:AA54" si="50">IF(AB$6-AA$6 &lt;&gt; 0,(EXP(LN(AB8/AA8)/(AB$6-AA$6))-1)*100,0)</f>
        <v>1.8089854524993454</v>
      </c>
      <c r="AB46" s="17">
        <f>IF(AB$6-Z$6 &lt;&gt; 0,(EXP(LN(AB8/Z8)/(AB$6-Z$6))-1)*100,0)</f>
        <v>1.6654556824483135</v>
      </c>
      <c r="AD46" s="17">
        <f>IF($F$6-$D$6 &lt;&gt; 0,(EXP(LN(1+(AD26/100))/($F$6-$D$6))-1)*100,0)</f>
        <v>1.6654556824483135</v>
      </c>
      <c r="AE46" s="17">
        <f>IF($F$6-$D$6 &lt;&gt; 0,(EXP(LN(1+(AE26/100))/($F$6-$D$6))-1)*100,0)</f>
        <v>3.5896222658437171</v>
      </c>
      <c r="AF46" s="17">
        <f>IF($F$6-$D$6 &lt;&gt; 0,(EXP(LN(1+(AF26/100))/($F$6-$D$6))-1)*100,0)</f>
        <v>4.6536081970849574</v>
      </c>
    </row>
    <row r="47" spans="1:32" x14ac:dyDescent="0.3">
      <c r="A47" t="str">
        <f>$A$9</f>
        <v>Professional occupations</v>
      </c>
      <c r="B47" s="17">
        <f t="shared" si="42"/>
        <v>3.7504030933978028</v>
      </c>
      <c r="C47" s="17">
        <f t="shared" si="42"/>
        <v>3.7514646688612263</v>
      </c>
      <c r="D47" s="17">
        <f t="shared" si="42"/>
        <v>1.5341548363961399</v>
      </c>
      <c r="E47" s="17">
        <f t="shared" si="42"/>
        <v>1.1336833948083047</v>
      </c>
      <c r="F47" s="17">
        <f>IF(F$6-D$6 &lt;&gt; 0,(EXP(LN(F9/D9)/(F$6-D$6))-1)*100,0)</f>
        <v>1.2669980623998933</v>
      </c>
      <c r="H47" s="17">
        <f t="shared" ref="H47:J56" si="51">IF($F$6-$D$6 &lt;&gt; 0,(EXP(LN(1+(H27/100))/($F$6-$D$6))-1)*100,0)</f>
        <v>1.2669980623998933</v>
      </c>
      <c r="I47" s="17">
        <f t="shared" si="51"/>
        <v>2.8005517989840856</v>
      </c>
      <c r="J47" s="17">
        <f t="shared" si="51"/>
        <v>3.686429749143616</v>
      </c>
      <c r="L47" t="str">
        <f>$A$9</f>
        <v>Professional occupations</v>
      </c>
      <c r="M47" s="17">
        <f t="shared" si="43"/>
        <v>2.818917326272885</v>
      </c>
      <c r="N47" s="17">
        <f t="shared" si="44"/>
        <v>2.1726123543374776</v>
      </c>
      <c r="O47" s="17">
        <f t="shared" si="45"/>
        <v>1.4364781884758981</v>
      </c>
      <c r="P47" s="17">
        <f t="shared" si="46"/>
        <v>0.9134827606129603</v>
      </c>
      <c r="Q47" s="17">
        <f>IF(Q$6-O$6 &lt;&gt; 0,(EXP(LN(Q9/O9)/(Q$6-O$6))-1)*100,0)</f>
        <v>1.0875142693285156</v>
      </c>
      <c r="S47" s="17">
        <f t="shared" ref="S47:U47" si="52">IF($F$6-$D$6 &lt;&gt; 0,(EXP(LN(1+(S27/100))/($F$6-$D$6))-1)*100,0)</f>
        <v>1.0875142693285156</v>
      </c>
      <c r="T47" s="17">
        <f t="shared" si="52"/>
        <v>2.3375270487385302</v>
      </c>
      <c r="U47" s="17">
        <f t="shared" si="52"/>
        <v>3.1415413067177766</v>
      </c>
      <c r="W47" t="str">
        <f>$A$9</f>
        <v>Professional occupations</v>
      </c>
      <c r="X47" s="17">
        <f t="shared" si="47"/>
        <v>4.8925555014191824</v>
      </c>
      <c r="Y47" s="17">
        <f t="shared" si="48"/>
        <v>5.593172368754451</v>
      </c>
      <c r="Z47" s="17">
        <f t="shared" si="49"/>
        <v>1.6439526600360965</v>
      </c>
      <c r="AA47" s="17">
        <f t="shared" si="50"/>
        <v>1.3746995393605799</v>
      </c>
      <c r="AB47" s="17">
        <f>IF(AB$6-Z$6 &lt;&gt; 0,(EXP(LN(AB9/Z9)/(AB$6-Z$6))-1)*100,0)</f>
        <v>1.4643712364734052</v>
      </c>
      <c r="AD47" s="17">
        <f t="shared" ref="AD47:AF47" si="53">IF($F$6-$D$6 &lt;&gt; 0,(EXP(LN(1+(AD27/100))/($F$6-$D$6))-1)*100,0)</f>
        <v>1.4643712364734052</v>
      </c>
      <c r="AE47" s="17">
        <f t="shared" si="53"/>
        <v>3.2903304524241728</v>
      </c>
      <c r="AF47" s="17">
        <f t="shared" si="53"/>
        <v>4.2568299858348535</v>
      </c>
    </row>
    <row r="48" spans="1:32" x14ac:dyDescent="0.3">
      <c r="A48" t="str">
        <f>$A$10</f>
        <v>Associate professional occupations</v>
      </c>
      <c r="B48" s="17">
        <f t="shared" si="42"/>
        <v>1.9226095339023308</v>
      </c>
      <c r="C48" s="17">
        <f t="shared" si="42"/>
        <v>6.7024806879982579</v>
      </c>
      <c r="D48" s="17">
        <f t="shared" si="42"/>
        <v>-0.39519436459870549</v>
      </c>
      <c r="E48" s="17">
        <f t="shared" si="42"/>
        <v>0.88694249922163237</v>
      </c>
      <c r="F48" s="17">
        <f t="shared" ref="F48:F56" si="54">IF(F$6-D$6 &lt;&gt; 0,(EXP(LN(F10/D10)/(F$6-D$6))-1)*100,0)</f>
        <v>0.45774018284301388</v>
      </c>
      <c r="H48" s="17">
        <f t="shared" si="51"/>
        <v>0.45774018284301388</v>
      </c>
      <c r="I48" s="17">
        <f t="shared" si="51"/>
        <v>2.5848469685670894</v>
      </c>
      <c r="J48" s="17">
        <f t="shared" si="51"/>
        <v>2.9083004962670911</v>
      </c>
      <c r="L48" t="str">
        <f>$A$10</f>
        <v>Associate professional occupations</v>
      </c>
      <c r="M48" s="17">
        <f t="shared" si="43"/>
        <v>1.4597221064974297</v>
      </c>
      <c r="N48" s="17">
        <f t="shared" si="44"/>
        <v>5.4032230610853604</v>
      </c>
      <c r="O48" s="17">
        <f t="shared" si="45"/>
        <v>-1.1387483223703532</v>
      </c>
      <c r="P48" s="17">
        <f t="shared" si="46"/>
        <v>0.45216624970589869</v>
      </c>
      <c r="Q48" s="17">
        <f t="shared" ref="Q48:Q54" si="55">IF(Q$6-O$6 &lt;&gt; 0,(EXP(LN(Q10/O10)/(Q$6-O$6))-1)*100,0)</f>
        <v>-8.0963076891593655E-2</v>
      </c>
      <c r="S48" s="17">
        <f t="shared" ref="S48:U48" si="56">IF($F$6-$D$6 &lt;&gt; 0,(EXP(LN(1+(S28/100))/($F$6-$D$6))-1)*100,0)</f>
        <v>-8.0963076891593655E-2</v>
      </c>
      <c r="T48" s="17">
        <f t="shared" si="56"/>
        <v>2.0849227989397923</v>
      </c>
      <c r="U48" s="17">
        <f t="shared" si="56"/>
        <v>2.0243653787499039</v>
      </c>
      <c r="W48" t="str">
        <f>$A$10</f>
        <v>Associate professional occupations</v>
      </c>
      <c r="X48" s="17">
        <f t="shared" si="47"/>
        <v>2.4715096833550998</v>
      </c>
      <c r="Y48" s="17">
        <f t="shared" si="48"/>
        <v>8.2054211611179984</v>
      </c>
      <c r="Z48" s="17">
        <f t="shared" si="49"/>
        <v>0.41688474133287912</v>
      </c>
      <c r="AA48" s="17">
        <f t="shared" si="50"/>
        <v>1.3228040828299203</v>
      </c>
      <c r="AB48" s="17">
        <f t="shared" ref="AB48:AB54" si="57">IF(AB$6-Z$6 &lt;&gt; 0,(EXP(LN(AB10/Z10)/(AB$6-Z$6))-1)*100,0)</f>
        <v>1.0199264991112678</v>
      </c>
      <c r="AD48" s="17">
        <f t="shared" ref="AD48:AF48" si="58">IF($F$6-$D$6 &lt;&gt; 0,(EXP(LN(1+(AD28/100))/($F$6-$D$6))-1)*100,0)</f>
        <v>1.0199264991112678</v>
      </c>
      <c r="AE48" s="17">
        <f t="shared" si="58"/>
        <v>3.110100853403841</v>
      </c>
      <c r="AF48" s="17">
        <f t="shared" si="58"/>
        <v>3.7915256301258582</v>
      </c>
    </row>
    <row r="49" spans="1:32" x14ac:dyDescent="0.3">
      <c r="A49" t="str">
        <f>$A$11</f>
        <v>Administrative and secretarial occupations</v>
      </c>
      <c r="B49" s="17">
        <f t="shared" si="42"/>
        <v>-0.53894777883394251</v>
      </c>
      <c r="C49" s="17">
        <f t="shared" si="42"/>
        <v>0.80142819670092624</v>
      </c>
      <c r="D49" s="17">
        <f t="shared" si="42"/>
        <v>-1.0929671044513367</v>
      </c>
      <c r="E49" s="17">
        <f t="shared" si="42"/>
        <v>-1.0963276335700378</v>
      </c>
      <c r="F49" s="17">
        <f t="shared" si="54"/>
        <v>-1.0952074698839409</v>
      </c>
      <c r="H49" s="17">
        <f t="shared" si="51"/>
        <v>-1.0952074698839409</v>
      </c>
      <c r="I49" s="17">
        <f t="shared" si="51"/>
        <v>2.5928960603404105</v>
      </c>
      <c r="J49" s="17">
        <f t="shared" si="51"/>
        <v>1.8467171429236151</v>
      </c>
      <c r="L49" t="str">
        <f>$A$11</f>
        <v>Administrative and secretarial occupations</v>
      </c>
      <c r="M49" s="17">
        <f t="shared" si="43"/>
        <v>-2.2411670792393812</v>
      </c>
      <c r="N49" s="17">
        <f t="shared" si="44"/>
        <v>17.875339744670214</v>
      </c>
      <c r="O49" s="17">
        <f t="shared" si="45"/>
        <v>-0.63663694685652805</v>
      </c>
      <c r="P49" s="17">
        <f t="shared" si="46"/>
        <v>0.88289831940180363</v>
      </c>
      <c r="Q49" s="17">
        <f t="shared" si="55"/>
        <v>0.37382197868760514</v>
      </c>
      <c r="S49" s="17">
        <f t="shared" ref="S49:U49" si="59">IF($F$6-$D$6 &lt;&gt; 0,(EXP(LN(1+(S29/100))/($F$6-$D$6))-1)*100,0)</f>
        <v>0.37382197868760514</v>
      </c>
      <c r="T49" s="17">
        <f t="shared" si="59"/>
        <v>2.1142931025634359</v>
      </c>
      <c r="U49" s="17">
        <f t="shared" si="59"/>
        <v>2.3951419853275757</v>
      </c>
      <c r="W49" t="str">
        <f>$A$11</f>
        <v>Administrative and secretarial occupations</v>
      </c>
      <c r="X49" s="17">
        <f t="shared" si="47"/>
        <v>-8.5356962226068589E-2</v>
      </c>
      <c r="Y49" s="17">
        <f t="shared" si="48"/>
        <v>-3.5060558170360134</v>
      </c>
      <c r="Z49" s="17">
        <f t="shared" si="49"/>
        <v>-1.2353147258323482</v>
      </c>
      <c r="AA49" s="17">
        <f t="shared" si="50"/>
        <v>-1.8073196435583916</v>
      </c>
      <c r="AB49" s="17">
        <f t="shared" si="57"/>
        <v>-1.6170203794574567</v>
      </c>
      <c r="AD49" s="17">
        <f t="shared" ref="AD49:AF49" si="60">IF($F$6-$D$6 &lt;&gt; 0,(EXP(LN(1+(AD29/100))/($F$6-$D$6))-1)*100,0)</f>
        <v>-1.6170203794574567</v>
      </c>
      <c r="AE49" s="17">
        <f t="shared" si="60"/>
        <v>2.7343018808540842</v>
      </c>
      <c r="AF49" s="17">
        <f t="shared" si="60"/>
        <v>1.6690242402108924</v>
      </c>
    </row>
    <row r="50" spans="1:32" x14ac:dyDescent="0.3">
      <c r="A50" t="str">
        <f>$A$12</f>
        <v>Skilled trades occupations</v>
      </c>
      <c r="B50" s="17">
        <f t="shared" si="42"/>
        <v>-1.7883761273370213</v>
      </c>
      <c r="C50" s="17">
        <f t="shared" si="42"/>
        <v>-10.200629576829179</v>
      </c>
      <c r="D50" s="17">
        <f t="shared" si="42"/>
        <v>0.73786969877687181</v>
      </c>
      <c r="E50" s="17">
        <f t="shared" si="42"/>
        <v>-0.14252911344996289</v>
      </c>
      <c r="F50" s="17">
        <f t="shared" si="54"/>
        <v>0.15007890322629169</v>
      </c>
      <c r="H50" s="17">
        <f t="shared" si="51"/>
        <v>0.15007890322629169</v>
      </c>
      <c r="I50" s="17">
        <f t="shared" si="51"/>
        <v>2.4561068693391697</v>
      </c>
      <c r="J50" s="17">
        <f t="shared" si="51"/>
        <v>2.5633018617992498</v>
      </c>
      <c r="L50" t="str">
        <f>$A$12</f>
        <v>Skilled trades occupations</v>
      </c>
      <c r="M50" s="17">
        <f t="shared" si="43"/>
        <v>-2.1917807903816033</v>
      </c>
      <c r="N50" s="17">
        <f t="shared" si="44"/>
        <v>-11.776740193390511</v>
      </c>
      <c r="O50" s="17">
        <f t="shared" si="45"/>
        <v>0.42836613300638593</v>
      </c>
      <c r="P50" s="17">
        <f t="shared" si="46"/>
        <v>-0.40318166242713227</v>
      </c>
      <c r="Q50" s="17">
        <f t="shared" si="55"/>
        <v>-0.12676691773890747</v>
      </c>
      <c r="S50" s="17">
        <f t="shared" ref="S50:U50" si="61">IF($F$6-$D$6 &lt;&gt; 0,(EXP(LN(1+(S30/100))/($F$6-$D$6))-1)*100,0)</f>
        <v>-0.12676691773890747</v>
      </c>
      <c r="T50" s="17">
        <f t="shared" si="61"/>
        <v>2.2547388853281891</v>
      </c>
      <c r="U50" s="17">
        <f t="shared" si="61"/>
        <v>2.1621972413239821</v>
      </c>
      <c r="W50" t="str">
        <f>$A$12</f>
        <v>Skilled trades occupations</v>
      </c>
      <c r="X50" s="17">
        <f t="shared" si="47"/>
        <v>1.3004120078196291</v>
      </c>
      <c r="Y50" s="17">
        <f t="shared" si="48"/>
        <v>0.8605104900156757</v>
      </c>
      <c r="Z50" s="17">
        <f t="shared" si="49"/>
        <v>2.5591203026514187</v>
      </c>
      <c r="AA50" s="17">
        <f t="shared" si="50"/>
        <v>1.1974067964297896</v>
      </c>
      <c r="AB50" s="17">
        <f t="shared" si="57"/>
        <v>1.6492904681263632</v>
      </c>
      <c r="AD50" s="17">
        <f t="shared" ref="AD50:AF50" si="62">IF($F$6-$D$6 &lt;&gt; 0,(EXP(LN(1+(AD30/100))/($F$6-$D$6))-1)*100,0)</f>
        <v>1.6492904681263632</v>
      </c>
      <c r="AE50" s="17">
        <f t="shared" si="62"/>
        <v>3.5841514748828462</v>
      </c>
      <c r="AF50" s="17">
        <f t="shared" si="62"/>
        <v>4.6380884821321855</v>
      </c>
    </row>
    <row r="51" spans="1:32" x14ac:dyDescent="0.3">
      <c r="A51" t="str">
        <f>$A$13</f>
        <v>Caring, leisure and other service occupations</v>
      </c>
      <c r="B51" s="17">
        <f t="shared" si="42"/>
        <v>2.2244375429032681</v>
      </c>
      <c r="C51" s="17">
        <f t="shared" si="42"/>
        <v>-2.3488283766028961</v>
      </c>
      <c r="D51" s="17">
        <f t="shared" si="42"/>
        <v>1.3873095433326377</v>
      </c>
      <c r="E51" s="17">
        <f t="shared" si="42"/>
        <v>0.97315493927332408</v>
      </c>
      <c r="F51" s="17">
        <f t="shared" si="54"/>
        <v>1.1110181574021327</v>
      </c>
      <c r="H51" s="17">
        <f t="shared" si="51"/>
        <v>1.1110181574021327</v>
      </c>
      <c r="I51" s="17">
        <f t="shared" si="51"/>
        <v>3.2385298667078732</v>
      </c>
      <c r="J51" s="17">
        <f t="shared" si="51"/>
        <v>3.9702528717757479</v>
      </c>
      <c r="L51" t="str">
        <f>$A$13</f>
        <v>Caring, leisure and other service occupations</v>
      </c>
      <c r="M51" s="17">
        <f t="shared" si="43"/>
        <v>0.72615424016124752</v>
      </c>
      <c r="N51" s="17">
        <f t="shared" si="44"/>
        <v>-3.8996965229223024</v>
      </c>
      <c r="O51" s="17">
        <f t="shared" si="45"/>
        <v>2.6327822879367746</v>
      </c>
      <c r="P51" s="17">
        <f t="shared" si="46"/>
        <v>1.572371229606917</v>
      </c>
      <c r="Q51" s="17">
        <f t="shared" si="55"/>
        <v>1.9246185958798012</v>
      </c>
      <c r="S51" s="17">
        <f t="shared" ref="S51:U51" si="63">IF($F$6-$D$6 &lt;&gt; 0,(EXP(LN(1+(S31/100))/($F$6-$D$6))-1)*100,0)</f>
        <v>1.9246185958798012</v>
      </c>
      <c r="T51" s="17">
        <f t="shared" si="63"/>
        <v>2.8542322346898796</v>
      </c>
      <c r="U51" s="17">
        <f t="shared" si="63"/>
        <v>4.2099123039720521</v>
      </c>
      <c r="W51" t="str">
        <f>$A$13</f>
        <v>Caring, leisure and other service occupations</v>
      </c>
      <c r="X51" s="17">
        <f t="shared" si="47"/>
        <v>2.5683132423841126</v>
      </c>
      <c r="Y51" s="17">
        <f t="shared" si="48"/>
        <v>-2.0086952681591441</v>
      </c>
      <c r="Z51" s="17">
        <f t="shared" si="49"/>
        <v>1.1112643993087756</v>
      </c>
      <c r="AA51" s="17">
        <f t="shared" si="50"/>
        <v>0.82959581495996026</v>
      </c>
      <c r="AB51" s="17">
        <f t="shared" si="57"/>
        <v>0.92339805136367747</v>
      </c>
      <c r="AD51" s="17">
        <f t="shared" ref="AD51:AF51" si="64">IF($F$6-$D$6 &lt;&gt; 0,(EXP(LN(1+(AD31/100))/($F$6-$D$6))-1)*100,0)</f>
        <v>0.92339805136367747</v>
      </c>
      <c r="AE51" s="17">
        <f t="shared" si="64"/>
        <v>3.3186307983092078</v>
      </c>
      <c r="AF51" s="17">
        <f t="shared" si="64"/>
        <v>3.917679800394902</v>
      </c>
    </row>
    <row r="52" spans="1:32" x14ac:dyDescent="0.3">
      <c r="A52" t="str">
        <f>$A$14</f>
        <v>Sales and customer service occupations</v>
      </c>
      <c r="B52" s="17">
        <f t="shared" si="42"/>
        <v>-1.9483027361495431</v>
      </c>
      <c r="C52" s="17">
        <f t="shared" si="42"/>
        <v>-0.67913957109121403</v>
      </c>
      <c r="D52" s="17">
        <f t="shared" si="42"/>
        <v>7.2731095662126322E-2</v>
      </c>
      <c r="E52" s="17">
        <f t="shared" si="42"/>
        <v>1.4895655163127408E-2</v>
      </c>
      <c r="F52" s="17">
        <f t="shared" si="54"/>
        <v>3.4170420478374375E-2</v>
      </c>
      <c r="H52" s="17">
        <f t="shared" si="51"/>
        <v>3.4170420478374375E-2</v>
      </c>
      <c r="I52" s="17">
        <f t="shared" si="51"/>
        <v>2.5604943028951777</v>
      </c>
      <c r="J52" s="17">
        <f t="shared" si="51"/>
        <v>2.5844967949173459</v>
      </c>
      <c r="L52" t="str">
        <f>$A$14</f>
        <v>Sales and customer service occupations</v>
      </c>
      <c r="M52" s="17">
        <f t="shared" si="43"/>
        <v>-2.1943015296386426</v>
      </c>
      <c r="N52" s="17">
        <f t="shared" si="44"/>
        <v>2.6705067538468796</v>
      </c>
      <c r="O52" s="17">
        <f t="shared" si="45"/>
        <v>0.5623670215018306</v>
      </c>
      <c r="P52" s="17">
        <f t="shared" si="46"/>
        <v>0.26641552506534438</v>
      </c>
      <c r="Q52" s="17">
        <f t="shared" si="55"/>
        <v>0.36496912210102206</v>
      </c>
      <c r="S52" s="17">
        <f t="shared" ref="S52:U52" si="65">IF($F$6-$D$6 &lt;&gt; 0,(EXP(LN(1+(S32/100))/($F$6-$D$6))-1)*100,0)</f>
        <v>0.36496912210102206</v>
      </c>
      <c r="T52" s="17">
        <f t="shared" si="65"/>
        <v>2.015824867064886</v>
      </c>
      <c r="U52" s="17">
        <f t="shared" si="65"/>
        <v>2.2936311374865959</v>
      </c>
      <c r="W52" t="str">
        <f>$A$14</f>
        <v>Sales and customer service occupations</v>
      </c>
      <c r="X52" s="17">
        <f t="shared" si="47"/>
        <v>-1.7881243453613194</v>
      </c>
      <c r="Y52" s="17">
        <f t="shared" si="48"/>
        <v>-2.8377252811554787</v>
      </c>
      <c r="Z52" s="17">
        <f t="shared" si="49"/>
        <v>-0.26625643976406765</v>
      </c>
      <c r="AA52" s="17">
        <f t="shared" si="50"/>
        <v>-0.16712956006543767</v>
      </c>
      <c r="AB52" s="17">
        <f t="shared" si="57"/>
        <v>-0.20018279554406826</v>
      </c>
      <c r="AD52" s="17">
        <f t="shared" ref="AD52:AF52" si="66">IF($F$6-$D$6 &lt;&gt; 0,(EXP(LN(1+(AD32/100))/($F$6-$D$6))-1)*100,0)</f>
        <v>-0.20018279554406826</v>
      </c>
      <c r="AE52" s="17">
        <f t="shared" si="66"/>
        <v>2.9094776752852214</v>
      </c>
      <c r="AF52" s="17">
        <f t="shared" si="66"/>
        <v>2.7761530685749491</v>
      </c>
    </row>
    <row r="53" spans="1:32" x14ac:dyDescent="0.3">
      <c r="A53" t="str">
        <f>$A$15</f>
        <v>Process, plant and machine operatives</v>
      </c>
      <c r="B53" s="17">
        <f t="shared" si="42"/>
        <v>1.8299427690021242</v>
      </c>
      <c r="C53" s="17">
        <f t="shared" si="42"/>
        <v>-11.463157896077691</v>
      </c>
      <c r="D53" s="17">
        <f t="shared" si="42"/>
        <v>3.0499762268154873</v>
      </c>
      <c r="E53" s="17">
        <f t="shared" si="42"/>
        <v>0.1689214055796695</v>
      </c>
      <c r="F53" s="17">
        <f t="shared" si="54"/>
        <v>1.1202101713344126</v>
      </c>
      <c r="H53" s="17">
        <f t="shared" si="51"/>
        <v>1.1202101713344126</v>
      </c>
      <c r="I53" s="17">
        <f t="shared" si="51"/>
        <v>2.9598598967679912</v>
      </c>
      <c r="J53" s="17">
        <f t="shared" si="51"/>
        <v>3.7247411251554174</v>
      </c>
      <c r="L53" t="str">
        <f>$A$15</f>
        <v>Process, plant and machine operatives</v>
      </c>
      <c r="M53" s="17">
        <f t="shared" si="43"/>
        <v>1.9239588749126124</v>
      </c>
      <c r="N53" s="17">
        <f t="shared" si="44"/>
        <v>-11.47992995583177</v>
      </c>
      <c r="O53" s="17">
        <f t="shared" si="45"/>
        <v>2.463096083514027</v>
      </c>
      <c r="P53" s="17">
        <f t="shared" si="46"/>
        <v>0.14207577153204642</v>
      </c>
      <c r="Q53" s="17">
        <f t="shared" si="55"/>
        <v>0.90984778997447169</v>
      </c>
      <c r="S53" s="17">
        <f t="shared" ref="S53:U53" si="67">IF($F$6-$D$6 &lt;&gt; 0,(EXP(LN(1+(S33/100))/($F$6-$D$6))-1)*100,0)</f>
        <v>0.90984778997447169</v>
      </c>
      <c r="T53" s="17">
        <f t="shared" si="67"/>
        <v>2.8232315770685856</v>
      </c>
      <c r="U53" s="17">
        <f t="shared" si="67"/>
        <v>3.4525327528264871</v>
      </c>
      <c r="W53" t="str">
        <f>$A$15</f>
        <v>Process, plant and machine operatives</v>
      </c>
      <c r="X53" s="17">
        <f t="shared" si="47"/>
        <v>1.2388206002948765</v>
      </c>
      <c r="Y53" s="17">
        <f t="shared" si="48"/>
        <v>-11.355908865600883</v>
      </c>
      <c r="Z53" s="17">
        <f t="shared" si="49"/>
        <v>6.5142136640344406</v>
      </c>
      <c r="AA53" s="17">
        <f t="shared" si="50"/>
        <v>0.30907761860075045</v>
      </c>
      <c r="AB53" s="17">
        <f t="shared" si="57"/>
        <v>2.3362141326103369</v>
      </c>
      <c r="AD53" s="17">
        <f t="shared" ref="AD53:AF53" si="68">IF($F$6-$D$6 &lt;&gt; 0,(EXP(LN(1+(AD33/100))/($F$6-$D$6))-1)*100,0)</f>
        <v>2.3362141326103369</v>
      </c>
      <c r="AE53" s="17">
        <f t="shared" si="68"/>
        <v>3.7772279729689551</v>
      </c>
      <c r="AF53" s="17">
        <f t="shared" si="68"/>
        <v>5.261331413146153</v>
      </c>
    </row>
    <row r="54" spans="1:32" x14ac:dyDescent="0.3">
      <c r="A54" t="str">
        <f>$A$16</f>
        <v>Elementary occupations</v>
      </c>
      <c r="B54" s="17">
        <f t="shared" si="42"/>
        <v>-0.17510578822541589</v>
      </c>
      <c r="C54" s="17">
        <f t="shared" si="42"/>
        <v>-7.9829042140301283</v>
      </c>
      <c r="D54" s="17">
        <f t="shared" si="42"/>
        <v>0.12210622107409197</v>
      </c>
      <c r="E54" s="17">
        <f t="shared" si="42"/>
        <v>-0.40195741313624467</v>
      </c>
      <c r="F54" s="17">
        <f t="shared" si="54"/>
        <v>-0.2275750326569681</v>
      </c>
      <c r="H54" s="17">
        <f t="shared" si="51"/>
        <v>-0.2275750326569681</v>
      </c>
      <c r="I54" s="17">
        <f t="shared" si="51"/>
        <v>2.6380968886725142</v>
      </c>
      <c r="J54" s="17">
        <f t="shared" si="51"/>
        <v>2.4808614946303154</v>
      </c>
      <c r="L54" t="str">
        <f>$A$16</f>
        <v>Elementary occupations</v>
      </c>
      <c r="M54" s="17">
        <f t="shared" si="43"/>
        <v>-1.566822573232507</v>
      </c>
      <c r="N54" s="17">
        <f t="shared" si="44"/>
        <v>-4.3749223446121865</v>
      </c>
      <c r="O54" s="17">
        <f t="shared" si="45"/>
        <v>0.64399355611006737</v>
      </c>
      <c r="P54" s="17">
        <f t="shared" si="46"/>
        <v>-0.32074488538550439</v>
      </c>
      <c r="Q54" s="17">
        <f t="shared" si="55"/>
        <v>-1.9732352342094472E-4</v>
      </c>
      <c r="S54" s="17">
        <f t="shared" ref="S54:U54" si="69">IF($F$6-$D$6 &lt;&gt; 0,(EXP(LN(1+(S34/100))/($F$6-$D$6))-1)*100,0)</f>
        <v>-1.9732352342094472E-4</v>
      </c>
      <c r="T54" s="17">
        <f t="shared" si="69"/>
        <v>2.2427842627272376</v>
      </c>
      <c r="U54" s="17">
        <f t="shared" si="69"/>
        <v>2.2426396122678938</v>
      </c>
      <c r="W54" t="str">
        <f>$A$16</f>
        <v>Elementary occupations</v>
      </c>
      <c r="X54" s="17">
        <f t="shared" si="47"/>
        <v>1.287835963488293</v>
      </c>
      <c r="Y54" s="17">
        <f t="shared" si="48"/>
        <v>-11.513963389845848</v>
      </c>
      <c r="Z54" s="17">
        <f t="shared" si="49"/>
        <v>-0.44196695520632989</v>
      </c>
      <c r="AA54" s="17">
        <f t="shared" si="50"/>
        <v>-0.49334878837496987</v>
      </c>
      <c r="AB54" s="17">
        <f t="shared" si="57"/>
        <v>-0.47622445778694455</v>
      </c>
      <c r="AD54" s="17">
        <f t="shared" ref="AD54:AF54" si="70">IF($F$6-$D$6 &lt;&gt; 0,(EXP(LN(1+(AD34/100))/($F$6-$D$6))-1)*100,0)</f>
        <v>-0.47622445778694455</v>
      </c>
      <c r="AE54" s="17">
        <f t="shared" si="70"/>
        <v>3.034225939147106</v>
      </c>
      <c r="AF54" s="17">
        <f t="shared" si="70"/>
        <v>2.7246538014099153</v>
      </c>
    </row>
    <row r="55" spans="1:32" x14ac:dyDescent="0.3">
      <c r="B55" s="17"/>
      <c r="C55" s="17"/>
      <c r="D55" s="17"/>
      <c r="E55" s="17"/>
      <c r="F55" s="17"/>
      <c r="H55" s="17"/>
      <c r="I55" s="17"/>
      <c r="J55" s="17"/>
      <c r="M55" s="17"/>
      <c r="N55" s="17"/>
      <c r="O55" s="17"/>
      <c r="P55" s="17"/>
      <c r="Q55" s="17"/>
      <c r="S55" s="17"/>
      <c r="T55" s="17"/>
      <c r="U55" s="17"/>
      <c r="X55" s="17"/>
      <c r="Y55" s="17"/>
      <c r="Z55" s="17"/>
      <c r="AA55" s="17"/>
      <c r="AB55" s="17"/>
      <c r="AD55" s="17"/>
      <c r="AE55" s="17"/>
      <c r="AF55" s="17"/>
    </row>
    <row r="56" spans="1:32" x14ac:dyDescent="0.3">
      <c r="A56" s="23" t="str">
        <f>$A$18</f>
        <v>All occupations</v>
      </c>
      <c r="B56" s="25">
        <f>IF(C$6-B$6 &lt;&gt; 0,(EXP(LN(C18/B18)/(C$6-B$6))-1)*100,0)</f>
        <v>1.2156670242623679</v>
      </c>
      <c r="C56" s="25">
        <f>IF(D$6-C$6 &lt;&gt; 0,(EXP(LN(D18/C18)/(D$6-C$6))-1)*100,0)</f>
        <v>-1.0261909268250768</v>
      </c>
      <c r="D56" s="25">
        <f>IF(E$6-D$6 &lt;&gt; 0,(EXP(LN(E18/D18)/(E$6-D$6))-1)*100,0)</f>
        <v>0.65950797804075201</v>
      </c>
      <c r="E56" s="25">
        <f>IF(F$6-E$6 &lt;&gt; 0,(EXP(LN(F18/E18)/(F$6-E$6))-1)*100,0)</f>
        <v>0.48914750314457134</v>
      </c>
      <c r="F56" s="25">
        <f t="shared" si="54"/>
        <v>0.54590226783473028</v>
      </c>
      <c r="H56" s="25">
        <f t="shared" si="51"/>
        <v>0.54590226783473028</v>
      </c>
      <c r="I56" s="25">
        <f t="shared" ref="I56" si="71">IF($F$6-$D$6 &lt;&gt; 0,(EXP(LN(1+(I36/100))/($F$6-$D$6))-1)*100,0)</f>
        <v>2.7678179726469576</v>
      </c>
      <c r="J56" s="25">
        <f t="shared" ref="J56" si="72">IF($F$6-$D$6 &lt;&gt; 0,(EXP(LN(1+(J36/100))/($F$6-$D$6))-1)*100,0)</f>
        <v>3.1450364569348466</v>
      </c>
      <c r="L56" s="23" t="str">
        <f>$A$18</f>
        <v>All occupations</v>
      </c>
      <c r="M56" s="25">
        <f>IF(N$6-M$6 &lt;&gt; 0,(EXP(LN(N18/M18)/(N$6-M$6))-1)*100,0)</f>
        <v>0.46201949015760579</v>
      </c>
      <c r="N56" s="25">
        <f>IF(O$6-N$6 &lt;&gt; 0,(EXP(LN(O18/N18)/(O$6-N$6))-1)*100,0)</f>
        <v>-1.4533322483883837</v>
      </c>
      <c r="O56" s="25">
        <f>IF(P$6-O$6 &lt;&gt; 0,(EXP(LN(P18/O18)/(P$6-O$6))-1)*100,0)</f>
        <v>0.68982201439293789</v>
      </c>
      <c r="P56" s="25">
        <f>IF(Q$6-P$6 &lt;&gt; 0,(EXP(LN(Q18/P18)/(Q$6-P$6))-1)*100,0)</f>
        <v>0.44369792401459662</v>
      </c>
      <c r="Q56" s="25">
        <f t="shared" ref="Q56" si="73">IF(Q$6-O$6 &lt;&gt; 0,(EXP(LN(Q18/O18)/(Q$6-O$6))-1)*100,0)</f>
        <v>0.5256723680189257</v>
      </c>
      <c r="S56" s="25">
        <f t="shared" ref="S56:U56" si="74">IF($F$6-$D$6 &lt;&gt; 0,(EXP(LN(1+(S36/100))/($F$6-$D$6))-1)*100,0)</f>
        <v>0.5256723680189257</v>
      </c>
      <c r="T56" s="25">
        <f t="shared" si="74"/>
        <v>2.377442651616013</v>
      </c>
      <c r="U56" s="25">
        <f t="shared" si="74"/>
        <v>2.7598403318199294</v>
      </c>
      <c r="W56" s="23" t="str">
        <f>$A$18</f>
        <v>All occupations</v>
      </c>
      <c r="X56" s="25">
        <f>IF(Y$6-X$6 &lt;&gt; 0,(EXP(LN(Y18/X18)/(Y$6-X$6))-1)*100,0)</f>
        <v>2.0557229858543025</v>
      </c>
      <c r="Y56" s="25">
        <f>IF(Z$6-Y$6 &lt;&gt; 0,(EXP(LN(Z18/Y18)/(Z$6-Y$6))-1)*100,0)</f>
        <v>-0.56844313755599618</v>
      </c>
      <c r="Z56" s="25">
        <f>IF(AA$6-Z$6 &lt;&gt; 0,(EXP(LN(AA18/Z18)/(AA$6-Z$6))-1)*100,0)</f>
        <v>0.6272708835464158</v>
      </c>
      <c r="AA56" s="25">
        <f>IF(AB$6-AA$6 &lt;&gt; 0,(EXP(LN(AB18/AA18)/(AB$6-AA$6))-1)*100,0)</f>
        <v>0.53736780324777911</v>
      </c>
      <c r="AB56" s="25">
        <f t="shared" ref="AB56" si="75">IF(AB$6-Z$6 &lt;&gt; 0,(EXP(LN(AB18/Z18)/(AB$6-Z$6))-1)*100,0)</f>
        <v>0.567326568490234</v>
      </c>
      <c r="AD56" s="25">
        <f t="shared" ref="AD56:AF56" si="76">IF($F$6-$D$6 &lt;&gt; 0,(EXP(LN(1+(AD36/100))/($F$6-$D$6))-1)*100,0)</f>
        <v>0.567326568490234</v>
      </c>
      <c r="AE56" s="25">
        <f t="shared" si="76"/>
        <v>3.1608958190480818</v>
      </c>
      <c r="AF56" s="25">
        <f t="shared" si="76"/>
        <v>3.5332396847503889</v>
      </c>
    </row>
    <row r="57" spans="1:32" x14ac:dyDescent="0.3">
      <c r="B57" s="17"/>
      <c r="C57" s="17"/>
      <c r="D57" s="17"/>
      <c r="E57" s="17"/>
      <c r="F57" s="17"/>
      <c r="M57" s="17"/>
      <c r="N57" s="17"/>
      <c r="O57" s="17"/>
      <c r="P57" s="17"/>
      <c r="Q57" s="17"/>
      <c r="X57" s="17"/>
      <c r="Y57" s="17"/>
      <c r="Z57" s="17"/>
      <c r="AA57" s="17"/>
      <c r="AB57" s="17"/>
    </row>
    <row r="58" spans="1:32" x14ac:dyDescent="0.3">
      <c r="B58" s="17"/>
      <c r="C58" s="17"/>
      <c r="D58" s="17"/>
      <c r="E58" s="17"/>
      <c r="F58" s="17"/>
      <c r="M58" s="17"/>
      <c r="N58" s="17"/>
      <c r="O58" s="17"/>
      <c r="P58" s="17"/>
      <c r="Q58" s="17"/>
      <c r="X58" s="17"/>
      <c r="Y58" s="17"/>
      <c r="Z58" s="17"/>
      <c r="AA58" s="17"/>
      <c r="AB58" s="17"/>
    </row>
    <row r="59" spans="1:32" x14ac:dyDescent="0.3">
      <c r="B59" s="17"/>
      <c r="C59" s="17"/>
      <c r="D59" s="17"/>
      <c r="E59" s="17"/>
      <c r="F59" s="15" t="s">
        <v>35</v>
      </c>
      <c r="M59" s="17"/>
      <c r="N59" s="17"/>
      <c r="O59" s="17"/>
      <c r="P59" s="17"/>
      <c r="Q59" s="15" t="s">
        <v>35</v>
      </c>
      <c r="X59" s="17"/>
      <c r="Y59" s="17"/>
      <c r="Z59" s="17"/>
      <c r="AA59" s="17"/>
      <c r="AB59" s="15" t="s">
        <v>35</v>
      </c>
    </row>
    <row r="60" spans="1:32" x14ac:dyDescent="0.3">
      <c r="A60" s="35"/>
      <c r="B60" s="65"/>
      <c r="C60" s="65"/>
      <c r="D60" s="65"/>
      <c r="E60" s="65"/>
      <c r="F60" s="65"/>
      <c r="L60" s="35"/>
      <c r="M60" s="65"/>
      <c r="N60" s="65"/>
      <c r="O60" s="65"/>
      <c r="P60" s="65"/>
      <c r="Q60" s="65"/>
      <c r="W60" s="35"/>
      <c r="X60" s="65"/>
      <c r="Y60" s="65"/>
      <c r="Z60" s="65"/>
      <c r="AA60" s="65"/>
      <c r="AB60" s="65"/>
    </row>
    <row r="62" spans="1:32" x14ac:dyDescent="0.3">
      <c r="A62" s="40" t="s">
        <v>15</v>
      </c>
      <c r="B62" s="63" t="str">
        <f>CONCATENATE(B$6,"-",C$6)</f>
        <v>2015-2019</v>
      </c>
      <c r="C62" s="63" t="str">
        <f>CONCATENATE(C$6,"-",D$6)</f>
        <v>2019-2020</v>
      </c>
      <c r="D62" s="63" t="str">
        <f>CONCATENATE(D$6,"-",E$6)</f>
        <v>2020-2025</v>
      </c>
      <c r="E62" s="63" t="str">
        <f>CONCATENATE(E$6,"-",F$6)</f>
        <v>2025-2035</v>
      </c>
      <c r="F62" s="63" t="str">
        <f>CONCATENATE(D$6,"-",F$6)</f>
        <v>2020-2035</v>
      </c>
      <c r="L62" s="40" t="s">
        <v>15</v>
      </c>
      <c r="M62" s="63" t="str">
        <f>CONCATENATE(M$6,"-",N$6)</f>
        <v>2015-2019</v>
      </c>
      <c r="N62" s="63" t="str">
        <f>CONCATENATE(N$6,"-",O$6)</f>
        <v>2019-2020</v>
      </c>
      <c r="O62" s="63" t="str">
        <f>CONCATENATE(O$6,"-",P$6)</f>
        <v>2020-2025</v>
      </c>
      <c r="P62" s="63" t="str">
        <f>CONCATENATE(P$6,"-",Q$6)</f>
        <v>2025-2035</v>
      </c>
      <c r="Q62" s="63" t="str">
        <f>CONCATENATE(O$6,"-",Q$6)</f>
        <v>2020-2035</v>
      </c>
      <c r="W62" s="40" t="s">
        <v>15</v>
      </c>
      <c r="X62" s="63" t="str">
        <f>CONCATENATE(X$6,"-",Y$6)</f>
        <v>2015-2019</v>
      </c>
      <c r="Y62" s="63" t="str">
        <f>CONCATENATE(Y$6,"-",Z$6)</f>
        <v>2019-2020</v>
      </c>
      <c r="Z62" s="63" t="str">
        <f>CONCATENATE(Z$6,"-",AA$6)</f>
        <v>2020-2025</v>
      </c>
      <c r="AA62" s="63" t="str">
        <f>CONCATENATE(AA$6,"-",AB$6)</f>
        <v>2025-2035</v>
      </c>
      <c r="AB62" s="63" t="str">
        <f>CONCATENATE(Z$6,"-",AB$6)</f>
        <v>2020-2035</v>
      </c>
    </row>
    <row r="63" spans="1:32" x14ac:dyDescent="0.3">
      <c r="A63" s="1"/>
      <c r="B63" s="19"/>
      <c r="C63" s="19"/>
      <c r="D63" s="19"/>
      <c r="E63" s="19"/>
      <c r="F63" s="19"/>
      <c r="L63" s="1"/>
      <c r="M63" s="19"/>
      <c r="N63" s="19"/>
      <c r="O63" s="19"/>
      <c r="P63" s="19"/>
      <c r="Q63" s="19"/>
      <c r="W63" s="1"/>
      <c r="X63" s="19"/>
      <c r="Y63" s="19"/>
      <c r="Z63" s="19"/>
      <c r="AA63" s="19"/>
      <c r="AB63" s="19"/>
    </row>
    <row r="64" spans="1:32" x14ac:dyDescent="0.3">
      <c r="A64" t="str">
        <f>$A$8</f>
        <v>Managers, directors and senior officials</v>
      </c>
      <c r="B64" s="26">
        <f t="shared" ref="B64:E72" si="77">C8-B8</f>
        <v>41.546949715227356</v>
      </c>
      <c r="C64" s="26">
        <f t="shared" si="77"/>
        <v>6.0294423597608784</v>
      </c>
      <c r="D64" s="26">
        <f t="shared" si="77"/>
        <v>12.316074449434382</v>
      </c>
      <c r="E64" s="26">
        <f t="shared" si="77"/>
        <v>48.861397759111355</v>
      </c>
      <c r="F64" s="26">
        <f>F8-D8</f>
        <v>61.177472208545737</v>
      </c>
      <c r="L64" t="str">
        <f>$A$8</f>
        <v>Managers, directors and senior officials</v>
      </c>
      <c r="M64" s="26">
        <f t="shared" ref="M64:M72" si="78">N8-M8</f>
        <v>17.279028106637782</v>
      </c>
      <c r="N64" s="26">
        <f t="shared" ref="N64:N72" si="79">O8-N8</f>
        <v>3.959792729583171</v>
      </c>
      <c r="O64" s="26">
        <f t="shared" ref="O64:O72" si="80">P8-O8</f>
        <v>3.0976357779238128</v>
      </c>
      <c r="P64" s="26">
        <f t="shared" ref="P64:P72" si="81">Q8-P8</f>
        <v>21.512930094942703</v>
      </c>
      <c r="Q64" s="26">
        <f>Q8-O8</f>
        <v>24.610565872866516</v>
      </c>
      <c r="W64" t="str">
        <f>$A$8</f>
        <v>Managers, directors and senior officials</v>
      </c>
      <c r="X64" s="26">
        <f t="shared" ref="X64:X72" si="82">Y8-X8</f>
        <v>24.267921608590399</v>
      </c>
      <c r="Y64" s="26">
        <f t="shared" ref="Y64:Y72" si="83">Z8-Y8</f>
        <v>2.0696496301778495</v>
      </c>
      <c r="Z64" s="26">
        <f t="shared" ref="Z64:Z72" si="84">AA8-Z8</f>
        <v>9.2184386715103699</v>
      </c>
      <c r="AA64" s="26">
        <f t="shared" ref="AA64:AA72" si="85">AB8-AA8</f>
        <v>27.348467664167089</v>
      </c>
      <c r="AB64" s="26">
        <f>AB8-Z8</f>
        <v>36.566906335677459</v>
      </c>
    </row>
    <row r="65" spans="1:31" x14ac:dyDescent="0.3">
      <c r="A65" t="str">
        <f>$A$9</f>
        <v>Professional occupations</v>
      </c>
      <c r="B65" s="26">
        <f t="shared" si="77"/>
        <v>93.027977540058941</v>
      </c>
      <c r="C65" s="26">
        <f t="shared" si="77"/>
        <v>25.484910290795369</v>
      </c>
      <c r="D65" s="26">
        <f t="shared" si="77"/>
        <v>55.749459921340645</v>
      </c>
      <c r="E65" s="26">
        <f t="shared" si="77"/>
        <v>90.758625834606505</v>
      </c>
      <c r="F65" s="26">
        <f t="shared" ref="F65:F72" si="86">F9-D9</f>
        <v>146.50808575594715</v>
      </c>
      <c r="L65" t="str">
        <f>$A$9</f>
        <v>Professional occupations</v>
      </c>
      <c r="M65" s="26">
        <f t="shared" si="78"/>
        <v>38.492422273767829</v>
      </c>
      <c r="N65" s="26">
        <f t="shared" si="79"/>
        <v>7.9467213074779011</v>
      </c>
      <c r="O65" s="26">
        <f t="shared" si="80"/>
        <v>27.623960307630625</v>
      </c>
      <c r="P65" s="26">
        <f t="shared" si="81"/>
        <v>38.205941337131094</v>
      </c>
      <c r="Q65" s="26">
        <f t="shared" ref="Q65:Q72" si="87">Q9-O9</f>
        <v>65.829901644761719</v>
      </c>
      <c r="W65" t="str">
        <f>$A$9</f>
        <v>Professional occupations</v>
      </c>
      <c r="X65" s="26">
        <f t="shared" si="82"/>
        <v>54.535555266290601</v>
      </c>
      <c r="Y65" s="26">
        <f t="shared" si="83"/>
        <v>17.538188983317468</v>
      </c>
      <c r="Z65" s="26">
        <f t="shared" si="84"/>
        <v>28.125499613709962</v>
      </c>
      <c r="AA65" s="26">
        <f t="shared" si="85"/>
        <v>52.55268449747598</v>
      </c>
      <c r="AB65" s="26">
        <f t="shared" ref="AB65:AB72" si="88">AB9-Z9</f>
        <v>80.678184111185942</v>
      </c>
    </row>
    <row r="66" spans="1:31" x14ac:dyDescent="0.3">
      <c r="A66" t="str">
        <f>$A$10</f>
        <v>Associate professional occupations</v>
      </c>
      <c r="B66" s="26">
        <f t="shared" si="77"/>
        <v>29.205971984247299</v>
      </c>
      <c r="C66" s="26">
        <f t="shared" si="77"/>
        <v>26.689107795508107</v>
      </c>
      <c r="D66" s="26">
        <f t="shared" si="77"/>
        <v>-8.3295423841906313</v>
      </c>
      <c r="E66" s="26">
        <f t="shared" si="77"/>
        <v>38.456249714564819</v>
      </c>
      <c r="F66" s="26">
        <f t="shared" si="86"/>
        <v>30.126707330374188</v>
      </c>
      <c r="L66" t="str">
        <f>$A$10</f>
        <v>Associate professional occupations</v>
      </c>
      <c r="M66" s="26">
        <f t="shared" si="78"/>
        <v>12.02802819334434</v>
      </c>
      <c r="N66" s="26">
        <f t="shared" si="79"/>
        <v>11.539694908513212</v>
      </c>
      <c r="O66" s="26">
        <f t="shared" si="80"/>
        <v>-12.528591485707835</v>
      </c>
      <c r="P66" s="26">
        <f t="shared" si="81"/>
        <v>9.8101879912980507</v>
      </c>
      <c r="Q66" s="26">
        <f t="shared" si="87"/>
        <v>-2.7184034944097846</v>
      </c>
      <c r="W66" t="str">
        <f>$A$10</f>
        <v>Associate professional occupations</v>
      </c>
      <c r="X66" s="26">
        <f t="shared" si="82"/>
        <v>17.177943790903157</v>
      </c>
      <c r="Y66" s="26">
        <f t="shared" si="83"/>
        <v>15.149412886995435</v>
      </c>
      <c r="Z66" s="26">
        <f t="shared" si="84"/>
        <v>4.1990491015166072</v>
      </c>
      <c r="AA66" s="26">
        <f t="shared" si="85"/>
        <v>28.64606172326765</v>
      </c>
      <c r="AB66" s="26">
        <f t="shared" si="88"/>
        <v>32.845110824784257</v>
      </c>
    </row>
    <row r="67" spans="1:31" x14ac:dyDescent="0.3">
      <c r="A67" t="str">
        <f>$A$11</f>
        <v>Administrative and secretarial occupations</v>
      </c>
      <c r="B67" s="26">
        <f t="shared" si="77"/>
        <v>-7.1690771247471048</v>
      </c>
      <c r="C67" s="26">
        <f t="shared" si="77"/>
        <v>2.6293348011950002</v>
      </c>
      <c r="D67" s="26">
        <f t="shared" si="77"/>
        <v>-17.682018915475965</v>
      </c>
      <c r="E67" s="26">
        <f t="shared" si="77"/>
        <v>-32.673657325891838</v>
      </c>
      <c r="F67" s="26">
        <f t="shared" si="86"/>
        <v>-50.355676241367803</v>
      </c>
      <c r="L67" t="str">
        <f>$A$11</f>
        <v>Administrative and secretarial occupations</v>
      </c>
      <c r="M67" s="26">
        <f t="shared" si="78"/>
        <v>-6.2726715731131577</v>
      </c>
      <c r="N67" s="26">
        <f t="shared" si="79"/>
        <v>11.814713713765826</v>
      </c>
      <c r="O67" s="26">
        <f t="shared" si="80"/>
        <v>-2.4486345765915871</v>
      </c>
      <c r="P67" s="26">
        <f t="shared" si="81"/>
        <v>6.9334813134477997</v>
      </c>
      <c r="Q67" s="26">
        <f t="shared" si="87"/>
        <v>4.4848467368562126</v>
      </c>
      <c r="W67" t="str">
        <f>$A$11</f>
        <v>Administrative and secretarial occupations</v>
      </c>
      <c r="X67" s="26">
        <f t="shared" si="82"/>
        <v>-0.8964055516334497</v>
      </c>
      <c r="Y67" s="26">
        <f t="shared" si="83"/>
        <v>-9.1853789125706271</v>
      </c>
      <c r="Z67" s="26">
        <f t="shared" si="84"/>
        <v>-15.233384338884548</v>
      </c>
      <c r="AA67" s="26">
        <f t="shared" si="85"/>
        <v>-39.60713863933978</v>
      </c>
      <c r="AB67" s="26">
        <f t="shared" si="88"/>
        <v>-54.840522978224328</v>
      </c>
    </row>
    <row r="68" spans="1:31" x14ac:dyDescent="0.3">
      <c r="A68" t="str">
        <f>$A$12</f>
        <v>Skilled trades occupations</v>
      </c>
      <c r="B68" s="26">
        <f t="shared" si="77"/>
        <v>-22.627840800935871</v>
      </c>
      <c r="C68" s="26">
        <f t="shared" si="77"/>
        <v>-30.836855045997822</v>
      </c>
      <c r="D68" s="26">
        <f t="shared" si="77"/>
        <v>10.164243751799518</v>
      </c>
      <c r="E68" s="26">
        <f t="shared" si="77"/>
        <v>-3.9884115584059145</v>
      </c>
      <c r="F68" s="26">
        <f t="shared" si="86"/>
        <v>6.1758321933936031</v>
      </c>
      <c r="L68" t="str">
        <f>$A$12</f>
        <v>Skilled trades occupations</v>
      </c>
      <c r="M68" s="26">
        <f t="shared" si="78"/>
        <v>-24.526886604378319</v>
      </c>
      <c r="N68" s="26">
        <f t="shared" si="79"/>
        <v>-31.161294278283492</v>
      </c>
      <c r="O68" s="26">
        <f t="shared" si="80"/>
        <v>5.042888385391791</v>
      </c>
      <c r="P68" s="26">
        <f t="shared" si="81"/>
        <v>-9.4425671600010901</v>
      </c>
      <c r="Q68" s="26">
        <f t="shared" si="87"/>
        <v>-4.3996787746092991</v>
      </c>
      <c r="W68" t="str">
        <f>$A$12</f>
        <v>Skilled trades occupations</v>
      </c>
      <c r="X68" s="26">
        <f t="shared" si="82"/>
        <v>1.8990458034429096</v>
      </c>
      <c r="Y68" s="26">
        <f t="shared" si="83"/>
        <v>0.32443923228578342</v>
      </c>
      <c r="Z68" s="26">
        <f t="shared" si="84"/>
        <v>5.1213553664076343</v>
      </c>
      <c r="AA68" s="26">
        <f t="shared" si="85"/>
        <v>5.4541556015950405</v>
      </c>
      <c r="AB68" s="26">
        <f t="shared" si="88"/>
        <v>10.575510968002675</v>
      </c>
    </row>
    <row r="69" spans="1:31" x14ac:dyDescent="0.3">
      <c r="A69" t="str">
        <f>$A$13</f>
        <v>Caring, leisure and other service occupations</v>
      </c>
      <c r="B69" s="26">
        <f t="shared" si="77"/>
        <v>25.838180592041908</v>
      </c>
      <c r="C69" s="26">
        <f t="shared" si="77"/>
        <v>-7.2042447549995359</v>
      </c>
      <c r="D69" s="26">
        <f t="shared" si="77"/>
        <v>21.360314595163914</v>
      </c>
      <c r="E69" s="26">
        <f t="shared" si="77"/>
        <v>32.629415304265649</v>
      </c>
      <c r="F69" s="26">
        <f t="shared" si="86"/>
        <v>53.989729899429562</v>
      </c>
      <c r="L69" t="str">
        <f>$A$13</f>
        <v>Caring, leisure and other service occupations</v>
      </c>
      <c r="M69" s="26">
        <f t="shared" si="78"/>
        <v>1.5737716275490925</v>
      </c>
      <c r="N69" s="26">
        <f t="shared" si="79"/>
        <v>-2.1514193790376197</v>
      </c>
      <c r="O69" s="26">
        <f t="shared" si="80"/>
        <v>7.3564693913907604</v>
      </c>
      <c r="P69" s="26">
        <f t="shared" si="81"/>
        <v>10.19367408617321</v>
      </c>
      <c r="Q69" s="26">
        <f t="shared" si="87"/>
        <v>17.550143477563971</v>
      </c>
      <c r="W69" t="str">
        <f>$A$13</f>
        <v>Caring, leisure and other service occupations</v>
      </c>
      <c r="X69" s="26">
        <f t="shared" si="82"/>
        <v>24.264408964492901</v>
      </c>
      <c r="Y69" s="26">
        <f t="shared" si="83"/>
        <v>-5.0528253759621578</v>
      </c>
      <c r="Z69" s="26">
        <f t="shared" si="84"/>
        <v>14.003845203773182</v>
      </c>
      <c r="AA69" s="26">
        <f t="shared" si="85"/>
        <v>22.435741218092517</v>
      </c>
      <c r="AB69" s="26">
        <f t="shared" si="88"/>
        <v>36.439586421865698</v>
      </c>
    </row>
    <row r="70" spans="1:31" x14ac:dyDescent="0.3">
      <c r="A70" t="str">
        <f>$A$14</f>
        <v>Sales and customer service occupations</v>
      </c>
      <c r="B70" s="26">
        <f t="shared" si="77"/>
        <v>-20.161446295466703</v>
      </c>
      <c r="C70" s="26">
        <f t="shared" si="77"/>
        <v>-1.6722338308691747</v>
      </c>
      <c r="D70" s="26">
        <f t="shared" si="77"/>
        <v>0.8906361346252254</v>
      </c>
      <c r="E70" s="26">
        <f t="shared" si="77"/>
        <v>0.36585411279949653</v>
      </c>
      <c r="F70" s="26">
        <f t="shared" si="86"/>
        <v>1.2564902474247219</v>
      </c>
      <c r="L70" t="str">
        <f>$A$14</f>
        <v>Sales and customer service occupations</v>
      </c>
      <c r="M70" s="26">
        <f t="shared" si="78"/>
        <v>-8.9551847922531067</v>
      </c>
      <c r="N70" s="26">
        <f t="shared" si="79"/>
        <v>2.5768475214127733</v>
      </c>
      <c r="O70" s="26">
        <f t="shared" si="80"/>
        <v>2.8171840911018649</v>
      </c>
      <c r="P70" s="26">
        <f t="shared" si="81"/>
        <v>2.7471988419469966</v>
      </c>
      <c r="Q70" s="26">
        <f t="shared" si="87"/>
        <v>5.5643829330488614</v>
      </c>
      <c r="W70" t="str">
        <f>$A$14</f>
        <v>Sales and customer service occupations</v>
      </c>
      <c r="X70" s="26">
        <f t="shared" si="82"/>
        <v>-11.20626150321516</v>
      </c>
      <c r="Y70" s="26">
        <f t="shared" si="83"/>
        <v>-4.2490813522806832</v>
      </c>
      <c r="Z70" s="26">
        <f t="shared" si="84"/>
        <v>-1.9265479564764973</v>
      </c>
      <c r="AA70" s="26">
        <f t="shared" si="85"/>
        <v>-2.3813447291475711</v>
      </c>
      <c r="AB70" s="26">
        <f t="shared" si="88"/>
        <v>-4.3078926856240685</v>
      </c>
    </row>
    <row r="71" spans="1:31" x14ac:dyDescent="0.3">
      <c r="A71" t="str">
        <f>$A$15</f>
        <v>Process, plant and machine operatives</v>
      </c>
      <c r="B71" s="26">
        <f t="shared" si="77"/>
        <v>14.352533441468751</v>
      </c>
      <c r="C71" s="26">
        <f t="shared" si="77"/>
        <v>-23.514450672422299</v>
      </c>
      <c r="D71" s="26">
        <f t="shared" si="77"/>
        <v>29.438032066060771</v>
      </c>
      <c r="E71" s="26">
        <f t="shared" si="77"/>
        <v>3.5923806498512079</v>
      </c>
      <c r="F71" s="26">
        <f t="shared" si="86"/>
        <v>33.030412715911979</v>
      </c>
      <c r="L71" t="str">
        <f>$A$15</f>
        <v>Process, plant and machine operatives</v>
      </c>
      <c r="M71" s="26">
        <f t="shared" si="78"/>
        <v>13.019431743544004</v>
      </c>
      <c r="N71" s="26">
        <f t="shared" si="79"/>
        <v>-20.364213021655956</v>
      </c>
      <c r="O71" s="26">
        <f t="shared" si="80"/>
        <v>20.314846704010137</v>
      </c>
      <c r="P71" s="26">
        <f t="shared" si="81"/>
        <v>2.5357463048752606</v>
      </c>
      <c r="Q71" s="26">
        <f t="shared" si="87"/>
        <v>22.850593008885397</v>
      </c>
      <c r="W71" t="str">
        <f>$A$15</f>
        <v>Process, plant and machine operatives</v>
      </c>
      <c r="X71" s="26">
        <f t="shared" si="82"/>
        <v>1.3331016979252439</v>
      </c>
      <c r="Y71" s="26">
        <f t="shared" si="83"/>
        <v>-3.1502376507665204</v>
      </c>
      <c r="Z71" s="26">
        <f t="shared" si="84"/>
        <v>9.1231853620504637</v>
      </c>
      <c r="AA71" s="26">
        <f t="shared" si="85"/>
        <v>1.0566343449762954</v>
      </c>
      <c r="AB71" s="26">
        <f t="shared" si="88"/>
        <v>10.179819707026759</v>
      </c>
    </row>
    <row r="72" spans="1:31" x14ac:dyDescent="0.3">
      <c r="A72" t="str">
        <f>$A$16</f>
        <v>Elementary occupations</v>
      </c>
      <c r="B72" s="26">
        <f t="shared" si="77"/>
        <v>-2.6892490530892701</v>
      </c>
      <c r="C72" s="26">
        <f t="shared" si="77"/>
        <v>-30.516010942888101</v>
      </c>
      <c r="D72" s="26">
        <f t="shared" si="77"/>
        <v>2.1528003828459532</v>
      </c>
      <c r="E72" s="26">
        <f t="shared" si="77"/>
        <v>-13.97085449300431</v>
      </c>
      <c r="F72" s="26">
        <f t="shared" si="86"/>
        <v>-11.818054110158357</v>
      </c>
      <c r="L72" t="str">
        <f>$A$16</f>
        <v>Elementary occupations</v>
      </c>
      <c r="M72" s="26">
        <f t="shared" si="78"/>
        <v>-12.328938974876593</v>
      </c>
      <c r="N72" s="26">
        <f t="shared" si="79"/>
        <v>-8.2718435023718371</v>
      </c>
      <c r="O72" s="26">
        <f t="shared" si="80"/>
        <v>5.8972414039806722</v>
      </c>
      <c r="P72" s="26">
        <f t="shared" si="81"/>
        <v>-5.9025928097610745</v>
      </c>
      <c r="Q72" s="26">
        <f t="shared" si="87"/>
        <v>-5.3514057804022741E-3</v>
      </c>
      <c r="W72" t="str">
        <f>$A$16</f>
        <v>Elementary occupations</v>
      </c>
      <c r="X72" s="26">
        <f t="shared" si="82"/>
        <v>9.6396899217857595</v>
      </c>
      <c r="Y72" s="26">
        <f t="shared" si="83"/>
        <v>-22.24416744051689</v>
      </c>
      <c r="Z72" s="26">
        <f t="shared" si="84"/>
        <v>-3.7444410211334684</v>
      </c>
      <c r="AA72" s="26">
        <f t="shared" si="85"/>
        <v>-8.0682616832432643</v>
      </c>
      <c r="AB72" s="26">
        <f t="shared" si="88"/>
        <v>-11.812702704376733</v>
      </c>
    </row>
    <row r="73" spans="1:31" x14ac:dyDescent="0.3">
      <c r="B73" s="26"/>
      <c r="C73" s="26"/>
      <c r="D73" s="26"/>
      <c r="E73" s="26"/>
      <c r="F73" s="26"/>
      <c r="M73" s="26"/>
      <c r="N73" s="26"/>
      <c r="O73" s="26"/>
      <c r="P73" s="26"/>
      <c r="Q73" s="26"/>
      <c r="X73" s="26"/>
      <c r="Y73" s="26"/>
      <c r="Z73" s="26"/>
      <c r="AA73" s="26"/>
      <c r="AB73" s="26"/>
    </row>
    <row r="74" spans="1:31" x14ac:dyDescent="0.3">
      <c r="A74" s="23" t="str">
        <f>$A$18</f>
        <v>All occupations</v>
      </c>
      <c r="B74" s="28">
        <f>C18-B18</f>
        <v>151.3239999988059</v>
      </c>
      <c r="C74" s="28">
        <f t="shared" ref="C74" si="89">D18-C18</f>
        <v>-32.910999999917749</v>
      </c>
      <c r="D74" s="28">
        <f>E18-D18</f>
        <v>106.06000000160338</v>
      </c>
      <c r="E74" s="28">
        <f>F18-E18</f>
        <v>164.03099999789765</v>
      </c>
      <c r="F74" s="28">
        <f>F18-D18</f>
        <v>270.09099999950104</v>
      </c>
      <c r="L74" s="23" t="str">
        <f>$A$18</f>
        <v>All occupations</v>
      </c>
      <c r="M74" s="28">
        <f>N18-M18</f>
        <v>30.309000000221886</v>
      </c>
      <c r="N74" s="28">
        <f t="shared" ref="N74" si="90">O18-N18</f>
        <v>-24.11100000059605</v>
      </c>
      <c r="O74" s="28">
        <f>P18-O18</f>
        <v>57.172999999130298</v>
      </c>
      <c r="P74" s="28">
        <f>Q18-P18</f>
        <v>76.594000000053029</v>
      </c>
      <c r="Q74" s="28">
        <f>Q18-O18</f>
        <v>133.76699999918333</v>
      </c>
      <c r="W74" s="23" t="str">
        <f>$A$18</f>
        <v>All occupations</v>
      </c>
      <c r="X74" s="28">
        <f>Y18-X18</f>
        <v>121.0149999985822</v>
      </c>
      <c r="Y74" s="28">
        <f t="shared" ref="Y74" si="91">Z18-Y18</f>
        <v>-8.7999999993201072</v>
      </c>
      <c r="Z74" s="28">
        <f>AA18-Z18</f>
        <v>48.887000002473542</v>
      </c>
      <c r="AA74" s="28">
        <f>AB18-AA18</f>
        <v>87.436999997843941</v>
      </c>
      <c r="AB74" s="28">
        <f>AB18-Z18</f>
        <v>136.32400000031748</v>
      </c>
    </row>
    <row r="78" spans="1:31" x14ac:dyDescent="0.3">
      <c r="D78" s="1" t="s">
        <v>13</v>
      </c>
      <c r="H78" s="40" t="s">
        <v>41</v>
      </c>
      <c r="O78" s="1" t="s">
        <v>13</v>
      </c>
      <c r="S78" s="40" t="s">
        <v>41</v>
      </c>
      <c r="Z78" s="1" t="s">
        <v>13</v>
      </c>
      <c r="AD78" s="40" t="s">
        <v>41</v>
      </c>
    </row>
    <row r="79" spans="1:31" x14ac:dyDescent="0.3">
      <c r="A79" s="21"/>
      <c r="B79" s="22">
        <f>B6</f>
        <v>2015</v>
      </c>
      <c r="C79" s="22">
        <f>C6</f>
        <v>2019</v>
      </c>
      <c r="D79" s="22">
        <f>D6</f>
        <v>2020</v>
      </c>
      <c r="E79" s="22">
        <f>E6</f>
        <v>2025</v>
      </c>
      <c r="F79" s="22">
        <f>F6</f>
        <v>2035</v>
      </c>
      <c r="H79" s="74" t="str">
        <f>CONCATENATE(B$6,"-",D$6)</f>
        <v>2015-2020</v>
      </c>
      <c r="I79" s="74" t="str">
        <f>F44</f>
        <v>2020-2035</v>
      </c>
      <c r="L79" s="21"/>
      <c r="M79" s="22">
        <f>M6</f>
        <v>2015</v>
      </c>
      <c r="N79" s="22">
        <f>N6</f>
        <v>2019</v>
      </c>
      <c r="O79" s="22">
        <f>O6</f>
        <v>2020</v>
      </c>
      <c r="P79" s="22">
        <f>P6</f>
        <v>2025</v>
      </c>
      <c r="Q79" s="22">
        <f>Q6</f>
        <v>2035</v>
      </c>
      <c r="S79" s="74" t="str">
        <f>CONCATENATE(M$6,"-",O$6)</f>
        <v>2015-2020</v>
      </c>
      <c r="T79" s="74" t="str">
        <f>Q44</f>
        <v>2020-2035</v>
      </c>
      <c r="W79" s="21"/>
      <c r="X79" s="22">
        <f>X6</f>
        <v>2015</v>
      </c>
      <c r="Y79" s="22">
        <f>Y6</f>
        <v>2019</v>
      </c>
      <c r="Z79" s="22">
        <f>Z6</f>
        <v>2020</v>
      </c>
      <c r="AA79" s="22">
        <f>AA6</f>
        <v>2025</v>
      </c>
      <c r="AB79" s="22">
        <f>AB6</f>
        <v>2035</v>
      </c>
      <c r="AD79" s="74" t="str">
        <f>CONCATENATE(X$6,"-",Z$6)</f>
        <v>2015-2020</v>
      </c>
      <c r="AE79" s="74" t="str">
        <f>AB44</f>
        <v>2020-2035</v>
      </c>
    </row>
    <row r="80" spans="1:31" x14ac:dyDescent="0.3">
      <c r="A80" t="str">
        <f t="shared" ref="A80:F88" si="92">A8</f>
        <v>Managers, directors and senior officials</v>
      </c>
      <c r="B80" s="11">
        <f t="shared" si="92"/>
        <v>317.29921203279753</v>
      </c>
      <c r="C80" s="11">
        <f t="shared" si="92"/>
        <v>358.84616174802488</v>
      </c>
      <c r="D80" s="11">
        <f t="shared" si="92"/>
        <v>364.87560410778576</v>
      </c>
      <c r="E80" s="11">
        <f t="shared" si="92"/>
        <v>377.19167855722014</v>
      </c>
      <c r="F80" s="11">
        <f t="shared" si="92"/>
        <v>426.0530763163315</v>
      </c>
      <c r="H80" s="39">
        <f>IF(D$6-B$6 &lt;&gt; 0,(EXP(LN(D8/B8)/(D$6-B$6))-1)*100,0)</f>
        <v>2.833630031543577</v>
      </c>
      <c r="I80" s="39">
        <f t="shared" ref="I80:I88" si="93">F46</f>
        <v>1.0387408147528587</v>
      </c>
      <c r="L80" t="str">
        <f t="shared" ref="L80:Q88" si="94">L8</f>
        <v>Managers, directors and senior officials</v>
      </c>
      <c r="M80" s="11">
        <f t="shared" si="94"/>
        <v>213.57649970697025</v>
      </c>
      <c r="N80" s="11">
        <f t="shared" si="94"/>
        <v>230.85552781360803</v>
      </c>
      <c r="O80" s="11">
        <f t="shared" si="94"/>
        <v>234.81532054319121</v>
      </c>
      <c r="P80" s="11">
        <f t="shared" si="94"/>
        <v>237.91295632111502</v>
      </c>
      <c r="Q80" s="11">
        <f t="shared" si="94"/>
        <v>259.42588641605772</v>
      </c>
      <c r="S80" s="39">
        <f t="shared" ref="S80:S88" si="95">IF(O$6-M$6 &lt;&gt; 0,(EXP(LN(O8/M8)/(O$6-M$6))-1)*100,0)</f>
        <v>1.9141749297586275</v>
      </c>
      <c r="T80" s="39">
        <f t="shared" ref="T80:T88" si="96">Q46</f>
        <v>0.66669072195635337</v>
      </c>
      <c r="W80" t="str">
        <f t="shared" ref="W80:AB88" si="97">W8</f>
        <v>Managers, directors and senior officials</v>
      </c>
      <c r="X80" s="11">
        <f t="shared" si="97"/>
        <v>103.72271232582699</v>
      </c>
      <c r="Y80" s="11">
        <f t="shared" si="97"/>
        <v>127.99063393441739</v>
      </c>
      <c r="Z80" s="11">
        <f t="shared" si="97"/>
        <v>130.06028356459524</v>
      </c>
      <c r="AA80" s="11">
        <f t="shared" si="97"/>
        <v>139.27872223610561</v>
      </c>
      <c r="AB80" s="11">
        <f t="shared" si="97"/>
        <v>166.6271899002727</v>
      </c>
      <c r="AD80" s="39">
        <f t="shared" ref="AD80:AD88" si="98">IF(Z$6-X$6 &lt;&gt; 0,(EXP(LN(Z8/X8)/(Z$6-X$6))-1)*100,0)</f>
        <v>4.6295039479286704</v>
      </c>
      <c r="AE80" s="39">
        <f t="shared" ref="AE80:AE88" si="99">AB46</f>
        <v>1.6654556824483135</v>
      </c>
    </row>
    <row r="81" spans="1:31" x14ac:dyDescent="0.3">
      <c r="A81" t="str">
        <f t="shared" si="92"/>
        <v>Professional occupations</v>
      </c>
      <c r="B81" s="11">
        <f t="shared" si="92"/>
        <v>586.3042977264812</v>
      </c>
      <c r="C81" s="11">
        <f t="shared" si="92"/>
        <v>679.33227526654014</v>
      </c>
      <c r="D81" s="11">
        <f t="shared" si="92"/>
        <v>704.81718555733551</v>
      </c>
      <c r="E81" s="11">
        <f t="shared" si="92"/>
        <v>760.56664547867615</v>
      </c>
      <c r="F81" s="11">
        <f t="shared" si="92"/>
        <v>851.32527131328266</v>
      </c>
      <c r="H81" s="39">
        <f t="shared" ref="H81:H88" si="100">IF(D$6-B$6 &lt;&gt; 0,(EXP(LN(D9/B9)/(D$6-B$6))-1)*100,0)</f>
        <v>3.7506154076215381</v>
      </c>
      <c r="I81" s="39">
        <f t="shared" si="93"/>
        <v>1.2669980623998933</v>
      </c>
      <c r="L81" t="str">
        <f t="shared" si="94"/>
        <v>Professional occupations</v>
      </c>
      <c r="M81" s="11">
        <f t="shared" si="94"/>
        <v>327.27560309959318</v>
      </c>
      <c r="N81" s="11">
        <f t="shared" si="94"/>
        <v>365.76802537336101</v>
      </c>
      <c r="O81" s="11">
        <f t="shared" si="94"/>
        <v>373.71474668083891</v>
      </c>
      <c r="P81" s="11">
        <f t="shared" si="94"/>
        <v>401.33870698846954</v>
      </c>
      <c r="Q81" s="11">
        <f t="shared" si="94"/>
        <v>439.54464832560063</v>
      </c>
      <c r="S81" s="39">
        <f t="shared" si="95"/>
        <v>2.6893300942693044</v>
      </c>
      <c r="T81" s="39">
        <f t="shared" si="96"/>
        <v>1.0875142693285156</v>
      </c>
      <c r="W81" t="str">
        <f t="shared" si="97"/>
        <v>Professional occupations</v>
      </c>
      <c r="X81" s="11">
        <f t="shared" si="97"/>
        <v>259.02869462688858</v>
      </c>
      <c r="Y81" s="11">
        <f t="shared" si="97"/>
        <v>313.56424989317918</v>
      </c>
      <c r="Z81" s="11">
        <f t="shared" si="97"/>
        <v>331.10243887649665</v>
      </c>
      <c r="AA81" s="11">
        <f t="shared" si="97"/>
        <v>359.22793849020661</v>
      </c>
      <c r="AB81" s="11">
        <f t="shared" si="97"/>
        <v>411.78062298768259</v>
      </c>
      <c r="AD81" s="39">
        <f t="shared" si="98"/>
        <v>5.032305993554842</v>
      </c>
      <c r="AE81" s="39">
        <f t="shared" si="99"/>
        <v>1.4643712364734052</v>
      </c>
    </row>
    <row r="82" spans="1:31" x14ac:dyDescent="0.3">
      <c r="A82" t="str">
        <f t="shared" si="92"/>
        <v>Associate professional occupations</v>
      </c>
      <c r="B82" s="11">
        <f t="shared" si="92"/>
        <v>368.99148710427676</v>
      </c>
      <c r="C82" s="11">
        <f t="shared" si="92"/>
        <v>398.19745908852406</v>
      </c>
      <c r="D82" s="11">
        <f t="shared" si="92"/>
        <v>424.88656688403216</v>
      </c>
      <c r="E82" s="11">
        <f t="shared" si="92"/>
        <v>416.55702449984153</v>
      </c>
      <c r="F82" s="11">
        <f t="shared" si="92"/>
        <v>455.01327421440635</v>
      </c>
      <c r="H82" s="39">
        <f t="shared" si="100"/>
        <v>2.8611394165836579</v>
      </c>
      <c r="I82" s="39">
        <f t="shared" si="93"/>
        <v>0.45774018284301388</v>
      </c>
      <c r="L82" t="str">
        <f t="shared" si="94"/>
        <v>Associate professional occupations</v>
      </c>
      <c r="M82" s="11">
        <f t="shared" si="94"/>
        <v>201.54255325504042</v>
      </c>
      <c r="N82" s="11">
        <f t="shared" si="94"/>
        <v>213.57058144838476</v>
      </c>
      <c r="O82" s="11">
        <f t="shared" si="94"/>
        <v>225.11027635689797</v>
      </c>
      <c r="P82" s="11">
        <f t="shared" si="94"/>
        <v>212.58168487119013</v>
      </c>
      <c r="Q82" s="11">
        <f t="shared" si="94"/>
        <v>222.39187286248819</v>
      </c>
      <c r="S82" s="39">
        <f t="shared" si="95"/>
        <v>2.2364387274012243</v>
      </c>
      <c r="T82" s="39">
        <f t="shared" si="96"/>
        <v>-8.0963076891593655E-2</v>
      </c>
      <c r="W82" t="str">
        <f t="shared" si="97"/>
        <v>Associate professional occupations</v>
      </c>
      <c r="X82" s="11">
        <f t="shared" si="97"/>
        <v>167.44893384923637</v>
      </c>
      <c r="Y82" s="11">
        <f t="shared" si="97"/>
        <v>184.62687764013953</v>
      </c>
      <c r="Z82" s="11">
        <f t="shared" si="97"/>
        <v>199.77629052713496</v>
      </c>
      <c r="AA82" s="11">
        <f t="shared" si="97"/>
        <v>203.97533962865157</v>
      </c>
      <c r="AB82" s="11">
        <f t="shared" si="97"/>
        <v>232.62140135191922</v>
      </c>
      <c r="AD82" s="39">
        <f t="shared" si="98"/>
        <v>3.5934535512003096</v>
      </c>
      <c r="AE82" s="39">
        <f t="shared" si="99"/>
        <v>1.0199264991112678</v>
      </c>
    </row>
    <row r="83" spans="1:31" x14ac:dyDescent="0.3">
      <c r="A83" t="str">
        <f t="shared" si="92"/>
        <v>Administrative and secretarial occupations</v>
      </c>
      <c r="B83" s="11">
        <f t="shared" si="92"/>
        <v>335.25022176360835</v>
      </c>
      <c r="C83" s="11">
        <f t="shared" si="92"/>
        <v>328.08114463886125</v>
      </c>
      <c r="D83" s="11">
        <f t="shared" si="92"/>
        <v>330.71047944005625</v>
      </c>
      <c r="E83" s="11">
        <f t="shared" si="92"/>
        <v>313.02846052458028</v>
      </c>
      <c r="F83" s="11">
        <f t="shared" si="92"/>
        <v>280.35480319868844</v>
      </c>
      <c r="H83" s="39">
        <f t="shared" si="100"/>
        <v>-0.27230608260562228</v>
      </c>
      <c r="I83" s="39">
        <f t="shared" si="93"/>
        <v>-1.0952074698839409</v>
      </c>
      <c r="L83" t="str">
        <f t="shared" si="94"/>
        <v>Administrative and secretarial occupations</v>
      </c>
      <c r="M83" s="11">
        <f t="shared" si="94"/>
        <v>72.36771582136889</v>
      </c>
      <c r="N83" s="11">
        <f t="shared" si="94"/>
        <v>66.095044248255732</v>
      </c>
      <c r="O83" s="11">
        <f t="shared" si="94"/>
        <v>77.909757962021558</v>
      </c>
      <c r="P83" s="11">
        <f t="shared" si="94"/>
        <v>75.461123385429971</v>
      </c>
      <c r="Q83" s="11">
        <f t="shared" si="94"/>
        <v>82.394604698877771</v>
      </c>
      <c r="S83" s="39">
        <f t="shared" si="95"/>
        <v>1.4867624083174436</v>
      </c>
      <c r="T83" s="39">
        <f t="shared" si="96"/>
        <v>0.37382197868760514</v>
      </c>
      <c r="W83" t="str">
        <f t="shared" si="97"/>
        <v>Administrative and secretarial occupations</v>
      </c>
      <c r="X83" s="11">
        <f t="shared" si="97"/>
        <v>262.88250594223888</v>
      </c>
      <c r="Y83" s="11">
        <f t="shared" si="97"/>
        <v>261.98610039060543</v>
      </c>
      <c r="Z83" s="11">
        <f t="shared" si="97"/>
        <v>252.8007214780348</v>
      </c>
      <c r="AA83" s="11">
        <f t="shared" si="97"/>
        <v>237.56733713915025</v>
      </c>
      <c r="AB83" s="11">
        <f t="shared" si="97"/>
        <v>197.96019849981047</v>
      </c>
      <c r="AD83" s="39">
        <f t="shared" si="98"/>
        <v>-0.77906286461931762</v>
      </c>
      <c r="AE83" s="39">
        <f t="shared" si="99"/>
        <v>-1.6170203794574567</v>
      </c>
    </row>
    <row r="84" spans="1:31" x14ac:dyDescent="0.3">
      <c r="A84" t="str">
        <f t="shared" si="92"/>
        <v>Skilled trades occupations</v>
      </c>
      <c r="B84" s="11">
        <f t="shared" si="92"/>
        <v>324.93128995317278</v>
      </c>
      <c r="C84" s="11">
        <f t="shared" si="92"/>
        <v>302.30344915223691</v>
      </c>
      <c r="D84" s="11">
        <f t="shared" si="92"/>
        <v>271.46659410623909</v>
      </c>
      <c r="E84" s="11">
        <f t="shared" si="92"/>
        <v>281.6308378580386</v>
      </c>
      <c r="F84" s="11">
        <f t="shared" si="92"/>
        <v>277.64242629963269</v>
      </c>
      <c r="H84" s="39">
        <f t="shared" si="100"/>
        <v>-3.5316230088898615</v>
      </c>
      <c r="I84" s="39">
        <f t="shared" si="93"/>
        <v>0.15007890322629169</v>
      </c>
      <c r="L84" t="str">
        <f t="shared" si="94"/>
        <v>Skilled trades occupations</v>
      </c>
      <c r="M84" s="11">
        <f t="shared" si="94"/>
        <v>289.12722393518089</v>
      </c>
      <c r="N84" s="11">
        <f t="shared" si="94"/>
        <v>264.60033733080257</v>
      </c>
      <c r="O84" s="11">
        <f t="shared" si="94"/>
        <v>233.43904305251908</v>
      </c>
      <c r="P84" s="11">
        <f t="shared" si="94"/>
        <v>238.48193143791087</v>
      </c>
      <c r="Q84" s="11">
        <f t="shared" si="94"/>
        <v>229.03936427790978</v>
      </c>
      <c r="S84" s="39">
        <f t="shared" si="95"/>
        <v>-4.1886627783429109</v>
      </c>
      <c r="T84" s="39">
        <f t="shared" si="96"/>
        <v>-0.12676691773890747</v>
      </c>
      <c r="W84" t="str">
        <f t="shared" si="97"/>
        <v>Skilled trades occupations</v>
      </c>
      <c r="X84" s="11">
        <f t="shared" si="97"/>
        <v>35.804066017991374</v>
      </c>
      <c r="Y84" s="11">
        <f t="shared" si="97"/>
        <v>37.703111821434284</v>
      </c>
      <c r="Z84" s="11">
        <f t="shared" si="97"/>
        <v>38.027551053720067</v>
      </c>
      <c r="AA84" s="11">
        <f t="shared" si="97"/>
        <v>43.148906420127702</v>
      </c>
      <c r="AB84" s="11">
        <f t="shared" si="97"/>
        <v>48.603062021722742</v>
      </c>
      <c r="AD84" s="39">
        <f t="shared" si="98"/>
        <v>1.2122784815159715</v>
      </c>
      <c r="AE84" s="39">
        <f t="shared" si="99"/>
        <v>1.6492904681263632</v>
      </c>
    </row>
    <row r="85" spans="1:31" x14ac:dyDescent="0.3">
      <c r="A85" t="str">
        <f t="shared" si="92"/>
        <v>Caring, leisure and other service occupations</v>
      </c>
      <c r="B85" s="11">
        <f t="shared" si="92"/>
        <v>280.87834355941607</v>
      </c>
      <c r="C85" s="11">
        <f t="shared" si="92"/>
        <v>306.71652415145797</v>
      </c>
      <c r="D85" s="11">
        <f t="shared" si="92"/>
        <v>299.51227939645844</v>
      </c>
      <c r="E85" s="11">
        <f t="shared" si="92"/>
        <v>320.87259399162235</v>
      </c>
      <c r="F85" s="11">
        <f t="shared" si="92"/>
        <v>353.502009295888</v>
      </c>
      <c r="H85" s="39">
        <f t="shared" si="100"/>
        <v>1.292963045234119</v>
      </c>
      <c r="I85" s="39">
        <f t="shared" si="93"/>
        <v>1.1110181574021327</v>
      </c>
      <c r="L85" t="str">
        <f t="shared" si="94"/>
        <v>Caring, leisure and other service occupations</v>
      </c>
      <c r="M85" s="11">
        <f t="shared" si="94"/>
        <v>53.595120782197206</v>
      </c>
      <c r="N85" s="11">
        <f t="shared" si="94"/>
        <v>55.168892409746299</v>
      </c>
      <c r="O85" s="11">
        <f t="shared" si="94"/>
        <v>53.017473030708679</v>
      </c>
      <c r="P85" s="11">
        <f t="shared" si="94"/>
        <v>60.373942422099439</v>
      </c>
      <c r="Q85" s="11">
        <f t="shared" si="94"/>
        <v>70.56761650827265</v>
      </c>
      <c r="S85" s="39">
        <f t="shared" si="95"/>
        <v>-0.21649520446329618</v>
      </c>
      <c r="T85" s="39">
        <f t="shared" si="96"/>
        <v>1.9246185958798012</v>
      </c>
      <c r="W85" t="str">
        <f t="shared" si="97"/>
        <v>Caring, leisure and other service occupations</v>
      </c>
      <c r="X85" s="11">
        <f t="shared" si="97"/>
        <v>227.28322277721887</v>
      </c>
      <c r="Y85" s="11">
        <f t="shared" si="97"/>
        <v>251.54763174171177</v>
      </c>
      <c r="Z85" s="11">
        <f t="shared" si="97"/>
        <v>246.49480636574961</v>
      </c>
      <c r="AA85" s="11">
        <f t="shared" si="97"/>
        <v>260.49865156952279</v>
      </c>
      <c r="AB85" s="11">
        <f t="shared" si="97"/>
        <v>282.93439278761531</v>
      </c>
      <c r="AD85" s="39">
        <f t="shared" si="98"/>
        <v>1.6361203577470951</v>
      </c>
      <c r="AE85" s="39">
        <f t="shared" si="99"/>
        <v>0.92339805136367747</v>
      </c>
    </row>
    <row r="86" spans="1:31" x14ac:dyDescent="0.3">
      <c r="A86" t="str">
        <f t="shared" si="92"/>
        <v>Sales and customer service occupations</v>
      </c>
      <c r="B86" s="11">
        <f t="shared" si="92"/>
        <v>266.38974781856729</v>
      </c>
      <c r="C86" s="11">
        <f t="shared" si="92"/>
        <v>246.22830152310058</v>
      </c>
      <c r="D86" s="11">
        <f t="shared" si="92"/>
        <v>244.55606769223141</v>
      </c>
      <c r="E86" s="11">
        <f t="shared" si="92"/>
        <v>245.44670382685663</v>
      </c>
      <c r="F86" s="11">
        <f t="shared" si="92"/>
        <v>245.81255793965613</v>
      </c>
      <c r="H86" s="39">
        <f t="shared" si="100"/>
        <v>-1.6957742132599263</v>
      </c>
      <c r="I86" s="39">
        <f t="shared" si="93"/>
        <v>3.4170420478374375E-2</v>
      </c>
      <c r="L86" t="str">
        <f t="shared" si="94"/>
        <v>Sales and customer service occupations</v>
      </c>
      <c r="M86" s="11">
        <f t="shared" si="94"/>
        <v>105.44801401654989</v>
      </c>
      <c r="N86" s="11">
        <f t="shared" si="94"/>
        <v>96.492829224296784</v>
      </c>
      <c r="O86" s="11">
        <f t="shared" si="94"/>
        <v>99.069676745709558</v>
      </c>
      <c r="P86" s="11">
        <f t="shared" si="94"/>
        <v>101.88686083681142</v>
      </c>
      <c r="Q86" s="11">
        <f t="shared" si="94"/>
        <v>104.63405967875842</v>
      </c>
      <c r="S86" s="39">
        <f t="shared" si="95"/>
        <v>-1.2401394033263013</v>
      </c>
      <c r="T86" s="39">
        <f t="shared" si="96"/>
        <v>0.36496912210102206</v>
      </c>
      <c r="W86" t="str">
        <f t="shared" si="97"/>
        <v>Sales and customer service occupations</v>
      </c>
      <c r="X86" s="11">
        <f t="shared" si="97"/>
        <v>160.94173380201769</v>
      </c>
      <c r="Y86" s="11">
        <f t="shared" si="97"/>
        <v>149.73547229880253</v>
      </c>
      <c r="Z86" s="11">
        <f t="shared" si="97"/>
        <v>145.48639094652185</v>
      </c>
      <c r="AA86" s="11">
        <f t="shared" si="97"/>
        <v>143.55984299004535</v>
      </c>
      <c r="AB86" s="11">
        <f t="shared" si="97"/>
        <v>141.17849826089778</v>
      </c>
      <c r="AD86" s="39">
        <f t="shared" si="98"/>
        <v>-1.9989477060282868</v>
      </c>
      <c r="AE86" s="39">
        <f t="shared" si="99"/>
        <v>-0.20018279554406826</v>
      </c>
    </row>
    <row r="87" spans="1:31" x14ac:dyDescent="0.3">
      <c r="A87" t="str">
        <f t="shared" si="92"/>
        <v>Process, plant and machine operatives</v>
      </c>
      <c r="B87" s="11">
        <f t="shared" si="92"/>
        <v>190.77811978340014</v>
      </c>
      <c r="C87" s="11">
        <f t="shared" si="92"/>
        <v>205.13065322486889</v>
      </c>
      <c r="D87" s="11">
        <f t="shared" si="92"/>
        <v>181.61620255244659</v>
      </c>
      <c r="E87" s="11">
        <f t="shared" si="92"/>
        <v>211.05423461850737</v>
      </c>
      <c r="F87" s="11">
        <f t="shared" si="92"/>
        <v>214.64661526835857</v>
      </c>
      <c r="H87" s="39">
        <f t="shared" si="100"/>
        <v>-0.97947940465830108</v>
      </c>
      <c r="I87" s="39">
        <f t="shared" si="93"/>
        <v>1.1202101713344126</v>
      </c>
      <c r="L87" t="str">
        <f t="shared" si="94"/>
        <v>Process, plant and machine operatives</v>
      </c>
      <c r="M87" s="11">
        <f t="shared" si="94"/>
        <v>164.37026575466234</v>
      </c>
      <c r="N87" s="11">
        <f t="shared" si="94"/>
        <v>177.38969749820635</v>
      </c>
      <c r="O87" s="11">
        <f t="shared" si="94"/>
        <v>157.02548447655039</v>
      </c>
      <c r="P87" s="11">
        <f t="shared" si="94"/>
        <v>177.34033118056053</v>
      </c>
      <c r="Q87" s="11">
        <f t="shared" si="94"/>
        <v>179.87607748543579</v>
      </c>
      <c r="S87" s="39">
        <f t="shared" si="95"/>
        <v>-0.91010300907495845</v>
      </c>
      <c r="T87" s="39">
        <f t="shared" si="96"/>
        <v>0.90984778997447169</v>
      </c>
      <c r="W87" t="str">
        <f t="shared" si="97"/>
        <v>Process, plant and machine operatives</v>
      </c>
      <c r="X87" s="11">
        <f t="shared" si="97"/>
        <v>26.407854028737589</v>
      </c>
      <c r="Y87" s="11">
        <f t="shared" si="97"/>
        <v>27.740955726662833</v>
      </c>
      <c r="Z87" s="11">
        <f t="shared" si="97"/>
        <v>24.590718075896312</v>
      </c>
      <c r="AA87" s="11">
        <f t="shared" si="97"/>
        <v>33.713903437946776</v>
      </c>
      <c r="AB87" s="11">
        <f t="shared" si="97"/>
        <v>34.770537782923071</v>
      </c>
      <c r="AD87" s="39">
        <f t="shared" si="98"/>
        <v>-1.4157311114827986</v>
      </c>
      <c r="AE87" s="39">
        <f t="shared" si="99"/>
        <v>2.3362141326103369</v>
      </c>
    </row>
    <row r="88" spans="1:31" x14ac:dyDescent="0.3">
      <c r="A88" t="str">
        <f t="shared" si="92"/>
        <v>Elementary occupations</v>
      </c>
      <c r="B88" s="11">
        <f t="shared" si="92"/>
        <v>384.95628025779229</v>
      </c>
      <c r="C88" s="11">
        <f t="shared" si="92"/>
        <v>382.26703120470302</v>
      </c>
      <c r="D88" s="11">
        <f t="shared" si="92"/>
        <v>351.75102026181492</v>
      </c>
      <c r="E88" s="11">
        <f t="shared" si="92"/>
        <v>353.90382064466087</v>
      </c>
      <c r="F88" s="11">
        <f t="shared" si="92"/>
        <v>339.93296615165656</v>
      </c>
      <c r="H88" s="39">
        <f t="shared" si="100"/>
        <v>-1.787946593133205</v>
      </c>
      <c r="I88" s="39">
        <f t="shared" si="93"/>
        <v>-0.2275750326569681</v>
      </c>
      <c r="L88" t="str">
        <f t="shared" si="94"/>
        <v>Elementary occupations</v>
      </c>
      <c r="M88" s="11">
        <f t="shared" si="94"/>
        <v>201.40300362790509</v>
      </c>
      <c r="N88" s="11">
        <f t="shared" si="94"/>
        <v>189.0740646530285</v>
      </c>
      <c r="O88" s="11">
        <f t="shared" si="94"/>
        <v>180.80222115065666</v>
      </c>
      <c r="P88" s="11">
        <f t="shared" si="94"/>
        <v>186.69946255463734</v>
      </c>
      <c r="Q88" s="11">
        <f t="shared" si="94"/>
        <v>180.79686974487626</v>
      </c>
      <c r="S88" s="39">
        <f t="shared" si="95"/>
        <v>-2.1349632172493638</v>
      </c>
      <c r="T88" s="39">
        <f t="shared" si="96"/>
        <v>-1.9732352342094472E-4</v>
      </c>
      <c r="W88" t="str">
        <f t="shared" si="97"/>
        <v>Elementary occupations</v>
      </c>
      <c r="X88" s="11">
        <f t="shared" si="97"/>
        <v>183.55327662988839</v>
      </c>
      <c r="Y88" s="11">
        <f t="shared" si="97"/>
        <v>193.19296655167415</v>
      </c>
      <c r="Z88" s="11">
        <f t="shared" si="97"/>
        <v>170.94879911115726</v>
      </c>
      <c r="AA88" s="11">
        <f t="shared" si="97"/>
        <v>167.20435809002379</v>
      </c>
      <c r="AB88" s="11">
        <f t="shared" si="97"/>
        <v>159.13609640678052</v>
      </c>
      <c r="AD88" s="39">
        <f t="shared" si="98"/>
        <v>-1.4127431880157859</v>
      </c>
      <c r="AE88" s="39">
        <f t="shared" si="99"/>
        <v>-0.47622445778694455</v>
      </c>
    </row>
    <row r="89" spans="1:31" x14ac:dyDescent="0.3">
      <c r="B89" s="11"/>
      <c r="C89" s="11"/>
      <c r="D89" s="11"/>
      <c r="E89" s="11"/>
      <c r="F89" s="11"/>
      <c r="H89" s="39"/>
      <c r="I89" s="39"/>
      <c r="M89" s="11"/>
      <c r="N89" s="11"/>
      <c r="O89" s="11"/>
      <c r="P89" s="11"/>
      <c r="Q89" s="11"/>
      <c r="S89" s="39"/>
      <c r="T89" s="39"/>
      <c r="X89" s="11"/>
      <c r="Y89" s="11"/>
      <c r="Z89" s="11"/>
      <c r="AA89" s="11"/>
      <c r="AB89" s="11"/>
      <c r="AD89" s="39"/>
      <c r="AE89" s="39"/>
    </row>
    <row r="90" spans="1:31" x14ac:dyDescent="0.3">
      <c r="A90" s="23" t="str">
        <f t="shared" ref="A90:F90" si="101">A18</f>
        <v>All occupations</v>
      </c>
      <c r="B90" s="33">
        <f t="shared" si="101"/>
        <v>3055.7789999995121</v>
      </c>
      <c r="C90" s="33">
        <f t="shared" si="101"/>
        <v>3207.102999998318</v>
      </c>
      <c r="D90" s="33">
        <f t="shared" si="101"/>
        <v>3174.1919999984002</v>
      </c>
      <c r="E90" s="33">
        <f t="shared" si="101"/>
        <v>3280.2520000000036</v>
      </c>
      <c r="F90" s="33">
        <f t="shared" si="101"/>
        <v>3444.2829999979012</v>
      </c>
      <c r="H90" s="42">
        <f>IF(D$6-B$6 &lt;&gt; 0,(EXP(LN(D18/B18)/(D$6-B$6))-1)*100,0)</f>
        <v>0.76326935937192086</v>
      </c>
      <c r="I90" s="42">
        <f>F56</f>
        <v>0.54590226783473028</v>
      </c>
      <c r="L90" s="23" t="str">
        <f t="shared" ref="L90:Q90" si="102">L18</f>
        <v>All occupations</v>
      </c>
      <c r="M90" s="33">
        <f t="shared" si="102"/>
        <v>1628.7059999994681</v>
      </c>
      <c r="N90" s="33">
        <f t="shared" si="102"/>
        <v>1659.01499999969</v>
      </c>
      <c r="O90" s="33">
        <f t="shared" si="102"/>
        <v>1634.9039999990939</v>
      </c>
      <c r="P90" s="33">
        <f t="shared" si="102"/>
        <v>1692.0769999982242</v>
      </c>
      <c r="Q90" s="33">
        <f t="shared" si="102"/>
        <v>1768.6709999982772</v>
      </c>
      <c r="S90" s="42">
        <f>IF(O$6-M$6 &lt;&gt; 0,(EXP(LN(O18/M18)/(O$6-M$6))-1)*100,0)</f>
        <v>7.5993911122917979E-2</v>
      </c>
      <c r="T90" s="42">
        <f>Q56</f>
        <v>0.5256723680189257</v>
      </c>
      <c r="W90" s="23" t="str">
        <f t="shared" ref="W90:AB90" si="103">W18</f>
        <v>All occupations</v>
      </c>
      <c r="X90" s="33">
        <f t="shared" si="103"/>
        <v>1427.0730000000449</v>
      </c>
      <c r="Y90" s="33">
        <f t="shared" si="103"/>
        <v>1548.0879999986271</v>
      </c>
      <c r="Z90" s="33">
        <f t="shared" si="103"/>
        <v>1539.287999999307</v>
      </c>
      <c r="AA90" s="33">
        <f t="shared" si="103"/>
        <v>1588.1750000017805</v>
      </c>
      <c r="AB90" s="33">
        <f t="shared" si="103"/>
        <v>1675.6119999996245</v>
      </c>
      <c r="AD90" s="42">
        <f>IF(Z$6-X$6 &lt;&gt; 0,(EXP(LN(Z18/X18)/(Z$6-X$6))-1)*100,0)</f>
        <v>1.5254069226034339</v>
      </c>
      <c r="AE90" s="42">
        <f>AB56</f>
        <v>0.567326568490234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2"/>
  <dimension ref="A1:AF182"/>
  <sheetViews>
    <sheetView showGridLines="0" zoomScale="85" zoomScaleNormal="85" workbookViewId="0"/>
  </sheetViews>
  <sheetFormatPr defaultColWidth="9.15234375" defaultRowHeight="12.45" x14ac:dyDescent="0.3"/>
  <cols>
    <col min="1" max="1" width="55.69140625" customWidth="1"/>
    <col min="2" max="6" width="10" customWidth="1"/>
    <col min="7" max="7" width="6.69140625" customWidth="1"/>
    <col min="8" max="10" width="13" customWidth="1"/>
    <col min="11" max="11" width="9.84375" customWidth="1"/>
    <col min="12" max="12" width="55.69140625" customWidth="1"/>
    <col min="13" max="17" width="10" customWidth="1"/>
    <col min="18" max="18" width="6.69140625" customWidth="1"/>
    <col min="19" max="21" width="13" customWidth="1"/>
    <col min="23" max="23" width="55.69140625" customWidth="1"/>
    <col min="24" max="28" width="10" customWidth="1"/>
    <col min="29" max="29" width="6.69140625" customWidth="1"/>
    <col min="30" max="32" width="13" customWidth="1"/>
  </cols>
  <sheetData>
    <row r="1" spans="1:32" ht="15.45" x14ac:dyDescent="0.4">
      <c r="A1" s="18" t="str">
        <f>CONCATENATE("Occupation Table 2  Employment Change by Occupation (SOC 2020) and Replacement Demand, ",B$6,"-",F$6,", ",Info!B5)</f>
        <v>Occupation Table 2  Employment Change by Occupation (SOC 2020) and Replacement Demand, 2015-2035, East</v>
      </c>
      <c r="L1" s="18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East</v>
      </c>
      <c r="W1" s="18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East</v>
      </c>
    </row>
    <row r="2" spans="1:32" ht="12.75" customHeight="1" x14ac:dyDescent="0.35">
      <c r="A2" s="181" t="s">
        <v>539</v>
      </c>
      <c r="D2" s="339"/>
      <c r="G2" s="85"/>
      <c r="J2" s="85"/>
      <c r="M2" s="85"/>
      <c r="P2" s="85"/>
      <c r="S2" s="85"/>
      <c r="V2" s="85"/>
    </row>
    <row r="3" spans="1:32" x14ac:dyDescent="0.3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</row>
    <row r="4" spans="1:32" x14ac:dyDescent="0.3">
      <c r="A4" s="35"/>
      <c r="B4" s="35"/>
      <c r="C4" s="35"/>
      <c r="D4" s="35"/>
      <c r="E4" s="35"/>
      <c r="F4" s="35"/>
      <c r="H4" s="98" t="str">
        <f>CONCATENATE(D6,"-",F6)</f>
        <v>2020-2035</v>
      </c>
      <c r="I4" s="35"/>
      <c r="J4" s="35"/>
      <c r="L4" s="27" t="s">
        <v>98</v>
      </c>
      <c r="M4" s="35"/>
      <c r="N4" s="35"/>
      <c r="O4" s="35"/>
      <c r="P4" s="35"/>
      <c r="Q4" s="35"/>
      <c r="S4" s="98" t="str">
        <f>CONCATENATE(O6,"-",Q6)</f>
        <v>2020-2035</v>
      </c>
      <c r="T4" s="35"/>
      <c r="U4" s="35"/>
      <c r="W4" s="27" t="s">
        <v>99</v>
      </c>
      <c r="X4" s="35"/>
      <c r="Y4" s="35"/>
      <c r="Z4" s="35"/>
      <c r="AA4" s="35"/>
      <c r="AB4" s="35"/>
      <c r="AD4" s="98" t="str">
        <f>CONCATENATE(Z6,"-",AB6)</f>
        <v>2020-2035</v>
      </c>
      <c r="AE4" s="35"/>
      <c r="AF4" s="35"/>
    </row>
    <row r="5" spans="1:32" x14ac:dyDescent="0.3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</row>
    <row r="6" spans="1:32" x14ac:dyDescent="0.3">
      <c r="A6" s="40" t="s">
        <v>13</v>
      </c>
      <c r="B6" s="41">
        <v>2015</v>
      </c>
      <c r="C6" s="41">
        <v>2019</v>
      </c>
      <c r="D6" s="41">
        <v>2020</v>
      </c>
      <c r="E6" s="41">
        <v>2025</v>
      </c>
      <c r="F6" s="41">
        <v>2035</v>
      </c>
      <c r="H6" s="62" t="s">
        <v>18</v>
      </c>
      <c r="I6" s="62" t="s">
        <v>31</v>
      </c>
      <c r="J6" s="62" t="s">
        <v>33</v>
      </c>
      <c r="L6" s="40" t="s">
        <v>13</v>
      </c>
      <c r="M6" s="41">
        <f>B6</f>
        <v>2015</v>
      </c>
      <c r="N6" s="41">
        <f t="shared" ref="N6:Q6" si="0">C6</f>
        <v>2019</v>
      </c>
      <c r="O6" s="41">
        <f t="shared" si="0"/>
        <v>2020</v>
      </c>
      <c r="P6" s="41">
        <f t="shared" si="0"/>
        <v>2025</v>
      </c>
      <c r="Q6" s="41">
        <f t="shared" si="0"/>
        <v>2035</v>
      </c>
      <c r="S6" s="62" t="s">
        <v>18</v>
      </c>
      <c r="T6" s="62" t="s">
        <v>31</v>
      </c>
      <c r="U6" s="62" t="s">
        <v>33</v>
      </c>
      <c r="W6" s="40" t="s">
        <v>13</v>
      </c>
      <c r="X6" s="41">
        <f>B6</f>
        <v>2015</v>
      </c>
      <c r="Y6" s="41">
        <f t="shared" ref="Y6:AB6" si="1">C6</f>
        <v>2019</v>
      </c>
      <c r="Z6" s="41">
        <f t="shared" si="1"/>
        <v>2020</v>
      </c>
      <c r="AA6" s="41">
        <f t="shared" si="1"/>
        <v>2025</v>
      </c>
      <c r="AB6" s="41">
        <f t="shared" si="1"/>
        <v>2035</v>
      </c>
      <c r="AD6" s="62" t="s">
        <v>18</v>
      </c>
      <c r="AE6" s="62" t="s">
        <v>31</v>
      </c>
      <c r="AF6" s="62" t="s">
        <v>33</v>
      </c>
    </row>
    <row r="8" spans="1:32" x14ac:dyDescent="0.3">
      <c r="A8" s="10" t="str">
        <f>name!D4</f>
        <v>11 Corporate managers and directors</v>
      </c>
      <c r="B8" s="11">
        <v>215.07175900141254</v>
      </c>
      <c r="C8" s="11">
        <v>251.33188958578569</v>
      </c>
      <c r="D8" s="11">
        <v>256.42027451780478</v>
      </c>
      <c r="E8" s="11">
        <v>241.82674878761222</v>
      </c>
      <c r="F8" s="11">
        <v>268.37253864090906</v>
      </c>
      <c r="G8" s="10"/>
      <c r="H8" s="11">
        <f>F8-D8</f>
        <v>11.952264123104271</v>
      </c>
      <c r="I8" s="11">
        <f>'RD T1'!E7</f>
        <v>129.01146031706023</v>
      </c>
      <c r="J8" s="11">
        <f>SUM(H8:I8)</f>
        <v>140.9637244401645</v>
      </c>
      <c r="L8" s="10" t="str">
        <f>name!D4</f>
        <v>11 Corporate managers and directors</v>
      </c>
      <c r="M8" s="11">
        <v>152.17344731844599</v>
      </c>
      <c r="N8" s="11">
        <v>169.94446921040699</v>
      </c>
      <c r="O8" s="11">
        <v>172.98494259895583</v>
      </c>
      <c r="P8" s="11">
        <v>158.38341516722772</v>
      </c>
      <c r="Q8" s="11">
        <v>168.08260187035154</v>
      </c>
      <c r="R8" s="10"/>
      <c r="S8" s="11">
        <f>Q8-O8</f>
        <v>-4.9023407286042868</v>
      </c>
      <c r="T8" s="11">
        <f>'RD T1'!T7</f>
        <v>76.254374100231132</v>
      </c>
      <c r="U8" s="11">
        <f>SUM(S8:T8)</f>
        <v>71.352033371626845</v>
      </c>
      <c r="W8" s="10" t="str">
        <f>name!D4</f>
        <v>11 Corporate managers and directors</v>
      </c>
      <c r="X8" s="11">
        <v>62.898311682966295</v>
      </c>
      <c r="Y8" s="11">
        <v>81.387420375379037</v>
      </c>
      <c r="Z8" s="11">
        <v>83.435331918849499</v>
      </c>
      <c r="AA8" s="11">
        <v>83.443333620384934</v>
      </c>
      <c r="AB8" s="11">
        <v>100.28993677055635</v>
      </c>
      <c r="AC8" s="10"/>
      <c r="AD8" s="11">
        <f>AB8-Z8</f>
        <v>16.854604851706853</v>
      </c>
      <c r="AE8" s="11">
        <f>'RD T1'!T36</f>
        <v>52.757086216829109</v>
      </c>
      <c r="AF8" s="11">
        <f>SUM(AD8:AE8)</f>
        <v>69.611691068535961</v>
      </c>
    </row>
    <row r="9" spans="1:32" x14ac:dyDescent="0.3">
      <c r="A9" s="10" t="str">
        <f>name!D5</f>
        <v>12 Other managers and proprietors</v>
      </c>
      <c r="B9" s="11">
        <v>102.22745303138501</v>
      </c>
      <c r="C9" s="11">
        <v>107.51427216223921</v>
      </c>
      <c r="D9" s="11">
        <v>108.45532958998095</v>
      </c>
      <c r="E9" s="11">
        <v>135.36492976960793</v>
      </c>
      <c r="F9" s="11">
        <v>157.68053767542241</v>
      </c>
      <c r="H9" s="11">
        <f t="shared" ref="H9:H32" si="2">F9-D9</f>
        <v>49.225208085441466</v>
      </c>
      <c r="I9" s="11">
        <f>'RD T1'!E8</f>
        <v>79.388294090085466</v>
      </c>
      <c r="J9" s="11">
        <f>SUM(H9:I9)</f>
        <v>128.61350217552695</v>
      </c>
      <c r="L9" s="10" t="str">
        <f>name!D5</f>
        <v>12 Other managers and proprietors</v>
      </c>
      <c r="M9" s="11">
        <v>61.403052388524266</v>
      </c>
      <c r="N9" s="11">
        <v>60.911058603201035</v>
      </c>
      <c r="O9" s="11">
        <v>61.830377944235373</v>
      </c>
      <c r="P9" s="11">
        <v>79.529541153887308</v>
      </c>
      <c r="Q9" s="11">
        <v>91.343284545706183</v>
      </c>
      <c r="S9" s="11">
        <f t="shared" ref="S9:S32" si="3">Q9-O9</f>
        <v>29.51290660147081</v>
      </c>
      <c r="T9" s="11">
        <f>'RD T1'!T8</f>
        <v>41.461902658471807</v>
      </c>
      <c r="U9" s="11">
        <f>SUM(S9:T9)</f>
        <v>70.974809259942617</v>
      </c>
      <c r="W9" s="10" t="str">
        <f>name!D5</f>
        <v>12 Other managers and proprietors</v>
      </c>
      <c r="X9" s="11">
        <v>40.824400642860688</v>
      </c>
      <c r="Y9" s="11">
        <v>46.603213559038352</v>
      </c>
      <c r="Z9" s="11">
        <v>46.624951645745739</v>
      </c>
      <c r="AA9" s="11">
        <v>55.835388615720682</v>
      </c>
      <c r="AB9" s="11">
        <v>66.337253129716359</v>
      </c>
      <c r="AD9" s="11">
        <f t="shared" ref="AD9:AD32" si="4">AB9-Z9</f>
        <v>19.71230148397062</v>
      </c>
      <c r="AE9" s="11">
        <f>'RD T1'!T37</f>
        <v>37.926391431613659</v>
      </c>
      <c r="AF9" s="11">
        <f>SUM(AD9:AE9)</f>
        <v>57.638692915584279</v>
      </c>
    </row>
    <row r="10" spans="1:32" x14ac:dyDescent="0.3">
      <c r="A10" s="10" t="str">
        <f>name!D6</f>
        <v>21 Science, research, engineering and technology professionals</v>
      </c>
      <c r="B10" s="11">
        <v>186.41484950766176</v>
      </c>
      <c r="C10" s="11">
        <v>211.52119916310374</v>
      </c>
      <c r="D10" s="11">
        <v>219.28005434285362</v>
      </c>
      <c r="E10" s="11">
        <v>232.31387681230299</v>
      </c>
      <c r="F10" s="11">
        <v>259.05118497637233</v>
      </c>
      <c r="G10" s="11"/>
      <c r="H10" s="11">
        <f t="shared" si="2"/>
        <v>39.771130633518709</v>
      </c>
      <c r="I10" s="11">
        <f>'RD T1'!E9</f>
        <v>89.193952229396203</v>
      </c>
      <c r="J10" s="11">
        <f t="shared" ref="J10:J32" si="5">SUM(H10:I10)</f>
        <v>128.96508286291493</v>
      </c>
      <c r="L10" s="10" t="str">
        <f>name!D6</f>
        <v>21 Science, research, engineering and technology professionals</v>
      </c>
      <c r="M10" s="11">
        <v>150.02177422043576</v>
      </c>
      <c r="N10" s="11">
        <v>171.93131422005402</v>
      </c>
      <c r="O10" s="11">
        <v>170.72669122283156</v>
      </c>
      <c r="P10" s="11">
        <v>175.22040935425167</v>
      </c>
      <c r="Q10" s="11">
        <v>189.99632295157582</v>
      </c>
      <c r="R10" s="11"/>
      <c r="S10" s="11">
        <f t="shared" si="3"/>
        <v>19.269631728744258</v>
      </c>
      <c r="T10" s="11">
        <f>'RD T1'!T9</f>
        <v>58.643167812331484</v>
      </c>
      <c r="U10" s="11">
        <f t="shared" ref="U10:U32" si="6">SUM(S10:T10)</f>
        <v>77.912799541075742</v>
      </c>
      <c r="W10" s="10" t="str">
        <f>name!D6</f>
        <v>21 Science, research, engineering and technology professionals</v>
      </c>
      <c r="X10" s="11">
        <v>36.393075287226146</v>
      </c>
      <c r="Y10" s="11">
        <v>39.589884943049611</v>
      </c>
      <c r="Z10" s="11">
        <v>48.553363120021771</v>
      </c>
      <c r="AA10" s="11">
        <v>57.093467458051073</v>
      </c>
      <c r="AB10" s="11">
        <v>69.054862024796279</v>
      </c>
      <c r="AC10" s="11"/>
      <c r="AD10" s="11">
        <f t="shared" si="4"/>
        <v>20.501498904774508</v>
      </c>
      <c r="AE10" s="11">
        <f>'RD T1'!T38</f>
        <v>30.55078441706473</v>
      </c>
      <c r="AF10" s="11">
        <f t="shared" ref="AF10:AF32" si="7">SUM(AD10:AE10)</f>
        <v>51.052283321839241</v>
      </c>
    </row>
    <row r="11" spans="1:32" x14ac:dyDescent="0.3">
      <c r="A11" s="10" t="str">
        <f>name!D7</f>
        <v>22 Health professionals</v>
      </c>
      <c r="B11" s="11">
        <v>101.29090452362664</v>
      </c>
      <c r="C11" s="11">
        <v>122.61083730173362</v>
      </c>
      <c r="D11" s="11">
        <v>119.29571542032333</v>
      </c>
      <c r="E11" s="11">
        <v>129.3840758209306</v>
      </c>
      <c r="F11" s="11">
        <v>145.28131543342394</v>
      </c>
      <c r="G11" s="11"/>
      <c r="H11" s="11">
        <f t="shared" si="2"/>
        <v>25.985600013100608</v>
      </c>
      <c r="I11" s="11">
        <f>'RD T1'!E10</f>
        <v>71.502640335152108</v>
      </c>
      <c r="J11" s="11">
        <f t="shared" si="5"/>
        <v>97.488240348252717</v>
      </c>
      <c r="L11" s="10" t="str">
        <f>name!D7</f>
        <v>22 Health professionals</v>
      </c>
      <c r="M11" s="11">
        <v>28.77547663122294</v>
      </c>
      <c r="N11" s="11">
        <v>32.410910707307011</v>
      </c>
      <c r="O11" s="11">
        <v>31.855153655621528</v>
      </c>
      <c r="P11" s="11">
        <v>34.687140670361813</v>
      </c>
      <c r="Q11" s="11">
        <v>39.154259729896829</v>
      </c>
      <c r="R11" s="11"/>
      <c r="S11" s="11">
        <f t="shared" si="3"/>
        <v>7.2991060742753007</v>
      </c>
      <c r="T11" s="11">
        <f>'RD T1'!T10</f>
        <v>13.680182109498753</v>
      </c>
      <c r="U11" s="11">
        <f t="shared" si="6"/>
        <v>20.979288183774052</v>
      </c>
      <c r="W11" s="10" t="str">
        <f>name!D7</f>
        <v>22 Health professionals</v>
      </c>
      <c r="X11" s="11">
        <v>72.515427892403807</v>
      </c>
      <c r="Y11" s="11">
        <v>90.199926594426813</v>
      </c>
      <c r="Z11" s="11">
        <v>87.440561764701499</v>
      </c>
      <c r="AA11" s="11">
        <v>94.696935150568564</v>
      </c>
      <c r="AB11" s="11">
        <v>106.12705570352759</v>
      </c>
      <c r="AC11" s="11"/>
      <c r="AD11" s="11">
        <f t="shared" si="4"/>
        <v>18.686493938826089</v>
      </c>
      <c r="AE11" s="11">
        <f>'RD T1'!T39</f>
        <v>57.822458225653364</v>
      </c>
      <c r="AF11" s="11">
        <f t="shared" si="7"/>
        <v>76.508952164479453</v>
      </c>
    </row>
    <row r="12" spans="1:32" x14ac:dyDescent="0.3">
      <c r="A12" s="10" t="str">
        <f>name!D8</f>
        <v>23 Teaching and other educational professionals</v>
      </c>
      <c r="B12" s="11">
        <v>128.56143721289453</v>
      </c>
      <c r="C12" s="11">
        <v>145.1957743366284</v>
      </c>
      <c r="D12" s="11">
        <v>150.97859691014554</v>
      </c>
      <c r="E12" s="11">
        <v>156.21158434273588</v>
      </c>
      <c r="F12" s="11">
        <v>169.79821578021685</v>
      </c>
      <c r="G12" s="11"/>
      <c r="H12" s="11">
        <f t="shared" si="2"/>
        <v>18.819618870071309</v>
      </c>
      <c r="I12" s="11">
        <f>'RD T1'!E11</f>
        <v>81.296343851909086</v>
      </c>
      <c r="J12" s="11">
        <f t="shared" si="5"/>
        <v>100.1159627219804</v>
      </c>
      <c r="L12" s="10" t="str">
        <f>name!D8</f>
        <v>23 Teaching and other educational professionals</v>
      </c>
      <c r="M12" s="11">
        <v>45.697424707911964</v>
      </c>
      <c r="N12" s="11">
        <v>45.373804973074535</v>
      </c>
      <c r="O12" s="11">
        <v>48.614165247228179</v>
      </c>
      <c r="P12" s="11">
        <v>52.008091926516101</v>
      </c>
      <c r="Q12" s="11">
        <v>56.019490291550916</v>
      </c>
      <c r="R12" s="11"/>
      <c r="S12" s="11">
        <f t="shared" si="3"/>
        <v>7.405325044322737</v>
      </c>
      <c r="T12" s="11">
        <f>'RD T1'!T11</f>
        <v>22.285396733854839</v>
      </c>
      <c r="U12" s="11">
        <f t="shared" si="6"/>
        <v>29.690721778177576</v>
      </c>
      <c r="W12" s="10" t="str">
        <f>name!D8</f>
        <v>23 Teaching and other educational professionals</v>
      </c>
      <c r="X12" s="11">
        <v>82.864012504982583</v>
      </c>
      <c r="Y12" s="11">
        <v>99.821969363554061</v>
      </c>
      <c r="Z12" s="11">
        <v>102.36443166291744</v>
      </c>
      <c r="AA12" s="11">
        <v>104.20349241622004</v>
      </c>
      <c r="AB12" s="11">
        <v>113.77872548866561</v>
      </c>
      <c r="AC12" s="11"/>
      <c r="AD12" s="11">
        <f t="shared" si="4"/>
        <v>11.414293825748175</v>
      </c>
      <c r="AE12" s="11">
        <f>'RD T1'!T40</f>
        <v>59.010947118054261</v>
      </c>
      <c r="AF12" s="11">
        <f t="shared" si="7"/>
        <v>70.425240943802436</v>
      </c>
    </row>
    <row r="13" spans="1:32" x14ac:dyDescent="0.3">
      <c r="A13" s="10" t="str">
        <f>name!D9</f>
        <v>24 Business, media and public service professionals</v>
      </c>
      <c r="B13" s="11">
        <v>170.0371064822983</v>
      </c>
      <c r="C13" s="11">
        <v>200.00446446507434</v>
      </c>
      <c r="D13" s="11">
        <v>215.262818884013</v>
      </c>
      <c r="E13" s="11">
        <v>242.65710850270656</v>
      </c>
      <c r="F13" s="11">
        <v>277.19455512326959</v>
      </c>
      <c r="G13" s="11"/>
      <c r="H13" s="11">
        <f t="shared" si="2"/>
        <v>61.931736239256594</v>
      </c>
      <c r="I13" s="11">
        <f>'RD T1'!E12</f>
        <v>119.8060696139533</v>
      </c>
      <c r="J13" s="11">
        <f t="shared" si="5"/>
        <v>181.73780585320989</v>
      </c>
      <c r="L13" s="10" t="str">
        <f>name!D9</f>
        <v>24 Business, media and public service professionals</v>
      </c>
      <c r="M13" s="11">
        <v>102.7809275400225</v>
      </c>
      <c r="N13" s="11">
        <v>116.05199547292544</v>
      </c>
      <c r="O13" s="11">
        <v>122.51873655515763</v>
      </c>
      <c r="P13" s="11">
        <v>139.42306503733991</v>
      </c>
      <c r="Q13" s="11">
        <v>154.37457535257701</v>
      </c>
      <c r="R13" s="11"/>
      <c r="S13" s="11">
        <f t="shared" si="3"/>
        <v>31.855838797419381</v>
      </c>
      <c r="T13" s="11">
        <f>'RD T1'!T12</f>
        <v>60.199648619660692</v>
      </c>
      <c r="U13" s="11">
        <f t="shared" si="6"/>
        <v>92.055487417080073</v>
      </c>
      <c r="W13" s="10" t="str">
        <f>name!D9</f>
        <v>24 Business, media and public service professionals</v>
      </c>
      <c r="X13" s="11">
        <v>67.256178942276037</v>
      </c>
      <c r="Y13" s="11">
        <v>83.952468992148695</v>
      </c>
      <c r="Z13" s="11">
        <v>92.744082328855939</v>
      </c>
      <c r="AA13" s="11">
        <v>103.23404346536694</v>
      </c>
      <c r="AB13" s="11">
        <v>122.81997977069315</v>
      </c>
      <c r="AC13" s="11"/>
      <c r="AD13" s="11">
        <f t="shared" si="4"/>
        <v>30.075897441837213</v>
      </c>
      <c r="AE13" s="11">
        <f>'RD T1'!T41</f>
        <v>59.606420994292606</v>
      </c>
      <c r="AF13" s="11">
        <f t="shared" si="7"/>
        <v>89.682318436129819</v>
      </c>
    </row>
    <row r="14" spans="1:32" x14ac:dyDescent="0.3">
      <c r="A14" s="10" t="str">
        <f>name!D10</f>
        <v>31 Science, engineering and technology associate professionals</v>
      </c>
      <c r="B14" s="11">
        <v>51.916227810861997</v>
      </c>
      <c r="C14" s="11">
        <v>60.866837475210005</v>
      </c>
      <c r="D14" s="11">
        <v>66.661989893571118</v>
      </c>
      <c r="E14" s="11">
        <v>59.279962103038798</v>
      </c>
      <c r="F14" s="11">
        <v>64.377093001295108</v>
      </c>
      <c r="G14" s="11"/>
      <c r="H14" s="11">
        <f t="shared" si="2"/>
        <v>-2.2848968922760093</v>
      </c>
      <c r="I14" s="11">
        <f>'RD T1'!E13</f>
        <v>25.457024090167305</v>
      </c>
      <c r="J14" s="11">
        <f t="shared" si="5"/>
        <v>23.172127197891296</v>
      </c>
      <c r="L14" s="10" t="str">
        <f>name!D10</f>
        <v>31 Science, engineering and technology associate professionals</v>
      </c>
      <c r="M14" s="11">
        <v>37.293173128258822</v>
      </c>
      <c r="N14" s="11">
        <v>45.365947382655399</v>
      </c>
      <c r="O14" s="11">
        <v>47.722010404448028</v>
      </c>
      <c r="P14" s="11">
        <v>39.733775598430739</v>
      </c>
      <c r="Q14" s="11">
        <v>41.108889627217472</v>
      </c>
      <c r="R14" s="11"/>
      <c r="S14" s="11">
        <f t="shared" si="3"/>
        <v>-6.6131207772305558</v>
      </c>
      <c r="T14" s="11">
        <f>'RD T1'!T13</f>
        <v>15.05183172149483</v>
      </c>
      <c r="U14" s="11">
        <f t="shared" si="6"/>
        <v>8.4387109442642743</v>
      </c>
      <c r="W14" s="10" t="str">
        <f>name!D10</f>
        <v>31 Science, engineering and technology associate professionals</v>
      </c>
      <c r="X14" s="11">
        <v>14.623054682603126</v>
      </c>
      <c r="Y14" s="11">
        <v>15.500890092554645</v>
      </c>
      <c r="Z14" s="11">
        <v>18.939979489123175</v>
      </c>
      <c r="AA14" s="11">
        <v>19.546186504608016</v>
      </c>
      <c r="AB14" s="11">
        <v>23.268203374077732</v>
      </c>
      <c r="AC14" s="11"/>
      <c r="AD14" s="11">
        <f t="shared" si="4"/>
        <v>4.3282238849545571</v>
      </c>
      <c r="AE14" s="11">
        <f>'RD T1'!T42</f>
        <v>10.405192368672479</v>
      </c>
      <c r="AF14" s="11">
        <f t="shared" si="7"/>
        <v>14.733416253627036</v>
      </c>
    </row>
    <row r="15" spans="1:32" x14ac:dyDescent="0.3">
      <c r="A15" s="10" t="str">
        <f>name!D11</f>
        <v>32 Health and social care associate professionals</v>
      </c>
      <c r="B15" s="11">
        <v>43.592593838917885</v>
      </c>
      <c r="C15" s="11">
        <v>51.784387361927934</v>
      </c>
      <c r="D15" s="11">
        <v>52.293649494333124</v>
      </c>
      <c r="E15" s="11">
        <v>53.263865114478065</v>
      </c>
      <c r="F15" s="11">
        <v>60.069127651335592</v>
      </c>
      <c r="G15" s="11"/>
      <c r="H15" s="11">
        <f t="shared" si="2"/>
        <v>7.7754781570024676</v>
      </c>
      <c r="I15" s="11">
        <f>'RD T1'!E14</f>
        <v>32.599763129270571</v>
      </c>
      <c r="J15" s="11">
        <f t="shared" si="5"/>
        <v>40.375241286273038</v>
      </c>
      <c r="L15" s="10" t="str">
        <f>name!D11</f>
        <v>32 Health and social care associate professionals</v>
      </c>
      <c r="M15" s="11">
        <v>8.9661598524987358</v>
      </c>
      <c r="N15" s="11">
        <v>8.8846528495250485</v>
      </c>
      <c r="O15" s="11">
        <v>9.2320084954154122</v>
      </c>
      <c r="P15" s="11">
        <v>8.300347428054307</v>
      </c>
      <c r="Q15" s="11">
        <v>8.9656627242357771</v>
      </c>
      <c r="R15" s="11"/>
      <c r="S15" s="11">
        <f t="shared" si="3"/>
        <v>-0.26634577117963509</v>
      </c>
      <c r="T15" s="11">
        <f>'RD T1'!T14</f>
        <v>4.0550972765776097</v>
      </c>
      <c r="U15" s="11">
        <f t="shared" si="6"/>
        <v>3.7887515053979746</v>
      </c>
      <c r="W15" s="10" t="str">
        <f>name!D11</f>
        <v>32 Health and social care associate professionals</v>
      </c>
      <c r="X15" s="11">
        <v>34.62643398641918</v>
      </c>
      <c r="Y15" s="11">
        <v>42.899734512402908</v>
      </c>
      <c r="Z15" s="11">
        <v>43.061640998917738</v>
      </c>
      <c r="AA15" s="11">
        <v>44.963517686423764</v>
      </c>
      <c r="AB15" s="11">
        <v>51.103464927099857</v>
      </c>
      <c r="AC15" s="11"/>
      <c r="AD15" s="11">
        <f t="shared" si="4"/>
        <v>8.0418239281821187</v>
      </c>
      <c r="AE15" s="11">
        <f>'RD T1'!T43</f>
        <v>28.544665852692962</v>
      </c>
      <c r="AF15" s="11">
        <f t="shared" si="7"/>
        <v>36.586489780875084</v>
      </c>
    </row>
    <row r="16" spans="1:32" x14ac:dyDescent="0.3">
      <c r="A16" s="10" t="str">
        <f>name!D12</f>
        <v>33 Protective service occupations</v>
      </c>
      <c r="B16" s="11">
        <v>30.017339672230531</v>
      </c>
      <c r="C16" s="11">
        <v>29.436057957041882</v>
      </c>
      <c r="D16" s="11">
        <v>31.864429233105461</v>
      </c>
      <c r="E16" s="11">
        <v>39.207054120304214</v>
      </c>
      <c r="F16" s="11">
        <v>47.091997779470525</v>
      </c>
      <c r="G16" s="11"/>
      <c r="H16" s="11">
        <f t="shared" si="2"/>
        <v>15.227568546365063</v>
      </c>
      <c r="I16" s="11">
        <f>'RD T1'!E15</f>
        <v>14.678540908398528</v>
      </c>
      <c r="J16" s="11">
        <f t="shared" si="5"/>
        <v>29.906109454763591</v>
      </c>
      <c r="L16" s="10" t="str">
        <f>name!D12</f>
        <v>33 Protective service occupations</v>
      </c>
      <c r="M16" s="11">
        <v>22.294425880988165</v>
      </c>
      <c r="N16" s="11">
        <v>21.137488446818185</v>
      </c>
      <c r="O16" s="11">
        <v>22.407958093364833</v>
      </c>
      <c r="P16" s="11">
        <v>26.256931904846368</v>
      </c>
      <c r="Q16" s="11">
        <v>29.205060941031356</v>
      </c>
      <c r="R16" s="11"/>
      <c r="S16" s="11">
        <f t="shared" si="3"/>
        <v>6.7971028476665225</v>
      </c>
      <c r="T16" s="11">
        <f>'RD T1'!T15</f>
        <v>7.5259727087932626</v>
      </c>
      <c r="U16" s="11">
        <f t="shared" si="6"/>
        <v>14.323075556459784</v>
      </c>
      <c r="W16" s="10" t="str">
        <f>name!D12</f>
        <v>33 Protective service occupations</v>
      </c>
      <c r="X16" s="11">
        <v>7.7229137912423065</v>
      </c>
      <c r="Y16" s="11">
        <v>8.2985695102237056</v>
      </c>
      <c r="Z16" s="11">
        <v>9.4564711397405965</v>
      </c>
      <c r="AA16" s="11">
        <v>12.950122215457874</v>
      </c>
      <c r="AB16" s="11">
        <v>17.886936838439279</v>
      </c>
      <c r="AC16" s="11"/>
      <c r="AD16" s="11">
        <f t="shared" si="4"/>
        <v>8.4304656986986828</v>
      </c>
      <c r="AE16" s="11">
        <f>'RD T1'!T44</f>
        <v>7.1525681996052644</v>
      </c>
      <c r="AF16" s="11">
        <f t="shared" si="7"/>
        <v>15.583033898303947</v>
      </c>
    </row>
    <row r="17" spans="1:32" x14ac:dyDescent="0.3">
      <c r="A17" s="10" t="str">
        <f>name!D13</f>
        <v>34 Culture, media and sports occupations</v>
      </c>
      <c r="B17" s="11">
        <v>61.226797374406303</v>
      </c>
      <c r="C17" s="11">
        <v>60.405627510625095</v>
      </c>
      <c r="D17" s="11">
        <v>72.766048539117293</v>
      </c>
      <c r="E17" s="11">
        <v>69.154948490125918</v>
      </c>
      <c r="F17" s="11">
        <v>76.224056380442065</v>
      </c>
      <c r="G17" s="11"/>
      <c r="H17" s="11">
        <f t="shared" si="2"/>
        <v>3.4580078413247719</v>
      </c>
      <c r="I17" s="11">
        <f>'RD T1'!E16</f>
        <v>33.106573642960242</v>
      </c>
      <c r="J17" s="11">
        <f t="shared" si="5"/>
        <v>36.564581484285014</v>
      </c>
      <c r="L17" s="10" t="str">
        <f>name!D13</f>
        <v>34 Culture, media and sports occupations</v>
      </c>
      <c r="M17" s="11">
        <v>33.589176567719448</v>
      </c>
      <c r="N17" s="11">
        <v>35.057469584255337</v>
      </c>
      <c r="O17" s="11">
        <v>38.852905287544729</v>
      </c>
      <c r="P17" s="11">
        <v>37.678744498851742</v>
      </c>
      <c r="Q17" s="11">
        <v>41.812864972684039</v>
      </c>
      <c r="R17" s="11"/>
      <c r="S17" s="11">
        <f t="shared" si="3"/>
        <v>2.9599596851393102</v>
      </c>
      <c r="T17" s="11">
        <f>'RD T1'!T16</f>
        <v>15.874694847668533</v>
      </c>
      <c r="U17" s="11">
        <f t="shared" si="6"/>
        <v>18.834654532807843</v>
      </c>
      <c r="W17" s="10" t="str">
        <f>name!D13</f>
        <v>34 Culture, media and sports occupations</v>
      </c>
      <c r="X17" s="11">
        <v>27.637620806687028</v>
      </c>
      <c r="Y17" s="11">
        <v>25.348157926369964</v>
      </c>
      <c r="Z17" s="11">
        <v>33.913143251572542</v>
      </c>
      <c r="AA17" s="11">
        <v>31.476203991274236</v>
      </c>
      <c r="AB17" s="11">
        <v>34.411191407758238</v>
      </c>
      <c r="AC17" s="11"/>
      <c r="AD17" s="11">
        <f t="shared" si="4"/>
        <v>0.4980481561856962</v>
      </c>
      <c r="AE17" s="11">
        <f>'RD T1'!T45</f>
        <v>17.231878795291699</v>
      </c>
      <c r="AF17" s="11">
        <f t="shared" si="7"/>
        <v>17.729926951477395</v>
      </c>
    </row>
    <row r="18" spans="1:32" x14ac:dyDescent="0.3">
      <c r="A18" s="10" t="str">
        <f>name!D14</f>
        <v>35 Business and public service associate professionals</v>
      </c>
      <c r="B18" s="11">
        <v>182.23852840786006</v>
      </c>
      <c r="C18" s="11">
        <v>195.7045487837191</v>
      </c>
      <c r="D18" s="11">
        <v>201.30044972390519</v>
      </c>
      <c r="E18" s="11">
        <v>195.65119467189456</v>
      </c>
      <c r="F18" s="11">
        <v>207.25099940186306</v>
      </c>
      <c r="G18" s="11"/>
      <c r="H18" s="11">
        <f t="shared" si="2"/>
        <v>5.9505496779578664</v>
      </c>
      <c r="I18" s="11">
        <f>'RD T1'!E17</f>
        <v>92.319127378830913</v>
      </c>
      <c r="J18" s="11">
        <f t="shared" si="5"/>
        <v>98.26967705678878</v>
      </c>
      <c r="L18" s="10" t="str">
        <f>name!D14</f>
        <v>35 Business and public service associate professionals</v>
      </c>
      <c r="M18" s="11">
        <v>99.399617825575248</v>
      </c>
      <c r="N18" s="11">
        <v>103.12502318513081</v>
      </c>
      <c r="O18" s="11">
        <v>106.89539407612497</v>
      </c>
      <c r="P18" s="11">
        <v>100.61188544100699</v>
      </c>
      <c r="Q18" s="11">
        <v>101.29939459731952</v>
      </c>
      <c r="R18" s="11"/>
      <c r="S18" s="11">
        <f t="shared" si="3"/>
        <v>-5.595999478805453</v>
      </c>
      <c r="T18" s="11">
        <f>'RD T1'!T17</f>
        <v>39.156722074704035</v>
      </c>
      <c r="U18" s="11">
        <f t="shared" si="6"/>
        <v>33.560722595898582</v>
      </c>
      <c r="W18" s="10" t="str">
        <f>name!D14</f>
        <v>35 Business and public service associate professionals</v>
      </c>
      <c r="X18" s="11">
        <v>82.83891058228474</v>
      </c>
      <c r="Y18" s="11">
        <v>92.579525598588319</v>
      </c>
      <c r="Z18" s="11">
        <v>94.405055647780898</v>
      </c>
      <c r="AA18" s="11">
        <v>95.03930923088771</v>
      </c>
      <c r="AB18" s="11">
        <v>105.9516048045441</v>
      </c>
      <c r="AC18" s="11"/>
      <c r="AD18" s="11">
        <f t="shared" si="4"/>
        <v>11.546549156763206</v>
      </c>
      <c r="AE18" s="11">
        <f>'RD T1'!T46</f>
        <v>53.162405304126878</v>
      </c>
      <c r="AF18" s="11">
        <f t="shared" si="7"/>
        <v>64.708954460890084</v>
      </c>
    </row>
    <row r="19" spans="1:32" x14ac:dyDescent="0.3">
      <c r="A19" s="10" t="str">
        <f>name!D15</f>
        <v>41 Administrative occupations</v>
      </c>
      <c r="B19" s="11">
        <v>259.61010329935812</v>
      </c>
      <c r="C19" s="11">
        <v>256.31375667122313</v>
      </c>
      <c r="D19" s="11">
        <v>261.75573790944139</v>
      </c>
      <c r="E19" s="11">
        <v>241.46847811395256</v>
      </c>
      <c r="F19" s="11">
        <v>227.65142269680504</v>
      </c>
      <c r="G19" s="11"/>
      <c r="H19" s="11">
        <f t="shared" si="2"/>
        <v>-34.104315212636351</v>
      </c>
      <c r="I19" s="11">
        <f>'RD T1'!E18</f>
        <v>120.20537575792905</v>
      </c>
      <c r="J19" s="11">
        <f t="shared" si="5"/>
        <v>86.101060545292697</v>
      </c>
      <c r="L19" s="10" t="str">
        <f>name!D15</f>
        <v>41 Administrative occupations</v>
      </c>
      <c r="M19" s="11">
        <v>67.992282667501698</v>
      </c>
      <c r="N19" s="11">
        <v>62.802304818140605</v>
      </c>
      <c r="O19" s="11">
        <v>74.684221776827158</v>
      </c>
      <c r="P19" s="11">
        <v>71.290275228529566</v>
      </c>
      <c r="Q19" s="11">
        <v>77.373496688736495</v>
      </c>
      <c r="R19" s="11"/>
      <c r="S19" s="11">
        <f t="shared" si="3"/>
        <v>2.6892749119093367</v>
      </c>
      <c r="T19" s="11">
        <f>'RD T1'!T18</f>
        <v>27.300279823532343</v>
      </c>
      <c r="U19" s="11">
        <f t="shared" si="6"/>
        <v>29.989554735441679</v>
      </c>
      <c r="W19" s="10" t="str">
        <f>name!D15</f>
        <v>41 Administrative occupations</v>
      </c>
      <c r="X19" s="11">
        <v>191.61782063185575</v>
      </c>
      <c r="Y19" s="11">
        <v>193.51145185308241</v>
      </c>
      <c r="Z19" s="11">
        <v>187.07151613261439</v>
      </c>
      <c r="AA19" s="11">
        <v>170.17820288542282</v>
      </c>
      <c r="AB19" s="11">
        <v>150.27792600806833</v>
      </c>
      <c r="AC19" s="11"/>
      <c r="AD19" s="11">
        <f t="shared" si="4"/>
        <v>-36.793590124546057</v>
      </c>
      <c r="AE19" s="11">
        <f>'RD T1'!T47</f>
        <v>92.905095934396712</v>
      </c>
      <c r="AF19" s="11">
        <f t="shared" si="7"/>
        <v>56.111505809850655</v>
      </c>
    </row>
    <row r="20" spans="1:32" x14ac:dyDescent="0.3">
      <c r="A20" s="10" t="str">
        <f>name!D16</f>
        <v>42 Secretarial and related occupations</v>
      </c>
      <c r="B20" s="11">
        <v>75.640118464250264</v>
      </c>
      <c r="C20" s="11">
        <v>71.767387967638115</v>
      </c>
      <c r="D20" s="11">
        <v>68.954741530614868</v>
      </c>
      <c r="E20" s="11">
        <v>71.559982410627711</v>
      </c>
      <c r="F20" s="11">
        <v>52.703380501883423</v>
      </c>
      <c r="G20" s="11"/>
      <c r="H20" s="11">
        <f t="shared" si="2"/>
        <v>-16.251361028731445</v>
      </c>
      <c r="I20" s="11">
        <f>'RD T1'!E19</f>
        <v>34.604341059268272</v>
      </c>
      <c r="J20" s="11">
        <f t="shared" si="5"/>
        <v>18.352980030536827</v>
      </c>
      <c r="L20" s="10" t="str">
        <f>name!D16</f>
        <v>42 Secretarial and related occupations</v>
      </c>
      <c r="M20" s="11">
        <v>4.3754331538671893</v>
      </c>
      <c r="N20" s="11">
        <v>3.2927394301151311</v>
      </c>
      <c r="O20" s="11">
        <v>3.2255361851943984</v>
      </c>
      <c r="P20" s="11">
        <v>4.1708481569003988</v>
      </c>
      <c r="Q20" s="11">
        <v>5.0211080101412691</v>
      </c>
      <c r="R20" s="11"/>
      <c r="S20" s="11">
        <f t="shared" si="3"/>
        <v>1.7955718249468706</v>
      </c>
      <c r="T20" s="11">
        <f>'RD T1'!T19</f>
        <v>1.4225340113157574</v>
      </c>
      <c r="U20" s="11">
        <f t="shared" si="6"/>
        <v>3.218105836262628</v>
      </c>
      <c r="W20" s="10" t="str">
        <f>name!D16</f>
        <v>42 Secretarial and related occupations</v>
      </c>
      <c r="X20" s="11">
        <v>71.264685310383143</v>
      </c>
      <c r="Y20" s="11">
        <v>68.474648537523009</v>
      </c>
      <c r="Z20" s="11">
        <v>65.729205345420411</v>
      </c>
      <c r="AA20" s="11">
        <v>67.389134253727448</v>
      </c>
      <c r="AB20" s="11">
        <v>47.682272491742147</v>
      </c>
      <c r="AC20" s="11"/>
      <c r="AD20" s="11">
        <f t="shared" si="4"/>
        <v>-18.046932853678264</v>
      </c>
      <c r="AE20" s="11">
        <f>'RD T1'!T48</f>
        <v>33.181807047952503</v>
      </c>
      <c r="AF20" s="11">
        <f t="shared" si="7"/>
        <v>15.134874194274239</v>
      </c>
    </row>
    <row r="21" spans="1:32" x14ac:dyDescent="0.3">
      <c r="A21" s="10" t="str">
        <f>name!D17</f>
        <v>51 Skilled agricultural and related trades</v>
      </c>
      <c r="B21" s="11">
        <v>39.127265446710197</v>
      </c>
      <c r="C21" s="11">
        <v>41.901491038955442</v>
      </c>
      <c r="D21" s="11">
        <v>27.701459442035809</v>
      </c>
      <c r="E21" s="11">
        <v>29.4176763322601</v>
      </c>
      <c r="F21" s="11">
        <v>34.324848177096435</v>
      </c>
      <c r="G21" s="11"/>
      <c r="H21" s="11">
        <f t="shared" si="2"/>
        <v>6.623388735060626</v>
      </c>
      <c r="I21" s="11">
        <f>'RD T1'!E20</f>
        <v>17.205832090080094</v>
      </c>
      <c r="J21" s="11">
        <f t="shared" si="5"/>
        <v>23.82922082514072</v>
      </c>
      <c r="L21" s="10" t="str">
        <f>name!D17</f>
        <v>51 Skilled agricultural and related trades</v>
      </c>
      <c r="M21" s="11">
        <v>33.271056662677012</v>
      </c>
      <c r="N21" s="11">
        <v>34.712802139299384</v>
      </c>
      <c r="O21" s="11">
        <v>21.00273465970858</v>
      </c>
      <c r="P21" s="11">
        <v>21.66808205102009</v>
      </c>
      <c r="Q21" s="11">
        <v>24.690917510087264</v>
      </c>
      <c r="R21" s="11"/>
      <c r="S21" s="11">
        <f t="shared" si="3"/>
        <v>3.6881828503786842</v>
      </c>
      <c r="T21" s="11">
        <f>'RD T1'!T20</f>
        <v>11.57737312048325</v>
      </c>
      <c r="U21" s="11">
        <f t="shared" si="6"/>
        <v>15.265555970861934</v>
      </c>
      <c r="W21" s="10" t="str">
        <f>name!D17</f>
        <v>51 Skilled agricultural and related trades</v>
      </c>
      <c r="X21" s="11">
        <v>5.8562087840332033</v>
      </c>
      <c r="Y21" s="11">
        <v>7.1886888996560545</v>
      </c>
      <c r="Z21" s="11">
        <v>6.698724782327198</v>
      </c>
      <c r="AA21" s="11">
        <v>7.7495942812400598</v>
      </c>
      <c r="AB21" s="11">
        <v>9.6339306670091354</v>
      </c>
      <c r="AC21" s="11"/>
      <c r="AD21" s="11">
        <f t="shared" si="4"/>
        <v>2.9352058846819373</v>
      </c>
      <c r="AE21" s="11">
        <f>'RD T1'!T49</f>
        <v>5.6284589695968474</v>
      </c>
      <c r="AF21" s="11">
        <f t="shared" si="7"/>
        <v>8.5636648542787839</v>
      </c>
    </row>
    <row r="22" spans="1:32" x14ac:dyDescent="0.3">
      <c r="A22" s="10" t="str">
        <f>name!D18</f>
        <v>52 Skilled metal, electrical and electronic trades</v>
      </c>
      <c r="B22" s="11">
        <v>118.00540714420841</v>
      </c>
      <c r="C22" s="11">
        <v>114.08729671392925</v>
      </c>
      <c r="D22" s="11">
        <v>100.42539928195286</v>
      </c>
      <c r="E22" s="11">
        <v>102.88814709808921</v>
      </c>
      <c r="F22" s="11">
        <v>99.69259873414488</v>
      </c>
      <c r="G22" s="11"/>
      <c r="H22" s="11">
        <f t="shared" si="2"/>
        <v>-0.73280054780798309</v>
      </c>
      <c r="I22" s="11">
        <f>'RD T1'!E21</f>
        <v>38.92096441450024</v>
      </c>
      <c r="J22" s="11">
        <f t="shared" si="5"/>
        <v>38.188163866692257</v>
      </c>
      <c r="L22" s="10" t="str">
        <f>name!D18</f>
        <v>52 Skilled metal, electrical and electronic trades</v>
      </c>
      <c r="M22" s="11">
        <v>115.8238445823182</v>
      </c>
      <c r="N22" s="11">
        <v>110.64361747092063</v>
      </c>
      <c r="O22" s="11">
        <v>97.712169762553089</v>
      </c>
      <c r="P22" s="11">
        <v>96.645834460993981</v>
      </c>
      <c r="Q22" s="11">
        <v>92.148846813711899</v>
      </c>
      <c r="R22" s="11"/>
      <c r="S22" s="11">
        <f t="shared" si="3"/>
        <v>-5.5633229488411899</v>
      </c>
      <c r="T22" s="11">
        <f>'RD T1'!T21</f>
        <v>35.318482236280715</v>
      </c>
      <c r="U22" s="11">
        <f t="shared" si="6"/>
        <v>29.755159287439525</v>
      </c>
      <c r="W22" s="10" t="str">
        <f>name!D18</f>
        <v>52 Skilled metal, electrical and electronic trades</v>
      </c>
      <c r="X22" s="11">
        <v>2.1815625618899395</v>
      </c>
      <c r="Y22" s="11">
        <v>3.4436792430086296</v>
      </c>
      <c r="Z22" s="11">
        <v>2.7132295193997065</v>
      </c>
      <c r="AA22" s="11">
        <v>6.2423126370951199</v>
      </c>
      <c r="AB22" s="11">
        <v>7.5437519204329604</v>
      </c>
      <c r="AC22" s="11"/>
      <c r="AD22" s="11">
        <f t="shared" si="4"/>
        <v>4.8305224010332539</v>
      </c>
      <c r="AE22" s="11">
        <f>'RD T1'!T50</f>
        <v>3.6024821782195211</v>
      </c>
      <c r="AF22" s="11">
        <f t="shared" si="7"/>
        <v>8.4330045792527741</v>
      </c>
    </row>
    <row r="23" spans="1:32" x14ac:dyDescent="0.3">
      <c r="A23" s="10" t="str">
        <f>name!D19</f>
        <v>53 Skilled construction and building trades</v>
      </c>
      <c r="B23" s="11">
        <v>96.086748078120166</v>
      </c>
      <c r="C23" s="11">
        <v>83.776811334060341</v>
      </c>
      <c r="D23" s="11">
        <v>82.52660532338669</v>
      </c>
      <c r="E23" s="11">
        <v>87.836132747054634</v>
      </c>
      <c r="F23" s="11">
        <v>80.451774167755275</v>
      </c>
      <c r="G23" s="11"/>
      <c r="H23" s="11">
        <f t="shared" si="2"/>
        <v>-2.074831155631415</v>
      </c>
      <c r="I23" s="11">
        <f>'RD T1'!E22</f>
        <v>35.972793741745264</v>
      </c>
      <c r="J23" s="11">
        <f t="shared" si="5"/>
        <v>33.897962586113849</v>
      </c>
      <c r="L23" s="10" t="str">
        <f>name!D19</f>
        <v>53 Skilled construction and building trades</v>
      </c>
      <c r="M23" s="11">
        <v>94.938508680913088</v>
      </c>
      <c r="N23" s="11">
        <v>82.158618147472751</v>
      </c>
      <c r="O23" s="11">
        <v>80.412115604644541</v>
      </c>
      <c r="P23" s="11">
        <v>85.592183037006023</v>
      </c>
      <c r="Q23" s="11">
        <v>77.665580970630785</v>
      </c>
      <c r="R23" s="11"/>
      <c r="S23" s="11">
        <f t="shared" si="3"/>
        <v>-2.7465346340137557</v>
      </c>
      <c r="T23" s="11">
        <f>'RD T1'!T22</f>
        <v>34.691100080612998</v>
      </c>
      <c r="U23" s="11">
        <f t="shared" si="6"/>
        <v>31.944565446599242</v>
      </c>
      <c r="W23" s="10" t="str">
        <f>name!D19</f>
        <v>53 Skilled construction and building trades</v>
      </c>
      <c r="X23" s="11">
        <v>1.1482393972070346</v>
      </c>
      <c r="Y23" s="11">
        <v>1.6181931865875876</v>
      </c>
      <c r="Z23" s="11">
        <v>2.1144897187423326</v>
      </c>
      <c r="AA23" s="11">
        <v>2.2439497100486494</v>
      </c>
      <c r="AB23" s="11">
        <v>2.7861931971244025</v>
      </c>
      <c r="AC23" s="11"/>
      <c r="AD23" s="11">
        <f t="shared" si="4"/>
        <v>0.6717034783820699</v>
      </c>
      <c r="AE23" s="11">
        <f>'RD T1'!T51</f>
        <v>1.2816936611322902</v>
      </c>
      <c r="AF23" s="11">
        <f t="shared" si="7"/>
        <v>1.9533971395143601</v>
      </c>
    </row>
    <row r="24" spans="1:32" x14ac:dyDescent="0.3">
      <c r="A24" s="10" t="str">
        <f>name!D20</f>
        <v>54 Textiles, printing and other skilled trades</v>
      </c>
      <c r="B24" s="11">
        <v>71.711869284133982</v>
      </c>
      <c r="C24" s="11">
        <v>62.537850065291892</v>
      </c>
      <c r="D24" s="11">
        <v>60.813130058863692</v>
      </c>
      <c r="E24" s="11">
        <v>61.48888168063467</v>
      </c>
      <c r="F24" s="11">
        <v>63.173205220636099</v>
      </c>
      <c r="G24" s="11"/>
      <c r="H24" s="11">
        <f t="shared" si="2"/>
        <v>2.3600751617724072</v>
      </c>
      <c r="I24" s="11">
        <f>'RD T1'!E23</f>
        <v>27.080494962275711</v>
      </c>
      <c r="J24" s="11">
        <f t="shared" si="5"/>
        <v>29.440570124048119</v>
      </c>
      <c r="L24" s="10" t="str">
        <f>name!D20</f>
        <v>54 Textiles, printing and other skilled trades</v>
      </c>
      <c r="M24" s="11">
        <v>45.093814009272613</v>
      </c>
      <c r="N24" s="11">
        <v>37.085299573109808</v>
      </c>
      <c r="O24" s="11">
        <v>34.312023025612852</v>
      </c>
      <c r="P24" s="11">
        <v>34.575831888890768</v>
      </c>
      <c r="Q24" s="11">
        <v>34.534018983479825</v>
      </c>
      <c r="R24" s="11"/>
      <c r="S24" s="11">
        <f t="shared" si="3"/>
        <v>0.22199595786697301</v>
      </c>
      <c r="T24" s="11">
        <f>'RD T1'!T23</f>
        <v>11.129838378366825</v>
      </c>
      <c r="U24" s="11">
        <f t="shared" si="6"/>
        <v>11.351834336233798</v>
      </c>
      <c r="W24" s="10" t="str">
        <f>name!D20</f>
        <v>54 Textiles, printing and other skilled trades</v>
      </c>
      <c r="X24" s="11">
        <v>26.618055274861192</v>
      </c>
      <c r="Y24" s="11">
        <v>25.452550492182009</v>
      </c>
      <c r="Z24" s="11">
        <v>26.501107033250833</v>
      </c>
      <c r="AA24" s="11">
        <v>26.91304979174387</v>
      </c>
      <c r="AB24" s="11">
        <v>28.639186237156245</v>
      </c>
      <c r="AC24" s="11"/>
      <c r="AD24" s="11">
        <f t="shared" si="4"/>
        <v>2.1380792039054128</v>
      </c>
      <c r="AE24" s="11">
        <f>'RD T1'!T52</f>
        <v>15.950656583908881</v>
      </c>
      <c r="AF24" s="11">
        <f t="shared" si="7"/>
        <v>18.088735787814294</v>
      </c>
    </row>
    <row r="25" spans="1:32" x14ac:dyDescent="0.3">
      <c r="A25" s="10" t="str">
        <f>name!D21</f>
        <v>61 Caring personal service occupations</v>
      </c>
      <c r="B25" s="11">
        <v>211.95390549156167</v>
      </c>
      <c r="C25" s="11">
        <v>231.55935715723243</v>
      </c>
      <c r="D25" s="11">
        <v>223.65609032128737</v>
      </c>
      <c r="E25" s="11">
        <v>243.80561243809041</v>
      </c>
      <c r="F25" s="11">
        <v>274.63381510722382</v>
      </c>
      <c r="G25" s="11"/>
      <c r="H25" s="11">
        <f t="shared" si="2"/>
        <v>50.977724785936459</v>
      </c>
      <c r="I25" s="11">
        <f>'RD T1'!E24</f>
        <v>144.14316517716225</v>
      </c>
      <c r="J25" s="11">
        <f t="shared" si="5"/>
        <v>195.1208899630987</v>
      </c>
      <c r="L25" s="10" t="str">
        <f>name!D21</f>
        <v>61 Caring personal service occupations</v>
      </c>
      <c r="M25" s="11">
        <v>33.0880539082833</v>
      </c>
      <c r="N25" s="11">
        <v>32.869330404511643</v>
      </c>
      <c r="O25" s="11">
        <v>31.261095982321685</v>
      </c>
      <c r="P25" s="11">
        <v>38.939110102349943</v>
      </c>
      <c r="Q25" s="11">
        <v>47.140816992865517</v>
      </c>
      <c r="R25" s="11"/>
      <c r="S25" s="11">
        <f t="shared" si="3"/>
        <v>15.879721010543832</v>
      </c>
      <c r="T25" s="11">
        <f>'RD T1'!T24</f>
        <v>18.368910064226601</v>
      </c>
      <c r="U25" s="11">
        <f t="shared" si="6"/>
        <v>34.248631074770429</v>
      </c>
      <c r="W25" s="10" t="str">
        <f>name!D21</f>
        <v>61 Caring personal service occupations</v>
      </c>
      <c r="X25" s="11">
        <v>178.86585158327838</v>
      </c>
      <c r="Y25" s="11">
        <v>198.69002675272088</v>
      </c>
      <c r="Z25" s="11">
        <v>192.39499433896563</v>
      </c>
      <c r="AA25" s="11">
        <v>204.86650233574051</v>
      </c>
      <c r="AB25" s="11">
        <v>227.4929981143583</v>
      </c>
      <c r="AC25" s="11"/>
      <c r="AD25" s="11">
        <f t="shared" si="4"/>
        <v>35.098003775392669</v>
      </c>
      <c r="AE25" s="11">
        <f>'RD T1'!T53</f>
        <v>125.77425511293565</v>
      </c>
      <c r="AF25" s="11">
        <f t="shared" si="7"/>
        <v>160.8722588883283</v>
      </c>
    </row>
    <row r="26" spans="1:32" x14ac:dyDescent="0.3">
      <c r="A26" s="10" t="str">
        <f>name!D22</f>
        <v>62 Leisure, travel and related personal service occupations</v>
      </c>
      <c r="B26" s="11">
        <v>65.78241893690182</v>
      </c>
      <c r="C26" s="11">
        <v>72.529447377612058</v>
      </c>
      <c r="D26" s="11">
        <v>72.441128106543133</v>
      </c>
      <c r="E26" s="11">
        <v>74.304059156522669</v>
      </c>
      <c r="F26" s="11">
        <v>75.857817785706203</v>
      </c>
      <c r="G26" s="11"/>
      <c r="H26" s="11">
        <f t="shared" si="2"/>
        <v>3.4166896791630705</v>
      </c>
      <c r="I26" s="11">
        <f>'RD T1'!E25</f>
        <v>38.034211525388002</v>
      </c>
      <c r="J26" s="11">
        <f t="shared" si="5"/>
        <v>41.450901204551073</v>
      </c>
      <c r="L26" s="10" t="str">
        <f>name!D22</f>
        <v>62 Leisure, travel and related personal service occupations</v>
      </c>
      <c r="M26" s="11">
        <v>18.143895807079808</v>
      </c>
      <c r="N26" s="11">
        <v>20.595246524032294</v>
      </c>
      <c r="O26" s="11">
        <v>19.176630284405594</v>
      </c>
      <c r="P26" s="11">
        <v>19.779620167113276</v>
      </c>
      <c r="Q26" s="11">
        <v>21.552141512387593</v>
      </c>
      <c r="R26" s="11"/>
      <c r="S26" s="11">
        <f t="shared" si="3"/>
        <v>2.375511227981999</v>
      </c>
      <c r="T26" s="11">
        <f>'RD T1'!T25</f>
        <v>8.751871564632772</v>
      </c>
      <c r="U26" s="11">
        <f t="shared" si="6"/>
        <v>11.127382792614771</v>
      </c>
      <c r="W26" s="10" t="str">
        <f>name!D22</f>
        <v>62 Leisure, travel and related personal service occupations</v>
      </c>
      <c r="X26" s="11">
        <v>47.638523129821984</v>
      </c>
      <c r="Y26" s="11">
        <v>51.934200853579803</v>
      </c>
      <c r="Z26" s="11">
        <v>53.264497822137429</v>
      </c>
      <c r="AA26" s="11">
        <v>54.524438989409234</v>
      </c>
      <c r="AB26" s="11">
        <v>54.305676273318596</v>
      </c>
      <c r="AC26" s="11"/>
      <c r="AD26" s="11">
        <f t="shared" si="4"/>
        <v>1.0411784511811675</v>
      </c>
      <c r="AE26" s="11">
        <f>'RD T1'!T54</f>
        <v>29.282339960755234</v>
      </c>
      <c r="AF26" s="11">
        <f t="shared" si="7"/>
        <v>30.323518411936401</v>
      </c>
    </row>
    <row r="27" spans="1:32" x14ac:dyDescent="0.3">
      <c r="A27" s="10" t="str">
        <f>name!D23</f>
        <v>63 Community and civil enforcement occupations</v>
      </c>
      <c r="B27" s="11">
        <v>3.1420191309526011</v>
      </c>
      <c r="C27" s="11">
        <v>2.6277196166134713</v>
      </c>
      <c r="D27" s="11">
        <v>3.4150609686279489</v>
      </c>
      <c r="E27" s="11">
        <v>2.7629223970092531</v>
      </c>
      <c r="F27" s="11">
        <v>3.0103764029579554</v>
      </c>
      <c r="G27" s="11"/>
      <c r="H27" s="11">
        <f t="shared" si="2"/>
        <v>-0.40468456566999356</v>
      </c>
      <c r="I27" s="11">
        <f>'RD T1'!E26</f>
        <v>1.4156468457782043</v>
      </c>
      <c r="J27" s="11">
        <f t="shared" si="5"/>
        <v>1.0109622801082108</v>
      </c>
      <c r="L27" s="10" t="str">
        <f>name!D23</f>
        <v>63 Community and civil enforcement occupations</v>
      </c>
      <c r="M27" s="11">
        <v>2.3631710668340999</v>
      </c>
      <c r="N27" s="11">
        <v>1.7043154812023664</v>
      </c>
      <c r="O27" s="11">
        <v>2.5797467639813974</v>
      </c>
      <c r="P27" s="11">
        <v>1.6552121526362158</v>
      </c>
      <c r="Q27" s="11">
        <v>1.8746580030195468</v>
      </c>
      <c r="R27" s="11"/>
      <c r="S27" s="11">
        <f t="shared" si="3"/>
        <v>-0.70508876096185058</v>
      </c>
      <c r="T27" s="11">
        <f>'RD T1'!T26</f>
        <v>0.72505723590738724</v>
      </c>
      <c r="U27" s="11">
        <f t="shared" si="6"/>
        <v>1.9968474945536663E-2</v>
      </c>
      <c r="W27" s="10" t="str">
        <f>name!D23</f>
        <v>63 Community and civil enforcement occupations</v>
      </c>
      <c r="X27" s="11">
        <v>0.77884806411849927</v>
      </c>
      <c r="Y27" s="11">
        <v>0.92340413541110411</v>
      </c>
      <c r="Z27" s="11">
        <v>0.83531420464655437</v>
      </c>
      <c r="AA27" s="11">
        <v>1.1077102443730404</v>
      </c>
      <c r="AB27" s="11">
        <v>1.1357183999384097</v>
      </c>
      <c r="AC27" s="11"/>
      <c r="AD27" s="11">
        <f t="shared" si="4"/>
        <v>0.30040419529185536</v>
      </c>
      <c r="AE27" s="11">
        <f>'RD T1'!T55</f>
        <v>0.69058960987081719</v>
      </c>
      <c r="AF27" s="11">
        <f t="shared" si="7"/>
        <v>0.99099380516267255</v>
      </c>
    </row>
    <row r="28" spans="1:32" x14ac:dyDescent="0.3">
      <c r="A28" s="10" t="str">
        <f>name!D24</f>
        <v>71 Sales occupations</v>
      </c>
      <c r="B28" s="11">
        <v>221.41596432763646</v>
      </c>
      <c r="C28" s="11">
        <v>197.09489473335719</v>
      </c>
      <c r="D28" s="11">
        <v>194.6954129401295</v>
      </c>
      <c r="E28" s="11">
        <v>181.54863951453635</v>
      </c>
      <c r="F28" s="11">
        <v>172.17020547805873</v>
      </c>
      <c r="G28" s="11"/>
      <c r="H28" s="11">
        <f t="shared" si="2"/>
        <v>-22.525207462070767</v>
      </c>
      <c r="I28" s="11">
        <f>'RD T1'!E27</f>
        <v>82.140711133378659</v>
      </c>
      <c r="J28" s="11">
        <f t="shared" si="5"/>
        <v>59.615503671307891</v>
      </c>
      <c r="L28" s="10" t="str">
        <f>name!D24</f>
        <v>71 Sales occupations</v>
      </c>
      <c r="M28" s="11">
        <v>89.878297416237203</v>
      </c>
      <c r="N28" s="11">
        <v>82.179341097915568</v>
      </c>
      <c r="O28" s="11">
        <v>82.009454331550131</v>
      </c>
      <c r="P28" s="11">
        <v>78.392618679585794</v>
      </c>
      <c r="Q28" s="11">
        <v>76.992011819175545</v>
      </c>
      <c r="R28" s="11"/>
      <c r="S28" s="11">
        <f t="shared" si="3"/>
        <v>-5.0174425123745863</v>
      </c>
      <c r="T28" s="11">
        <f>'RD T1'!T27</f>
        <v>26.338243855509774</v>
      </c>
      <c r="U28" s="11">
        <f t="shared" si="6"/>
        <v>21.320801343135187</v>
      </c>
      <c r="W28" s="10" t="str">
        <f>name!D24</f>
        <v>71 Sales occupations</v>
      </c>
      <c r="X28" s="11">
        <v>131.53766691139955</v>
      </c>
      <c r="Y28" s="11">
        <v>114.91555363544036</v>
      </c>
      <c r="Z28" s="11">
        <v>112.68595860857951</v>
      </c>
      <c r="AA28" s="11">
        <v>103.15602083495078</v>
      </c>
      <c r="AB28" s="11">
        <v>95.178193658883259</v>
      </c>
      <c r="AC28" s="11"/>
      <c r="AD28" s="11">
        <f t="shared" si="4"/>
        <v>-17.507764949696252</v>
      </c>
      <c r="AE28" s="11">
        <f>'RD T1'!T56</f>
        <v>55.802467277868864</v>
      </c>
      <c r="AF28" s="11">
        <f t="shared" si="7"/>
        <v>38.294702328172612</v>
      </c>
    </row>
    <row r="29" spans="1:32" x14ac:dyDescent="0.3">
      <c r="A29" s="10" t="str">
        <f>name!D25</f>
        <v>72 Customer service occupations</v>
      </c>
      <c r="B29" s="11">
        <v>44.973783490930849</v>
      </c>
      <c r="C29" s="11">
        <v>49.133406789743383</v>
      </c>
      <c r="D29" s="11">
        <v>49.860654752101922</v>
      </c>
      <c r="E29" s="11">
        <v>63.89806431232028</v>
      </c>
      <c r="F29" s="11">
        <v>73.642352461597412</v>
      </c>
      <c r="G29" s="11"/>
      <c r="H29" s="11">
        <f t="shared" si="2"/>
        <v>23.781697709495489</v>
      </c>
      <c r="I29" s="11">
        <f>'RD T1'!E28</f>
        <v>30.64189584414682</v>
      </c>
      <c r="J29" s="11">
        <f t="shared" si="5"/>
        <v>54.423593553642306</v>
      </c>
      <c r="L29" s="10" t="str">
        <f>name!D25</f>
        <v>72 Customer service occupations</v>
      </c>
      <c r="M29" s="11">
        <v>15.569716600312685</v>
      </c>
      <c r="N29" s="11">
        <v>14.313488126381211</v>
      </c>
      <c r="O29" s="11">
        <v>17.060222414159423</v>
      </c>
      <c r="P29" s="11">
        <v>23.494242157225635</v>
      </c>
      <c r="Q29" s="11">
        <v>27.642047859582874</v>
      </c>
      <c r="R29" s="11"/>
      <c r="S29" s="11">
        <f t="shared" si="3"/>
        <v>10.581825445423451</v>
      </c>
      <c r="T29" s="11">
        <f>'RD T1'!T28</f>
        <v>8.2374526194242073</v>
      </c>
      <c r="U29" s="11">
        <f t="shared" si="6"/>
        <v>18.819278064847659</v>
      </c>
      <c r="W29" s="10" t="str">
        <f>name!D25</f>
        <v>72 Customer service occupations</v>
      </c>
      <c r="X29" s="11">
        <v>29.404066890618147</v>
      </c>
      <c r="Y29" s="11">
        <v>34.819918663362174</v>
      </c>
      <c r="Z29" s="11">
        <v>32.80043233794234</v>
      </c>
      <c r="AA29" s="11">
        <v>40.403822155094566</v>
      </c>
      <c r="AB29" s="11">
        <v>46.000304602014516</v>
      </c>
      <c r="AC29" s="11"/>
      <c r="AD29" s="11">
        <f t="shared" si="4"/>
        <v>13.199872264072177</v>
      </c>
      <c r="AE29" s="11">
        <f>'RD T1'!T57</f>
        <v>22.404443224722609</v>
      </c>
      <c r="AF29" s="11">
        <f t="shared" si="7"/>
        <v>35.604315488794782</v>
      </c>
    </row>
    <row r="30" spans="1:32" x14ac:dyDescent="0.3">
      <c r="A30" s="10" t="str">
        <f>name!D26</f>
        <v>81 Process, plant and machine operatives</v>
      </c>
      <c r="B30" s="11">
        <v>77.455594000314903</v>
      </c>
      <c r="C30" s="11">
        <v>74.82179228140339</v>
      </c>
      <c r="D30" s="11">
        <v>66.18299631124377</v>
      </c>
      <c r="E30" s="11">
        <v>82.419825636016697</v>
      </c>
      <c r="F30" s="11">
        <v>82.126425762765933</v>
      </c>
      <c r="G30" s="11"/>
      <c r="H30" s="11">
        <f t="shared" si="2"/>
        <v>15.943429451522164</v>
      </c>
      <c r="I30" s="11">
        <f>'RD T1'!E29</f>
        <v>31.778806155591674</v>
      </c>
      <c r="J30" s="11">
        <f t="shared" si="5"/>
        <v>47.722235607113838</v>
      </c>
      <c r="L30" s="10" t="str">
        <f>name!D26</f>
        <v>81 Process, plant and machine operatives</v>
      </c>
      <c r="M30" s="11">
        <v>60.463372382239214</v>
      </c>
      <c r="N30" s="11">
        <v>56.923987756355125</v>
      </c>
      <c r="O30" s="11">
        <v>51.196052439998553</v>
      </c>
      <c r="P30" s="11">
        <v>63.047887629973665</v>
      </c>
      <c r="Q30" s="11">
        <v>63.930909866862393</v>
      </c>
      <c r="R30" s="11"/>
      <c r="S30" s="11">
        <f t="shared" si="3"/>
        <v>12.73485742686384</v>
      </c>
      <c r="T30" s="11">
        <f>'RD T1'!T29</f>
        <v>22.56106780773921</v>
      </c>
      <c r="U30" s="11">
        <f t="shared" si="6"/>
        <v>35.295925234603047</v>
      </c>
      <c r="W30" s="10" t="str">
        <f>name!D26</f>
        <v>81 Process, plant and machine operatives</v>
      </c>
      <c r="X30" s="11">
        <v>16.992221618075515</v>
      </c>
      <c r="Y30" s="11">
        <v>17.897804525048603</v>
      </c>
      <c r="Z30" s="11">
        <v>14.986943871245163</v>
      </c>
      <c r="AA30" s="11">
        <v>19.371938006042956</v>
      </c>
      <c r="AB30" s="11">
        <v>18.195515895903597</v>
      </c>
      <c r="AC30" s="11"/>
      <c r="AD30" s="11">
        <f t="shared" si="4"/>
        <v>3.2085720246584337</v>
      </c>
      <c r="AE30" s="11">
        <f>'RD T1'!T58</f>
        <v>9.2177383478524586</v>
      </c>
      <c r="AF30" s="11">
        <f t="shared" si="7"/>
        <v>12.426310372510892</v>
      </c>
    </row>
    <row r="31" spans="1:32" x14ac:dyDescent="0.3">
      <c r="A31" s="10" t="str">
        <f>name!D27</f>
        <v>82 Transport and mobile machine drivers and operatives</v>
      </c>
      <c r="B31" s="11">
        <v>113.32252578308525</v>
      </c>
      <c r="C31" s="11">
        <v>130.3088609434655</v>
      </c>
      <c r="D31" s="11">
        <v>115.43320624120283</v>
      </c>
      <c r="E31" s="11">
        <v>128.63440898249067</v>
      </c>
      <c r="F31" s="11">
        <v>132.52018950559264</v>
      </c>
      <c r="G31" s="11"/>
      <c r="H31" s="11">
        <f t="shared" si="2"/>
        <v>17.086983264389815</v>
      </c>
      <c r="I31" s="11">
        <f>'RD T1'!E30</f>
        <v>67.907583755700827</v>
      </c>
      <c r="J31" s="11">
        <f t="shared" si="5"/>
        <v>84.994567020090642</v>
      </c>
      <c r="L31" s="10" t="str">
        <f>name!D27</f>
        <v>82 Transport and mobile machine drivers and operatives</v>
      </c>
      <c r="M31" s="11">
        <v>103.90689337242313</v>
      </c>
      <c r="N31" s="11">
        <v>120.46570974185121</v>
      </c>
      <c r="O31" s="11">
        <v>105.82943203655184</v>
      </c>
      <c r="P31" s="11">
        <v>114.29244355058685</v>
      </c>
      <c r="Q31" s="11">
        <v>115.94516761857339</v>
      </c>
      <c r="R31" s="11"/>
      <c r="S31" s="11">
        <f t="shared" si="3"/>
        <v>10.115735582021557</v>
      </c>
      <c r="T31" s="11">
        <f>'RD T1'!T30</f>
        <v>58.831357609208204</v>
      </c>
      <c r="U31" s="11">
        <f t="shared" si="6"/>
        <v>68.947093191229754</v>
      </c>
      <c r="W31" s="10" t="str">
        <f>name!D27</f>
        <v>82 Transport and mobile machine drivers and operatives</v>
      </c>
      <c r="X31" s="11">
        <v>9.4156324106620737</v>
      </c>
      <c r="Y31" s="11">
        <v>9.8431512016142282</v>
      </c>
      <c r="Z31" s="11">
        <v>9.6037742046511489</v>
      </c>
      <c r="AA31" s="11">
        <v>14.341965431903821</v>
      </c>
      <c r="AB31" s="11">
        <v>16.575021887019471</v>
      </c>
      <c r="AC31" s="11"/>
      <c r="AD31" s="11">
        <f t="shared" si="4"/>
        <v>6.9712476823683218</v>
      </c>
      <c r="AE31" s="11">
        <f>'RD T1'!T59</f>
        <v>9.0762261464926155</v>
      </c>
      <c r="AF31" s="11">
        <f t="shared" si="7"/>
        <v>16.047473828860937</v>
      </c>
    </row>
    <row r="32" spans="1:32" x14ac:dyDescent="0.3">
      <c r="A32" s="10" t="str">
        <f>name!D28</f>
        <v>91 Elementary trades and related occupations</v>
      </c>
      <c r="B32" s="11">
        <v>54.899703673527384</v>
      </c>
      <c r="C32" s="11">
        <v>48.60471321310925</v>
      </c>
      <c r="D32" s="11">
        <v>43.984729492292018</v>
      </c>
      <c r="E32" s="11">
        <v>38.173991641678363</v>
      </c>
      <c r="F32" s="11">
        <v>38.185707998463144</v>
      </c>
      <c r="G32" s="11"/>
      <c r="H32" s="11">
        <f t="shared" si="2"/>
        <v>-5.7990214938288744</v>
      </c>
      <c r="I32" s="11">
        <f>'RD T1'!E31</f>
        <v>14.857969602341996</v>
      </c>
      <c r="J32" s="11">
        <f t="shared" si="5"/>
        <v>9.0589481085131212</v>
      </c>
      <c r="L32" s="10" t="str">
        <f>name!D28</f>
        <v>91 Elementary trades and related occupations</v>
      </c>
      <c r="M32" s="11">
        <v>43.366012982997844</v>
      </c>
      <c r="N32" s="11">
        <v>37.98537457238416</v>
      </c>
      <c r="O32" s="11">
        <v>35.678478286759258</v>
      </c>
      <c r="P32" s="11">
        <v>30.954258073266175</v>
      </c>
      <c r="Q32" s="11">
        <v>31.193144452302363</v>
      </c>
      <c r="R32" s="11"/>
      <c r="S32" s="11">
        <f t="shared" si="3"/>
        <v>-4.4853338344568954</v>
      </c>
      <c r="T32" s="11">
        <f>'RD T1'!T31</f>
        <v>10.338840988959156</v>
      </c>
      <c r="U32" s="11">
        <f t="shared" si="6"/>
        <v>5.8535071545022603</v>
      </c>
      <c r="W32" s="10" t="str">
        <f>name!D28</f>
        <v>91 Elementary trades and related occupations</v>
      </c>
      <c r="X32" s="11">
        <v>11.533690690529463</v>
      </c>
      <c r="Y32" s="11">
        <v>10.619338640725088</v>
      </c>
      <c r="Z32" s="11">
        <v>8.3062512055327016</v>
      </c>
      <c r="AA32" s="11">
        <v>7.2197335684121278</v>
      </c>
      <c r="AB32" s="11">
        <v>6.9925635461606941</v>
      </c>
      <c r="AC32" s="11"/>
      <c r="AD32" s="11">
        <f t="shared" si="4"/>
        <v>-1.3136876593720075</v>
      </c>
      <c r="AE32" s="11">
        <f>'RD T1'!T60</f>
        <v>4.5191286133828337</v>
      </c>
      <c r="AF32" s="11">
        <f t="shared" si="7"/>
        <v>3.2054409540108262</v>
      </c>
    </row>
    <row r="33" spans="1:32" x14ac:dyDescent="0.3">
      <c r="A33" s="10" t="str">
        <f>name!D29</f>
        <v>92 Elementary administration and service occupations</v>
      </c>
      <c r="B33" s="11">
        <v>330.05657658426492</v>
      </c>
      <c r="C33" s="11">
        <v>333.66231799159374</v>
      </c>
      <c r="D33" s="11">
        <v>307.76629076952287</v>
      </c>
      <c r="E33" s="11">
        <v>315.72982900298251</v>
      </c>
      <c r="F33" s="11">
        <v>301.7472581531934</v>
      </c>
      <c r="G33" s="11"/>
      <c r="H33" s="11">
        <f t="shared" ref="H33" si="8">F33-D33</f>
        <v>-6.0190326163294685</v>
      </c>
      <c r="I33" s="11">
        <f>'RD T1'!E32</f>
        <v>153.22446673872383</v>
      </c>
      <c r="J33" s="11">
        <f>SUM(H33:I33)</f>
        <v>147.20543412239437</v>
      </c>
      <c r="L33" s="10" t="str">
        <f>name!D29</f>
        <v>92 Elementary administration and service occupations</v>
      </c>
      <c r="M33" s="11">
        <v>158.03699064490723</v>
      </c>
      <c r="N33" s="11">
        <v>151.08869008064434</v>
      </c>
      <c r="O33" s="11">
        <v>145.12374286389741</v>
      </c>
      <c r="P33" s="11">
        <v>155.74520448137116</v>
      </c>
      <c r="Q33" s="11">
        <v>149.6037252925739</v>
      </c>
      <c r="R33" s="11"/>
      <c r="S33" s="11">
        <f t="shared" ref="S33" si="9">Q33-O33</f>
        <v>4.4799824286764931</v>
      </c>
      <c r="T33" s="11">
        <f>'RD T1'!T32</f>
        <v>61.029145413833049</v>
      </c>
      <c r="U33" s="11">
        <f>SUM(S33:T33)</f>
        <v>65.509127842509542</v>
      </c>
      <c r="W33" s="10" t="str">
        <f>name!D29</f>
        <v>92 Elementary administration and service occupations</v>
      </c>
      <c r="X33" s="11">
        <v>172.01958593935893</v>
      </c>
      <c r="Y33" s="11">
        <v>182.57362791094906</v>
      </c>
      <c r="Z33" s="11">
        <v>162.64254790562455</v>
      </c>
      <c r="AA33" s="11">
        <v>159.98462452161166</v>
      </c>
      <c r="AB33" s="11">
        <v>152.14353286061984</v>
      </c>
      <c r="AC33" s="11"/>
      <c r="AD33" s="11">
        <f t="shared" ref="AD33" si="10">AB33-Z33</f>
        <v>-10.499015045004711</v>
      </c>
      <c r="AE33" s="11">
        <f>'RD T1'!T61</f>
        <v>92.195321324890756</v>
      </c>
      <c r="AF33" s="11">
        <f>SUM(AD33:AE33)</f>
        <v>81.696306279886045</v>
      </c>
    </row>
    <row r="34" spans="1:32" x14ac:dyDescent="0.3">
      <c r="H34" s="11"/>
      <c r="L34" s="10"/>
      <c r="S34" s="11"/>
      <c r="W34" s="10"/>
      <c r="AD34" s="11"/>
    </row>
    <row r="35" spans="1:32" x14ac:dyDescent="0.3">
      <c r="A35" s="231" t="str">
        <f>name!D3</f>
        <v>All occupations</v>
      </c>
      <c r="B35" s="33">
        <f>SUM(B8:B33)</f>
        <v>3055.7789999995125</v>
      </c>
      <c r="C35" s="33">
        <f t="shared" ref="C35:F35" si="11">SUM(C8:C33)</f>
        <v>3207.1029999983175</v>
      </c>
      <c r="D35" s="33">
        <f t="shared" si="11"/>
        <v>3174.1919999984007</v>
      </c>
      <c r="E35" s="33">
        <f t="shared" si="11"/>
        <v>3280.252000000004</v>
      </c>
      <c r="F35" s="33">
        <f t="shared" si="11"/>
        <v>3444.2829999979003</v>
      </c>
      <c r="G35" s="11"/>
      <c r="H35" s="33">
        <f>F35-D35</f>
        <v>270.09099999949967</v>
      </c>
      <c r="I35" s="33">
        <f>SUM(I8:I33)</f>
        <v>1606.4940483911944</v>
      </c>
      <c r="J35" s="33">
        <f>SUM(J8:J33)</f>
        <v>1876.5850483906956</v>
      </c>
      <c r="L35" s="231" t="str">
        <f>name!D3</f>
        <v>All occupations</v>
      </c>
      <c r="M35" s="33">
        <f>SUM(M8:M33)</f>
        <v>1628.7059999994681</v>
      </c>
      <c r="N35" s="33">
        <f t="shared" ref="N35:P35" si="12">SUM(N8:N33)</f>
        <v>1659.0149999996897</v>
      </c>
      <c r="O35" s="33">
        <f t="shared" si="12"/>
        <v>1634.9039999990937</v>
      </c>
      <c r="P35" s="33">
        <f t="shared" si="12"/>
        <v>1692.0769999982244</v>
      </c>
      <c r="Q35" s="33">
        <f>SUM(Q8:Q33)</f>
        <v>1768.6709999982768</v>
      </c>
      <c r="R35" s="11"/>
      <c r="S35" s="33">
        <f>Q35-O35</f>
        <v>133.7669999991831</v>
      </c>
      <c r="T35" s="33">
        <f>SUM(T8:T33)</f>
        <v>690.81054547331917</v>
      </c>
      <c r="U35" s="33">
        <f>SUM(U8:U33)</f>
        <v>824.57754547250238</v>
      </c>
      <c r="W35" s="231" t="str">
        <f>name!D3</f>
        <v>All occupations</v>
      </c>
      <c r="X35" s="33">
        <f>SUM(X8:X33)</f>
        <v>1427.0730000000447</v>
      </c>
      <c r="Y35" s="33">
        <f t="shared" ref="Y35:AB35" si="13">SUM(Y8:Y33)</f>
        <v>1548.0879999986271</v>
      </c>
      <c r="Z35" s="33">
        <f t="shared" si="13"/>
        <v>1539.2879999993067</v>
      </c>
      <c r="AA35" s="33">
        <f t="shared" si="13"/>
        <v>1588.1750000017805</v>
      </c>
      <c r="AB35" s="33">
        <f t="shared" si="13"/>
        <v>1675.6119999996242</v>
      </c>
      <c r="AC35" s="11"/>
      <c r="AD35" s="33">
        <f>AB35-Z35</f>
        <v>136.32400000031748</v>
      </c>
      <c r="AE35" s="33">
        <f>SUM(AE8:AE33)</f>
        <v>915.68350291787567</v>
      </c>
      <c r="AF35" s="33">
        <f>SUM(AF8:AF33)</f>
        <v>1052.0075029181933</v>
      </c>
    </row>
    <row r="36" spans="1:32" x14ac:dyDescent="0.3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3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45" x14ac:dyDescent="0.4">
      <c r="A38" s="18" t="str">
        <f>CONCATENATE(A$1," (Continued)")</f>
        <v>Occupation Table 2  Employment Change by Occupation (SOC 2020) and Replacement Demand, 2015-2035, East (Continued)</v>
      </c>
      <c r="L38" s="18" t="str">
        <f>CONCATENATE(L$1," (Continued)")</f>
        <v>Occupation Table 2.1  Males: Employment Change by Occupation (SOC 2020) and Replacement Demand, 2015-2035, East (Continued)</v>
      </c>
      <c r="W38" s="18" t="str">
        <f>CONCATENATE(W$1," (Continued)")</f>
        <v>Occupation Table 2.2  Females: Employment Change by Occupation (SOC 2020) and Replacement Demand, 2015-2035, East (Continued)</v>
      </c>
    </row>
    <row r="40" spans="1:32" x14ac:dyDescent="0.3">
      <c r="F40" s="15" t="s">
        <v>34</v>
      </c>
      <c r="J40" s="15" t="s">
        <v>34</v>
      </c>
      <c r="Q40" s="15" t="s">
        <v>34</v>
      </c>
      <c r="U40" s="15" t="s">
        <v>34</v>
      </c>
      <c r="AB40" s="15" t="s">
        <v>34</v>
      </c>
      <c r="AF40" s="15" t="s">
        <v>34</v>
      </c>
    </row>
    <row r="41" spans="1:32" x14ac:dyDescent="0.3">
      <c r="A41" s="35"/>
      <c r="B41" s="35"/>
      <c r="C41" s="35"/>
      <c r="D41" s="35"/>
      <c r="E41" s="35"/>
      <c r="F41" s="35"/>
      <c r="H41" s="98" t="str">
        <f>$H$4</f>
        <v>2020-2035</v>
      </c>
      <c r="I41" s="35"/>
      <c r="J41" s="35"/>
      <c r="L41" s="35"/>
      <c r="M41" s="35"/>
      <c r="N41" s="35"/>
      <c r="O41" s="35"/>
      <c r="P41" s="35"/>
      <c r="Q41" s="35"/>
      <c r="S41" s="98" t="str">
        <f>$H$4</f>
        <v>2020-2035</v>
      </c>
      <c r="T41" s="35"/>
      <c r="U41" s="35"/>
      <c r="W41" s="35"/>
      <c r="X41" s="35"/>
      <c r="Y41" s="35"/>
      <c r="Z41" s="35"/>
      <c r="AA41" s="35"/>
      <c r="AB41" s="35"/>
      <c r="AD41" s="98" t="str">
        <f>$H$4</f>
        <v>2020-2035</v>
      </c>
      <c r="AE41" s="35"/>
      <c r="AF41" s="35"/>
    </row>
    <row r="42" spans="1:32" x14ac:dyDescent="0.3">
      <c r="H42" s="15" t="str">
        <f t="shared" ref="H42:J43" si="14">H5</f>
        <v>Net</v>
      </c>
      <c r="I42" s="15" t="str">
        <f t="shared" si="14"/>
        <v>Replacement</v>
      </c>
      <c r="J42" s="15" t="str">
        <f t="shared" si="14"/>
        <v>Total</v>
      </c>
      <c r="S42" s="15" t="str">
        <f t="shared" ref="S42:U42" si="15">S5</f>
        <v>Net</v>
      </c>
      <c r="T42" s="15" t="str">
        <f t="shared" si="15"/>
        <v>Replacement</v>
      </c>
      <c r="U42" s="15" t="str">
        <f t="shared" si="15"/>
        <v>Total</v>
      </c>
      <c r="AD42" s="15" t="str">
        <f t="shared" ref="AD42:AF42" si="16">AD5</f>
        <v>Net</v>
      </c>
      <c r="AE42" s="15" t="str">
        <f t="shared" si="16"/>
        <v>Replacement</v>
      </c>
      <c r="AF42" s="15" t="str">
        <f t="shared" si="16"/>
        <v>Total</v>
      </c>
    </row>
    <row r="43" spans="1:32" x14ac:dyDescent="0.3">
      <c r="A43" s="40" t="s">
        <v>463</v>
      </c>
      <c r="B43" s="34">
        <f>B$6</f>
        <v>2015</v>
      </c>
      <c r="C43" s="34">
        <f>C$6</f>
        <v>2019</v>
      </c>
      <c r="D43" s="34">
        <f>D$6</f>
        <v>2020</v>
      </c>
      <c r="E43" s="34">
        <f>E$6</f>
        <v>2025</v>
      </c>
      <c r="F43" s="34">
        <f>F$6</f>
        <v>2035</v>
      </c>
      <c r="H43" s="62" t="str">
        <f t="shared" si="14"/>
        <v>Change</v>
      </c>
      <c r="I43" s="62" t="str">
        <f t="shared" si="14"/>
        <v>Demand</v>
      </c>
      <c r="J43" s="62" t="str">
        <f t="shared" si="14"/>
        <v>Requirement</v>
      </c>
      <c r="L43" s="40" t="s">
        <v>463</v>
      </c>
      <c r="M43" s="34">
        <f>M$6</f>
        <v>2015</v>
      </c>
      <c r="N43" s="34">
        <f>N$6</f>
        <v>2019</v>
      </c>
      <c r="O43" s="34">
        <f>O$6</f>
        <v>2020</v>
      </c>
      <c r="P43" s="34">
        <f>P$6</f>
        <v>2025</v>
      </c>
      <c r="Q43" s="34">
        <f>Q$6</f>
        <v>2035</v>
      </c>
      <c r="S43" s="62" t="str">
        <f t="shared" ref="S43:U43" si="17">S6</f>
        <v>Change</v>
      </c>
      <c r="T43" s="62" t="str">
        <f t="shared" si="17"/>
        <v>Demand</v>
      </c>
      <c r="U43" s="62" t="str">
        <f t="shared" si="17"/>
        <v>Requirement</v>
      </c>
      <c r="W43" s="40" t="s">
        <v>463</v>
      </c>
      <c r="X43" s="34">
        <f>X$6</f>
        <v>2015</v>
      </c>
      <c r="Y43" s="34">
        <f>Y$6</f>
        <v>2019</v>
      </c>
      <c r="Z43" s="34">
        <f>Z$6</f>
        <v>2020</v>
      </c>
      <c r="AA43" s="34">
        <f>AA$6</f>
        <v>2025</v>
      </c>
      <c r="AB43" s="34">
        <f>AB$6</f>
        <v>2035</v>
      </c>
      <c r="AD43" s="62" t="str">
        <f t="shared" ref="AD43:AF43" si="18">AD6</f>
        <v>Change</v>
      </c>
      <c r="AE43" s="62" t="str">
        <f t="shared" si="18"/>
        <v>Demand</v>
      </c>
      <c r="AF43" s="62" t="str">
        <f t="shared" si="18"/>
        <v>Requirement</v>
      </c>
    </row>
    <row r="44" spans="1:32" x14ac:dyDescent="0.3">
      <c r="G44" s="11"/>
      <c r="R44" s="11"/>
      <c r="AC44" s="11"/>
    </row>
    <row r="45" spans="1:32" x14ac:dyDescent="0.3">
      <c r="A45" t="str">
        <f t="shared" ref="A45:A70" si="19">A8</f>
        <v>11 Corporate managers and directors</v>
      </c>
      <c r="B45" s="172">
        <f t="shared" ref="B45:F54" si="20">B8/B$35*100</f>
        <v>7.0381974285917552</v>
      </c>
      <c r="C45" s="172">
        <f t="shared" si="20"/>
        <v>7.8367264657829061</v>
      </c>
      <c r="D45" s="172">
        <f t="shared" si="20"/>
        <v>8.0782849467812277</v>
      </c>
      <c r="E45" s="172">
        <f t="shared" si="20"/>
        <v>7.372200330572527</v>
      </c>
      <c r="F45" s="172">
        <f t="shared" si="20"/>
        <v>7.7918260096824978</v>
      </c>
      <c r="H45" s="67">
        <f t="shared" ref="H45:H70" si="21">IF(D8&gt;0,(H8/D8)*100,0)</f>
        <v>4.6612008920044872</v>
      </c>
      <c r="I45" s="68">
        <f t="shared" ref="I45:I70" si="22">IF(D8&gt;0,I8/D8*100,0)</f>
        <v>50.31250378296518</v>
      </c>
      <c r="J45" s="68">
        <f t="shared" ref="J45:J70" si="23">IF(D8&gt;0,(J8/D8)*100,0)</f>
        <v>54.973704674969667</v>
      </c>
      <c r="L45" t="str">
        <f t="shared" ref="L45:L70" si="24">L8</f>
        <v>11 Corporate managers and directors</v>
      </c>
      <c r="M45" s="172">
        <f t="shared" ref="M45:Q45" si="25">M8/M$35*100</f>
        <v>9.343211562952165</v>
      </c>
      <c r="N45" s="172">
        <f t="shared" si="25"/>
        <v>10.243696965394452</v>
      </c>
      <c r="O45" s="172">
        <f t="shared" si="25"/>
        <v>10.580740067860358</v>
      </c>
      <c r="P45" s="172">
        <f t="shared" si="25"/>
        <v>9.3602959656915097</v>
      </c>
      <c r="Q45" s="172">
        <f t="shared" si="25"/>
        <v>9.5033277455510543</v>
      </c>
      <c r="S45" s="67">
        <f t="shared" ref="S45:S70" si="26">IF(O8&gt;0,(S8/O8)*100,0)</f>
        <v>-2.8339696247260995</v>
      </c>
      <c r="T45" s="68">
        <f t="shared" ref="T45:T70" si="27">IF(O8&gt;0,T8/O8*100,0)</f>
        <v>44.08150961267043</v>
      </c>
      <c r="U45" s="68">
        <f t="shared" ref="U45:U70" si="28">IF(O8&gt;0,(U8/O8)*100,0)</f>
        <v>41.247539987944329</v>
      </c>
      <c r="W45" t="str">
        <f t="shared" ref="W45:W70" si="29">W8</f>
        <v>11 Corporate managers and directors</v>
      </c>
      <c r="X45" s="172">
        <f t="shared" ref="X45:AB45" si="30">X8/X$35*100</f>
        <v>4.4075048496442948</v>
      </c>
      <c r="Y45" s="172">
        <f t="shared" si="30"/>
        <v>5.2572864317436228</v>
      </c>
      <c r="Z45" s="172">
        <f t="shared" si="30"/>
        <v>5.4203847440431598</v>
      </c>
      <c r="AA45" s="172">
        <f t="shared" si="30"/>
        <v>5.2540389831278915</v>
      </c>
      <c r="AB45" s="172">
        <f t="shared" si="30"/>
        <v>5.9852720540661464</v>
      </c>
      <c r="AD45" s="67">
        <f t="shared" ref="AD45:AD70" si="31">IF(Z8&gt;0,(AD8/Z8)*100,0)</f>
        <v>20.200800385261132</v>
      </c>
      <c r="AE45" s="68">
        <f t="shared" ref="AE45:AE70" si="32">IF(Z8&gt;0,AE8/Z8*100,0)</f>
        <v>63.231109655249497</v>
      </c>
      <c r="AF45" s="68">
        <f t="shared" ref="AF45:AF70" si="33">IF(Z8&gt;0,(AF8/Z8)*100,0)</f>
        <v>83.43191004051063</v>
      </c>
    </row>
    <row r="46" spans="1:32" x14ac:dyDescent="0.3">
      <c r="A46" t="str">
        <f t="shared" si="19"/>
        <v>12 Other managers and proprietors</v>
      </c>
      <c r="B46" s="172">
        <f t="shared" si="20"/>
        <v>3.3453810969772793</v>
      </c>
      <c r="C46" s="172">
        <f t="shared" si="20"/>
        <v>3.3523797696018995</v>
      </c>
      <c r="D46" s="172">
        <f t="shared" si="20"/>
        <v>3.4167854241342548</v>
      </c>
      <c r="E46" s="172">
        <f t="shared" si="20"/>
        <v>4.1266625176848537</v>
      </c>
      <c r="F46" s="172">
        <f t="shared" si="20"/>
        <v>4.5780366385549192</v>
      </c>
      <c r="H46" s="67">
        <f t="shared" si="21"/>
        <v>45.38754183085242</v>
      </c>
      <c r="I46" s="68">
        <f t="shared" si="22"/>
        <v>73.199071350587943</v>
      </c>
      <c r="J46" s="68">
        <f t="shared" si="23"/>
        <v>118.58661318144037</v>
      </c>
      <c r="L46" t="str">
        <f t="shared" si="24"/>
        <v>12 Other managers and proprietors</v>
      </c>
      <c r="M46" s="172">
        <f t="shared" ref="M46:Q46" si="34">M9/M$35*100</f>
        <v>3.7700513406682554</v>
      </c>
      <c r="N46" s="172">
        <f t="shared" si="34"/>
        <v>3.6715194620429847</v>
      </c>
      <c r="O46" s="172">
        <f t="shared" si="34"/>
        <v>3.7818965483153533</v>
      </c>
      <c r="P46" s="172">
        <f t="shared" si="34"/>
        <v>4.7001135973109243</v>
      </c>
      <c r="Q46" s="172">
        <f t="shared" si="34"/>
        <v>5.1645153081491797</v>
      </c>
      <c r="S46" s="67">
        <f t="shared" si="26"/>
        <v>47.732049492061023</v>
      </c>
      <c r="T46" s="68">
        <f t="shared" si="27"/>
        <v>67.057495097096393</v>
      </c>
      <c r="U46" s="68">
        <f t="shared" si="28"/>
        <v>114.78954458915742</v>
      </c>
      <c r="W46" t="str">
        <f t="shared" si="29"/>
        <v>12 Other managers and proprietors</v>
      </c>
      <c r="X46" s="172">
        <f t="shared" ref="X46:AB46" si="35">X9/X$35*100</f>
        <v>2.8607086422950618</v>
      </c>
      <c r="Y46" s="172">
        <f t="shared" si="35"/>
        <v>3.0103723792884955</v>
      </c>
      <c r="Z46" s="172">
        <f t="shared" si="35"/>
        <v>3.0289946810321875</v>
      </c>
      <c r="AA46" s="172">
        <f t="shared" si="35"/>
        <v>3.5156949716283208</v>
      </c>
      <c r="AB46" s="172">
        <f t="shared" si="35"/>
        <v>3.958986515358641</v>
      </c>
      <c r="AD46" s="67">
        <f t="shared" si="31"/>
        <v>42.278438450175329</v>
      </c>
      <c r="AE46" s="68">
        <f t="shared" si="32"/>
        <v>81.343551237922256</v>
      </c>
      <c r="AF46" s="68">
        <f t="shared" si="33"/>
        <v>123.62198968809759</v>
      </c>
    </row>
    <row r="47" spans="1:32" x14ac:dyDescent="0.3">
      <c r="A47" t="str">
        <f t="shared" si="19"/>
        <v>21 Science, research, engineering and technology professionals</v>
      </c>
      <c r="B47" s="172">
        <f t="shared" si="20"/>
        <v>6.1004035143801794</v>
      </c>
      <c r="C47" s="172">
        <f t="shared" si="20"/>
        <v>6.5953977519030333</v>
      </c>
      <c r="D47" s="172">
        <f t="shared" si="20"/>
        <v>6.9082164639997865</v>
      </c>
      <c r="E47" s="172">
        <f t="shared" si="20"/>
        <v>7.0821960267779041</v>
      </c>
      <c r="F47" s="172">
        <f t="shared" si="20"/>
        <v>7.5211933797696142</v>
      </c>
      <c r="H47" s="67">
        <f t="shared" si="21"/>
        <v>18.137140084494355</v>
      </c>
      <c r="I47" s="68">
        <f t="shared" si="22"/>
        <v>40.675816364920131</v>
      </c>
      <c r="J47" s="68">
        <f t="shared" si="23"/>
        <v>58.812956449414486</v>
      </c>
      <c r="L47" t="str">
        <f t="shared" si="24"/>
        <v>21 Science, research, engineering and technology professionals</v>
      </c>
      <c r="M47" s="172">
        <f t="shared" ref="M47:Q47" si="36">M10/M$35*100</f>
        <v>9.2111022014092629</v>
      </c>
      <c r="N47" s="172">
        <f t="shared" si="36"/>
        <v>10.36345748652581</v>
      </c>
      <c r="O47" s="172">
        <f t="shared" si="36"/>
        <v>10.442612607402404</v>
      </c>
      <c r="P47" s="172">
        <f t="shared" si="36"/>
        <v>10.355344901823944</v>
      </c>
      <c r="Q47" s="172">
        <f t="shared" si="36"/>
        <v>10.742321378693999</v>
      </c>
      <c r="S47" s="67">
        <f t="shared" si="26"/>
        <v>11.286830190830347</v>
      </c>
      <c r="T47" s="68">
        <f t="shared" si="27"/>
        <v>34.349150324591449</v>
      </c>
      <c r="U47" s="68">
        <f t="shared" si="28"/>
        <v>45.635980515421792</v>
      </c>
      <c r="W47" t="str">
        <f t="shared" si="29"/>
        <v>21 Science, research, engineering and technology professionals</v>
      </c>
      <c r="X47" s="172">
        <f t="shared" ref="X47:AB47" si="37">X10/X$35*100</f>
        <v>2.5501901645693672</v>
      </c>
      <c r="Y47" s="172">
        <f t="shared" si="37"/>
        <v>2.5573407288916861</v>
      </c>
      <c r="Z47" s="172">
        <f t="shared" si="37"/>
        <v>3.1542741267419507</v>
      </c>
      <c r="AA47" s="172">
        <f t="shared" si="37"/>
        <v>3.5949103504328597</v>
      </c>
      <c r="AB47" s="172">
        <f t="shared" si="37"/>
        <v>4.121172564102654</v>
      </c>
      <c r="AD47" s="67">
        <f t="shared" si="31"/>
        <v>42.224673199456248</v>
      </c>
      <c r="AE47" s="68">
        <f t="shared" si="32"/>
        <v>62.922076770551485</v>
      </c>
      <c r="AF47" s="68">
        <f t="shared" si="33"/>
        <v>105.14674997000775</v>
      </c>
    </row>
    <row r="48" spans="1:32" x14ac:dyDescent="0.3">
      <c r="A48" t="str">
        <f t="shared" si="19"/>
        <v>22 Health professionals</v>
      </c>
      <c r="B48" s="172">
        <f t="shared" si="20"/>
        <v>3.314732659778171</v>
      </c>
      <c r="C48" s="172">
        <f t="shared" si="20"/>
        <v>3.8231025726893693</v>
      </c>
      <c r="D48" s="172">
        <f t="shared" si="20"/>
        <v>3.7583018109926383</v>
      </c>
      <c r="E48" s="172">
        <f t="shared" si="20"/>
        <v>3.9443334177048115</v>
      </c>
      <c r="F48" s="172">
        <f t="shared" si="20"/>
        <v>4.2180423453448075</v>
      </c>
      <c r="H48" s="67">
        <f t="shared" si="21"/>
        <v>21.78250905453196</v>
      </c>
      <c r="I48" s="68">
        <f t="shared" si="22"/>
        <v>59.937307960492646</v>
      </c>
      <c r="J48" s="68">
        <f t="shared" si="23"/>
        <v>81.719817015024603</v>
      </c>
      <c r="L48" t="str">
        <f t="shared" si="24"/>
        <v>22 Health professionals</v>
      </c>
      <c r="M48" s="172">
        <f t="shared" ref="M48:Q48" si="38">M11/M$35*100</f>
        <v>1.7667692408103328</v>
      </c>
      <c r="N48" s="172">
        <f t="shared" si="38"/>
        <v>1.9536237289785245</v>
      </c>
      <c r="O48" s="172">
        <f t="shared" si="38"/>
        <v>1.9484418446366996</v>
      </c>
      <c r="P48" s="172">
        <f t="shared" si="38"/>
        <v>2.0499741247235326</v>
      </c>
      <c r="Q48" s="172">
        <f t="shared" si="38"/>
        <v>2.2137672710150715</v>
      </c>
      <c r="S48" s="67">
        <f t="shared" si="26"/>
        <v>22.913422905392945</v>
      </c>
      <c r="T48" s="68">
        <f t="shared" si="27"/>
        <v>42.944957219142438</v>
      </c>
      <c r="U48" s="68">
        <f t="shared" si="28"/>
        <v>65.858380124535373</v>
      </c>
      <c r="W48" t="str">
        <f t="shared" si="29"/>
        <v>22 Health professionals</v>
      </c>
      <c r="X48" s="172">
        <f t="shared" ref="X48:AB48" si="39">X11/X$35*100</f>
        <v>5.0814098432526951</v>
      </c>
      <c r="Y48" s="172">
        <f t="shared" si="39"/>
        <v>5.8265374187066117</v>
      </c>
      <c r="Z48" s="172">
        <f t="shared" si="39"/>
        <v>5.6805849044974615</v>
      </c>
      <c r="AA48" s="172">
        <f t="shared" si="39"/>
        <v>5.9626259795338932</v>
      </c>
      <c r="AB48" s="172">
        <f t="shared" si="39"/>
        <v>6.3336294860356332</v>
      </c>
      <c r="AD48" s="67">
        <f t="shared" si="31"/>
        <v>21.370509934634889</v>
      </c>
      <c r="AE48" s="68">
        <f t="shared" si="32"/>
        <v>66.127729578466017</v>
      </c>
      <c r="AF48" s="68">
        <f t="shared" si="33"/>
        <v>87.498239513100913</v>
      </c>
    </row>
    <row r="49" spans="1:32" x14ac:dyDescent="0.3">
      <c r="A49" t="str">
        <f t="shared" si="19"/>
        <v>23 Teaching and other educational professionals</v>
      </c>
      <c r="B49" s="172">
        <f t="shared" si="20"/>
        <v>4.2071575599189286</v>
      </c>
      <c r="C49" s="172">
        <f t="shared" si="20"/>
        <v>4.5273187152612371</v>
      </c>
      <c r="D49" s="172">
        <f t="shared" si="20"/>
        <v>4.7564418570213016</v>
      </c>
      <c r="E49" s="172">
        <f t="shared" si="20"/>
        <v>4.762182428140755</v>
      </c>
      <c r="F49" s="172">
        <f t="shared" si="20"/>
        <v>4.9298566865823847</v>
      </c>
      <c r="H49" s="67">
        <f t="shared" si="21"/>
        <v>12.465090585834329</v>
      </c>
      <c r="I49" s="68">
        <f t="shared" si="22"/>
        <v>53.846270607675841</v>
      </c>
      <c r="J49" s="68">
        <f t="shared" si="23"/>
        <v>66.311361193510166</v>
      </c>
      <c r="L49" t="str">
        <f t="shared" si="24"/>
        <v>23 Teaching and other educational professionals</v>
      </c>
      <c r="M49" s="172">
        <f t="shared" ref="M49:Q49" si="40">M12/M$35*100</f>
        <v>2.8057503753241462</v>
      </c>
      <c r="N49" s="172">
        <f t="shared" si="40"/>
        <v>2.73498461274208</v>
      </c>
      <c r="O49" s="172">
        <f t="shared" si="40"/>
        <v>2.9735180320835433</v>
      </c>
      <c r="P49" s="172">
        <f t="shared" si="40"/>
        <v>3.0736244229175549</v>
      </c>
      <c r="Q49" s="172">
        <f t="shared" si="40"/>
        <v>3.167321129345452</v>
      </c>
      <c r="S49" s="67">
        <f t="shared" si="26"/>
        <v>15.232854470837518</v>
      </c>
      <c r="T49" s="68">
        <f t="shared" si="27"/>
        <v>45.841364591003604</v>
      </c>
      <c r="U49" s="68">
        <f t="shared" si="28"/>
        <v>61.074219061841127</v>
      </c>
      <c r="W49" t="str">
        <f t="shared" si="29"/>
        <v>23 Teaching and other educational professionals</v>
      </c>
      <c r="X49" s="172">
        <f t="shared" ref="X49:AB49" si="41">X12/X$35*100</f>
        <v>5.806571388077554</v>
      </c>
      <c r="Y49" s="172">
        <f t="shared" si="41"/>
        <v>6.4480810757297125</v>
      </c>
      <c r="Z49" s="172">
        <f t="shared" si="41"/>
        <v>6.6501156159837231</v>
      </c>
      <c r="AA49" s="172">
        <f t="shared" si="41"/>
        <v>6.5612097165679621</v>
      </c>
      <c r="AB49" s="172">
        <f t="shared" si="41"/>
        <v>6.7902787452400153</v>
      </c>
      <c r="AD49" s="67">
        <f t="shared" si="31"/>
        <v>11.150644457573948</v>
      </c>
      <c r="AE49" s="68">
        <f t="shared" si="32"/>
        <v>57.64790187315775</v>
      </c>
      <c r="AF49" s="68">
        <f t="shared" si="33"/>
        <v>68.798546330731696</v>
      </c>
    </row>
    <row r="50" spans="1:32" x14ac:dyDescent="0.3">
      <c r="A50" t="str">
        <f t="shared" si="19"/>
        <v>24 Business, media and public service professionals</v>
      </c>
      <c r="B50" s="172">
        <f t="shared" si="20"/>
        <v>5.5644438450007483</v>
      </c>
      <c r="C50" s="172">
        <f t="shared" si="20"/>
        <v>6.2362968842964897</v>
      </c>
      <c r="D50" s="172">
        <f t="shared" si="20"/>
        <v>6.7816571550845524</v>
      </c>
      <c r="E50" s="172">
        <f t="shared" si="20"/>
        <v>7.3975142306964905</v>
      </c>
      <c r="F50" s="172">
        <f t="shared" si="20"/>
        <v>8.0479610741463059</v>
      </c>
      <c r="H50" s="67">
        <f t="shared" si="21"/>
        <v>28.770289528089098</v>
      </c>
      <c r="I50" s="68">
        <f t="shared" si="22"/>
        <v>55.655719011329452</v>
      </c>
      <c r="J50" s="68">
        <f t="shared" si="23"/>
        <v>84.426008539418547</v>
      </c>
      <c r="L50" t="str">
        <f t="shared" si="24"/>
        <v>24 Business, media and public service professionals</v>
      </c>
      <c r="M50" s="172">
        <f t="shared" ref="M50:Q50" si="42">M13/M$35*100</f>
        <v>6.310588131931488</v>
      </c>
      <c r="N50" s="172">
        <f t="shared" si="42"/>
        <v>6.9952348515804346</v>
      </c>
      <c r="O50" s="172">
        <f t="shared" si="42"/>
        <v>7.4939407179397417</v>
      </c>
      <c r="P50" s="172">
        <f t="shared" si="42"/>
        <v>8.2397588902565424</v>
      </c>
      <c r="Q50" s="172">
        <f t="shared" si="42"/>
        <v>8.728281028677884</v>
      </c>
      <c r="S50" s="67">
        <f t="shared" si="26"/>
        <v>26.00078950624663</v>
      </c>
      <c r="T50" s="68">
        <f t="shared" si="27"/>
        <v>49.135055022836418</v>
      </c>
      <c r="U50" s="68">
        <f t="shared" si="28"/>
        <v>75.135844529083045</v>
      </c>
      <c r="W50" t="str">
        <f t="shared" si="29"/>
        <v>24 Business, media and public service professionals</v>
      </c>
      <c r="X50" s="172">
        <f t="shared" ref="X50:AB50" si="43">X13/X$35*100</f>
        <v>4.7128758614502502</v>
      </c>
      <c r="Y50" s="172">
        <f t="shared" si="43"/>
        <v>5.4229778276314491</v>
      </c>
      <c r="Z50" s="172">
        <f t="shared" si="43"/>
        <v>6.0251286522663534</v>
      </c>
      <c r="AA50" s="172">
        <f t="shared" si="43"/>
        <v>6.5001680208573482</v>
      </c>
      <c r="AB50" s="172">
        <f t="shared" si="43"/>
        <v>7.3298579725330617</v>
      </c>
      <c r="AD50" s="67">
        <f t="shared" si="31"/>
        <v>32.428912645006079</v>
      </c>
      <c r="AE50" s="68">
        <f t="shared" si="32"/>
        <v>64.269783578145294</v>
      </c>
      <c r="AF50" s="68">
        <f t="shared" si="33"/>
        <v>96.698696223151373</v>
      </c>
    </row>
    <row r="51" spans="1:32" x14ac:dyDescent="0.3">
      <c r="A51" t="str">
        <f t="shared" si="19"/>
        <v>31 Science, engineering and technology associate professionals</v>
      </c>
      <c r="B51" s="172">
        <f t="shared" si="20"/>
        <v>1.6989523067888836</v>
      </c>
      <c r="C51" s="172">
        <f t="shared" si="20"/>
        <v>1.8978759795130351</v>
      </c>
      <c r="D51" s="172">
        <f t="shared" si="20"/>
        <v>2.100124689798371</v>
      </c>
      <c r="E51" s="172">
        <f t="shared" si="20"/>
        <v>1.8071770736833244</v>
      </c>
      <c r="F51" s="172">
        <f t="shared" si="20"/>
        <v>1.8690999839831499</v>
      </c>
      <c r="H51" s="67">
        <f t="shared" si="21"/>
        <v>-3.4275857890290267</v>
      </c>
      <c r="I51" s="68">
        <f t="shared" si="22"/>
        <v>38.188215099505122</v>
      </c>
      <c r="J51" s="68">
        <f t="shared" si="23"/>
        <v>34.760629310476098</v>
      </c>
      <c r="L51" t="str">
        <f t="shared" si="24"/>
        <v>31 Science, engineering and technology associate professionals</v>
      </c>
      <c r="M51" s="172">
        <f t="shared" ref="M51:Q51" si="44">M14/M$35*100</f>
        <v>2.2897424782785234</v>
      </c>
      <c r="N51" s="172">
        <f t="shared" si="44"/>
        <v>2.7345109828822456</v>
      </c>
      <c r="O51" s="172">
        <f t="shared" si="44"/>
        <v>2.9189487825875089</v>
      </c>
      <c r="P51" s="172">
        <f t="shared" si="44"/>
        <v>2.3482250274941645</v>
      </c>
      <c r="Q51" s="172">
        <f t="shared" si="44"/>
        <v>2.3242813178515123</v>
      </c>
      <c r="S51" s="67">
        <f t="shared" si="26"/>
        <v>-13.85759049374451</v>
      </c>
      <c r="T51" s="68">
        <f t="shared" si="27"/>
        <v>31.540648840921197</v>
      </c>
      <c r="U51" s="68">
        <f t="shared" si="28"/>
        <v>17.683058347176686</v>
      </c>
      <c r="W51" t="str">
        <f t="shared" si="29"/>
        <v>31 Science, engineering and technology associate professionals</v>
      </c>
      <c r="X51" s="172">
        <f t="shared" ref="X51:AB51" si="45">X14/X$35*100</f>
        <v>1.0246886236795643</v>
      </c>
      <c r="Y51" s="172">
        <f t="shared" si="45"/>
        <v>1.0012925681594582</v>
      </c>
      <c r="Z51" s="172">
        <f t="shared" si="45"/>
        <v>1.2304376756741886</v>
      </c>
      <c r="AA51" s="172">
        <f t="shared" si="45"/>
        <v>1.2307325392092248</v>
      </c>
      <c r="AB51" s="172">
        <f t="shared" si="45"/>
        <v>1.3886390986745707</v>
      </c>
      <c r="AD51" s="67">
        <f t="shared" si="31"/>
        <v>22.852315586931674</v>
      </c>
      <c r="AE51" s="68">
        <f t="shared" si="32"/>
        <v>54.937717195776045</v>
      </c>
      <c r="AF51" s="68">
        <f t="shared" si="33"/>
        <v>77.790032782707712</v>
      </c>
    </row>
    <row r="52" spans="1:32" x14ac:dyDescent="0.3">
      <c r="A52" t="str">
        <f t="shared" si="19"/>
        <v>32 Health and social care associate professionals</v>
      </c>
      <c r="B52" s="172">
        <f t="shared" si="20"/>
        <v>1.4265623868389972</v>
      </c>
      <c r="C52" s="172">
        <f t="shared" si="20"/>
        <v>1.6146780244337366</v>
      </c>
      <c r="D52" s="172">
        <f t="shared" si="20"/>
        <v>1.647463338523929</v>
      </c>
      <c r="E52" s="172">
        <f t="shared" si="20"/>
        <v>1.6237735733254031</v>
      </c>
      <c r="F52" s="172">
        <f t="shared" si="20"/>
        <v>1.744024159785134</v>
      </c>
      <c r="H52" s="67">
        <f t="shared" si="21"/>
        <v>14.868876493014833</v>
      </c>
      <c r="I52" s="68">
        <f t="shared" si="22"/>
        <v>62.339812662727411</v>
      </c>
      <c r="J52" s="68">
        <f t="shared" si="23"/>
        <v>77.208689155742249</v>
      </c>
      <c r="L52" t="str">
        <f t="shared" si="24"/>
        <v>32 Health and social care associate professionals</v>
      </c>
      <c r="M52" s="172">
        <f t="shared" ref="M52:Q52" si="46">M15/M$35*100</f>
        <v>0.55050818579299543</v>
      </c>
      <c r="N52" s="172">
        <f t="shared" si="46"/>
        <v>0.53553782512675951</v>
      </c>
      <c r="O52" s="172">
        <f t="shared" si="46"/>
        <v>0.56468199328037183</v>
      </c>
      <c r="P52" s="172">
        <f t="shared" si="46"/>
        <v>0.49054194508069182</v>
      </c>
      <c r="Q52" s="172">
        <f t="shared" si="46"/>
        <v>0.50691523320303844</v>
      </c>
      <c r="S52" s="67">
        <f t="shared" si="26"/>
        <v>-2.8850251958921138</v>
      </c>
      <c r="T52" s="68">
        <f t="shared" si="27"/>
        <v>43.924323494625881</v>
      </c>
      <c r="U52" s="68">
        <f t="shared" si="28"/>
        <v>41.039298298733776</v>
      </c>
      <c r="W52" t="str">
        <f t="shared" si="29"/>
        <v>32 Health and social care associate professionals</v>
      </c>
      <c r="X52" s="172">
        <f t="shared" ref="X52:AB52" si="47">X15/X$35*100</f>
        <v>2.4263954252107705</v>
      </c>
      <c r="Y52" s="172">
        <f t="shared" si="47"/>
        <v>2.771143146412927</v>
      </c>
      <c r="Z52" s="172">
        <f t="shared" si="47"/>
        <v>2.7975038458649149</v>
      </c>
      <c r="AA52" s="172">
        <f t="shared" si="47"/>
        <v>2.8311437773780193</v>
      </c>
      <c r="AB52" s="172">
        <f t="shared" si="47"/>
        <v>3.0498388008149453</v>
      </c>
      <c r="AD52" s="67">
        <f t="shared" si="31"/>
        <v>18.675145074903746</v>
      </c>
      <c r="AE52" s="68">
        <f t="shared" si="32"/>
        <v>66.287919341973918</v>
      </c>
      <c r="AF52" s="68">
        <f t="shared" si="33"/>
        <v>84.963064416877671</v>
      </c>
    </row>
    <row r="53" spans="1:32" x14ac:dyDescent="0.3">
      <c r="A53" t="str">
        <f t="shared" si="19"/>
        <v>33 Protective service occupations</v>
      </c>
      <c r="B53" s="172">
        <f t="shared" si="20"/>
        <v>0.98231382806921974</v>
      </c>
      <c r="C53" s="172">
        <f t="shared" si="20"/>
        <v>0.91783949430552514</v>
      </c>
      <c r="D53" s="172">
        <f t="shared" si="20"/>
        <v>1.0038595407310433</v>
      </c>
      <c r="E53" s="172">
        <f t="shared" si="20"/>
        <v>1.1952451860498572</v>
      </c>
      <c r="F53" s="172">
        <f t="shared" si="20"/>
        <v>1.3672511166910277</v>
      </c>
      <c r="H53" s="67">
        <f t="shared" si="21"/>
        <v>47.788612295444551</v>
      </c>
      <c r="I53" s="68">
        <f t="shared" si="22"/>
        <v>46.065601241488103</v>
      </c>
      <c r="J53" s="68">
        <f t="shared" si="23"/>
        <v>93.854213536932647</v>
      </c>
      <c r="L53" t="str">
        <f t="shared" si="24"/>
        <v>33 Protective service occupations</v>
      </c>
      <c r="M53" s="172">
        <f t="shared" ref="M53:Q53" si="48">M16/M$35*100</f>
        <v>1.3688428655015359</v>
      </c>
      <c r="N53" s="172">
        <f t="shared" si="48"/>
        <v>1.2740986939130834</v>
      </c>
      <c r="O53" s="172">
        <f t="shared" si="48"/>
        <v>1.3705977900462201</v>
      </c>
      <c r="P53" s="172">
        <f t="shared" si="48"/>
        <v>1.5517575089593394</v>
      </c>
      <c r="Q53" s="172">
        <f t="shared" si="48"/>
        <v>1.6512432748125461</v>
      </c>
      <c r="S53" s="67">
        <f t="shared" si="26"/>
        <v>30.333432521364795</v>
      </c>
      <c r="T53" s="68">
        <f t="shared" si="27"/>
        <v>33.586160226806925</v>
      </c>
      <c r="U53" s="68">
        <f t="shared" si="28"/>
        <v>63.919592748171716</v>
      </c>
      <c r="W53" t="str">
        <f t="shared" si="29"/>
        <v>33 Protective service occupations</v>
      </c>
      <c r="X53" s="172">
        <f t="shared" ref="X53:AB53" si="49">X16/X$35*100</f>
        <v>0.54117160027847655</v>
      </c>
      <c r="Y53" s="172">
        <f t="shared" si="49"/>
        <v>0.53605282840711022</v>
      </c>
      <c r="Z53" s="172">
        <f t="shared" si="49"/>
        <v>0.61434060031292748</v>
      </c>
      <c r="AA53" s="172">
        <f t="shared" si="49"/>
        <v>0.8154090207592587</v>
      </c>
      <c r="AB53" s="172">
        <f t="shared" si="49"/>
        <v>1.06748679517951</v>
      </c>
      <c r="AD53" s="67">
        <f t="shared" si="31"/>
        <v>89.150229235828263</v>
      </c>
      <c r="AE53" s="68">
        <f t="shared" si="32"/>
        <v>75.636758087768769</v>
      </c>
      <c r="AF53" s="68">
        <f t="shared" si="33"/>
        <v>164.78698732359703</v>
      </c>
    </row>
    <row r="54" spans="1:32" x14ac:dyDescent="0.3">
      <c r="A54" t="str">
        <f t="shared" si="19"/>
        <v>34 Culture, media and sports occupations</v>
      </c>
      <c r="B54" s="172">
        <f t="shared" si="20"/>
        <v>2.0036395751923184</v>
      </c>
      <c r="C54" s="172">
        <f t="shared" si="20"/>
        <v>1.8834950892022109</v>
      </c>
      <c r="D54" s="172">
        <f t="shared" si="20"/>
        <v>2.2924274441859205</v>
      </c>
      <c r="E54" s="172">
        <f t="shared" si="20"/>
        <v>2.1082206028721524</v>
      </c>
      <c r="F54" s="172">
        <f t="shared" si="20"/>
        <v>2.2130602038359952</v>
      </c>
      <c r="H54" s="67">
        <f t="shared" si="21"/>
        <v>4.7522270492203926</v>
      </c>
      <c r="I54" s="68">
        <f t="shared" si="22"/>
        <v>45.497281091418529</v>
      </c>
      <c r="J54" s="68">
        <f t="shared" si="23"/>
        <v>50.249508140638923</v>
      </c>
      <c r="L54" t="str">
        <f t="shared" si="24"/>
        <v>34 Culture, media and sports occupations</v>
      </c>
      <c r="M54" s="172">
        <f t="shared" ref="M54:Q54" si="50">M17/M$35*100</f>
        <v>2.0623228850222457</v>
      </c>
      <c r="N54" s="172">
        <f t="shared" si="50"/>
        <v>2.1131496450762586</v>
      </c>
      <c r="O54" s="172">
        <f t="shared" si="50"/>
        <v>2.3764640179219252</v>
      </c>
      <c r="P54" s="172">
        <f t="shared" si="50"/>
        <v>2.2267748157377754</v>
      </c>
      <c r="Q54" s="172">
        <f t="shared" si="50"/>
        <v>2.3640838218484261</v>
      </c>
      <c r="S54" s="67">
        <f t="shared" si="26"/>
        <v>7.6183741298960186</v>
      </c>
      <c r="T54" s="68">
        <f t="shared" si="27"/>
        <v>40.858449915604027</v>
      </c>
      <c r="U54" s="68">
        <f t="shared" si="28"/>
        <v>48.476824045500052</v>
      </c>
      <c r="W54" t="str">
        <f t="shared" si="29"/>
        <v>34 Culture, media and sports occupations</v>
      </c>
      <c r="X54" s="172">
        <f t="shared" ref="X54:AB54" si="51">X17/X$35*100</f>
        <v>1.9366648242021371</v>
      </c>
      <c r="Y54" s="172">
        <f t="shared" si="51"/>
        <v>1.6373848209140853</v>
      </c>
      <c r="Z54" s="172">
        <f t="shared" si="51"/>
        <v>2.2031707680166295</v>
      </c>
      <c r="AA54" s="172">
        <f t="shared" si="51"/>
        <v>1.9819103053025608</v>
      </c>
      <c r="AB54" s="172">
        <f t="shared" si="51"/>
        <v>2.0536491388081464</v>
      </c>
      <c r="AD54" s="67">
        <f t="shared" si="31"/>
        <v>1.4685992168024762</v>
      </c>
      <c r="AE54" s="68">
        <f t="shared" si="32"/>
        <v>50.811800803786191</v>
      </c>
      <c r="AF54" s="68">
        <f t="shared" si="33"/>
        <v>52.280400020588672</v>
      </c>
    </row>
    <row r="55" spans="1:32" x14ac:dyDescent="0.3">
      <c r="A55" t="str">
        <f t="shared" si="19"/>
        <v>35 Business and public service associate professionals</v>
      </c>
      <c r="B55" s="172">
        <f t="shared" ref="B55:F64" si="52">B18/B$35*100</f>
        <v>5.9637339090257884</v>
      </c>
      <c r="C55" s="172">
        <f t="shared" si="52"/>
        <v>6.1022221233250624</v>
      </c>
      <c r="D55" s="172">
        <f t="shared" si="52"/>
        <v>6.3417855543712109</v>
      </c>
      <c r="E55" s="172">
        <f t="shared" si="52"/>
        <v>5.9645171978218237</v>
      </c>
      <c r="F55" s="172">
        <f t="shared" si="52"/>
        <v>6.0172465329355749</v>
      </c>
      <c r="H55" s="67">
        <f t="shared" si="21"/>
        <v>2.9560538419657671</v>
      </c>
      <c r="I55" s="68">
        <f t="shared" si="22"/>
        <v>45.861361713524111</v>
      </c>
      <c r="J55" s="68">
        <f t="shared" si="23"/>
        <v>48.81741555548988</v>
      </c>
      <c r="L55" t="str">
        <f t="shared" si="24"/>
        <v>35 Business and public service associate professionals</v>
      </c>
      <c r="M55" s="172">
        <f t="shared" ref="M55:Q55" si="53">M18/M$35*100</f>
        <v>6.1029810061243532</v>
      </c>
      <c r="N55" s="172">
        <f t="shared" si="53"/>
        <v>6.2160392272010858</v>
      </c>
      <c r="O55" s="172">
        <f t="shared" si="53"/>
        <v>6.5383284936720587</v>
      </c>
      <c r="P55" s="172">
        <f t="shared" si="53"/>
        <v>5.9460583319265359</v>
      </c>
      <c r="Q55" s="172">
        <f t="shared" si="53"/>
        <v>5.7274300645749383</v>
      </c>
      <c r="S55" s="67">
        <f t="shared" si="26"/>
        <v>-5.2350239476364084</v>
      </c>
      <c r="T55" s="68">
        <f t="shared" si="27"/>
        <v>36.630878638998041</v>
      </c>
      <c r="U55" s="68">
        <f t="shared" si="28"/>
        <v>31.395854691361631</v>
      </c>
      <c r="W55" t="str">
        <f t="shared" si="29"/>
        <v>35 Business and public service associate professionals</v>
      </c>
      <c r="X55" s="172">
        <f t="shared" ref="X55:AB55" si="54">X18/X$35*100</f>
        <v>5.804812408495021</v>
      </c>
      <c r="Y55" s="172">
        <f t="shared" si="54"/>
        <v>5.9802495464515211</v>
      </c>
      <c r="Z55" s="172">
        <f t="shared" si="54"/>
        <v>6.1330339512698995</v>
      </c>
      <c r="AA55" s="172">
        <f t="shared" si="54"/>
        <v>5.984183684466835</v>
      </c>
      <c r="AB55" s="172">
        <f t="shared" si="54"/>
        <v>6.3231586312683286</v>
      </c>
      <c r="AD55" s="67">
        <f t="shared" si="31"/>
        <v>12.230858906373221</v>
      </c>
      <c r="AE55" s="68">
        <f t="shared" si="32"/>
        <v>56.313091432806672</v>
      </c>
      <c r="AF55" s="68">
        <f t="shared" si="33"/>
        <v>68.543950339179887</v>
      </c>
    </row>
    <row r="56" spans="1:32" x14ac:dyDescent="0.3">
      <c r="A56" t="str">
        <f t="shared" si="19"/>
        <v>41 Administrative occupations</v>
      </c>
      <c r="B56" s="172">
        <f t="shared" si="52"/>
        <v>8.4957093853776566</v>
      </c>
      <c r="C56" s="172">
        <f t="shared" si="52"/>
        <v>7.9920650091798606</v>
      </c>
      <c r="D56" s="172">
        <f t="shared" si="52"/>
        <v>8.2463738144880097</v>
      </c>
      <c r="E56" s="172">
        <f t="shared" si="52"/>
        <v>7.3612782833133634</v>
      </c>
      <c r="F56" s="172">
        <f t="shared" si="52"/>
        <v>6.6095446482459144</v>
      </c>
      <c r="H56" s="67">
        <f t="shared" si="21"/>
        <v>-13.029061171692552</v>
      </c>
      <c r="I56" s="68">
        <f t="shared" si="22"/>
        <v>45.922728081520042</v>
      </c>
      <c r="J56" s="68">
        <f t="shared" si="23"/>
        <v>32.893666909827488</v>
      </c>
      <c r="L56" t="str">
        <f t="shared" si="24"/>
        <v>41 Administrative occupations</v>
      </c>
      <c r="M56" s="172">
        <f t="shared" ref="M56:Q56" si="55">M19/M$35*100</f>
        <v>4.1746197697757541</v>
      </c>
      <c r="N56" s="172">
        <f t="shared" si="55"/>
        <v>3.7855176003925433</v>
      </c>
      <c r="O56" s="172">
        <f t="shared" si="55"/>
        <v>4.5681105298457005</v>
      </c>
      <c r="P56" s="172">
        <f t="shared" si="55"/>
        <v>4.213181505841896</v>
      </c>
      <c r="Q56" s="172">
        <f t="shared" si="55"/>
        <v>4.374668702591487</v>
      </c>
      <c r="S56" s="67">
        <f t="shared" si="26"/>
        <v>3.6008608618102498</v>
      </c>
      <c r="T56" s="68">
        <f t="shared" si="27"/>
        <v>36.554280374121817</v>
      </c>
      <c r="U56" s="68">
        <f t="shared" si="28"/>
        <v>40.155141235932071</v>
      </c>
      <c r="W56" t="str">
        <f t="shared" si="29"/>
        <v>41 Administrative occupations</v>
      </c>
      <c r="X56" s="172">
        <f t="shared" ref="X56:AB56" si="56">X19/X$35*100</f>
        <v>13.427331372105684</v>
      </c>
      <c r="Y56" s="172">
        <f t="shared" si="56"/>
        <v>12.500029187827439</v>
      </c>
      <c r="Z56" s="172">
        <f t="shared" si="56"/>
        <v>12.153119892619097</v>
      </c>
      <c r="AA56" s="172">
        <f t="shared" si="56"/>
        <v>10.715330671067862</v>
      </c>
      <c r="AB56" s="172">
        <f t="shared" si="56"/>
        <v>8.9685396146662857</v>
      </c>
      <c r="AD56" s="67">
        <f t="shared" si="31"/>
        <v>-19.668194755241732</v>
      </c>
      <c r="AE56" s="68">
        <f t="shared" si="32"/>
        <v>49.662876452306399</v>
      </c>
      <c r="AF56" s="68">
        <f t="shared" si="33"/>
        <v>29.994681697064664</v>
      </c>
    </row>
    <row r="57" spans="1:32" x14ac:dyDescent="0.3">
      <c r="A57" t="str">
        <f t="shared" si="19"/>
        <v>42 Secretarial and related occupations</v>
      </c>
      <c r="B57" s="172">
        <f t="shared" si="52"/>
        <v>2.4753137731577555</v>
      </c>
      <c r="C57" s="172">
        <f t="shared" si="52"/>
        <v>2.2377637377931348</v>
      </c>
      <c r="D57" s="172">
        <f t="shared" si="52"/>
        <v>2.172355721728541</v>
      </c>
      <c r="E57" s="172">
        <f t="shared" si="52"/>
        <v>2.1815391747532695</v>
      </c>
      <c r="F57" s="172">
        <f t="shared" si="52"/>
        <v>1.5301698641463419</v>
      </c>
      <c r="H57" s="67">
        <f t="shared" si="21"/>
        <v>-23.568155964323477</v>
      </c>
      <c r="I57" s="68">
        <f t="shared" si="22"/>
        <v>50.184135697041896</v>
      </c>
      <c r="J57" s="68">
        <f t="shared" si="23"/>
        <v>26.615979732718426</v>
      </c>
      <c r="L57" t="str">
        <f t="shared" si="24"/>
        <v>42 Secretarial and related occupations</v>
      </c>
      <c r="M57" s="172">
        <f t="shared" ref="M57:Q57" si="57">M20/M$35*100</f>
        <v>0.26864474950473677</v>
      </c>
      <c r="N57" s="172">
        <f t="shared" si="57"/>
        <v>0.19847556713566464</v>
      </c>
      <c r="O57" s="172">
        <f t="shared" si="57"/>
        <v>0.19729208474602708</v>
      </c>
      <c r="P57" s="172">
        <f t="shared" si="57"/>
        <v>0.2464928107234349</v>
      </c>
      <c r="Q57" s="172">
        <f t="shared" si="57"/>
        <v>0.28389157792184988</v>
      </c>
      <c r="S57" s="67">
        <f t="shared" si="26"/>
        <v>55.667390531495585</v>
      </c>
      <c r="T57" s="68">
        <f t="shared" si="27"/>
        <v>44.10224935145235</v>
      </c>
      <c r="U57" s="68">
        <f t="shared" si="28"/>
        <v>99.769639882947942</v>
      </c>
      <c r="W57" t="str">
        <f t="shared" si="29"/>
        <v>42 Secretarial and related occupations</v>
      </c>
      <c r="X57" s="172">
        <f t="shared" ref="X57:AB57" si="58">X20/X$35*100</f>
        <v>4.9937659328135924</v>
      </c>
      <c r="Y57" s="172">
        <f t="shared" si="58"/>
        <v>4.4231754614455854</v>
      </c>
      <c r="Z57" s="172">
        <f t="shared" si="58"/>
        <v>4.2701044473451368</v>
      </c>
      <c r="AA57" s="172">
        <f t="shared" si="58"/>
        <v>4.243180647828602</v>
      </c>
      <c r="AB57" s="172">
        <f t="shared" si="58"/>
        <v>2.8456631064800706</v>
      </c>
      <c r="AD57" s="67">
        <f t="shared" si="31"/>
        <v>-27.456490244843128</v>
      </c>
      <c r="AE57" s="68">
        <f t="shared" si="32"/>
        <v>50.482592743325171</v>
      </c>
      <c r="AF57" s="68">
        <f t="shared" si="33"/>
        <v>23.026102498482039</v>
      </c>
    </row>
    <row r="58" spans="1:32" x14ac:dyDescent="0.3">
      <c r="A58" t="str">
        <f t="shared" si="19"/>
        <v>51 Skilled agricultural and related trades</v>
      </c>
      <c r="B58" s="172">
        <f t="shared" si="52"/>
        <v>1.2804350526237807</v>
      </c>
      <c r="C58" s="172">
        <f t="shared" si="52"/>
        <v>1.3065215254694789</v>
      </c>
      <c r="D58" s="172">
        <f t="shared" si="52"/>
        <v>0.87270900569498522</v>
      </c>
      <c r="E58" s="172">
        <f t="shared" si="52"/>
        <v>0.89681147461414745</v>
      </c>
      <c r="F58" s="172">
        <f t="shared" si="52"/>
        <v>0.99657456071749506</v>
      </c>
      <c r="H58" s="67">
        <f t="shared" si="21"/>
        <v>23.909890917190847</v>
      </c>
      <c r="I58" s="68">
        <f t="shared" si="22"/>
        <v>62.111644789266805</v>
      </c>
      <c r="J58" s="68">
        <f t="shared" si="23"/>
        <v>86.021535706457669</v>
      </c>
      <c r="L58" t="str">
        <f t="shared" si="24"/>
        <v>51 Skilled agricultural and related trades</v>
      </c>
      <c r="M58" s="172">
        <f t="shared" ref="M58:Q58" si="59">M21/M$35*100</f>
        <v>2.0427908206077632</v>
      </c>
      <c r="N58" s="172">
        <f t="shared" si="59"/>
        <v>2.0923742183950043</v>
      </c>
      <c r="O58" s="172">
        <f t="shared" si="59"/>
        <v>1.2846463559768782</v>
      </c>
      <c r="P58" s="172">
        <f t="shared" si="59"/>
        <v>1.2805612304311698</v>
      </c>
      <c r="Q58" s="172">
        <f t="shared" si="59"/>
        <v>1.3960152854946635</v>
      </c>
      <c r="S58" s="67">
        <f t="shared" si="26"/>
        <v>17.560488717948022</v>
      </c>
      <c r="T58" s="68">
        <f t="shared" si="27"/>
        <v>55.12316994935501</v>
      </c>
      <c r="U58" s="68">
        <f t="shared" si="28"/>
        <v>72.683658667303035</v>
      </c>
      <c r="W58" t="str">
        <f t="shared" si="29"/>
        <v>51 Skilled agricultural and related trades</v>
      </c>
      <c r="X58" s="172">
        <f t="shared" ref="X58:AB58" si="60">X21/X$35*100</f>
        <v>0.41036504677987878</v>
      </c>
      <c r="Y58" s="172">
        <f t="shared" si="60"/>
        <v>0.46435919015342991</v>
      </c>
      <c r="Z58" s="172">
        <f t="shared" si="60"/>
        <v>0.43518333036639112</v>
      </c>
      <c r="AA58" s="172">
        <f t="shared" si="60"/>
        <v>0.48795594196051262</v>
      </c>
      <c r="AB58" s="172">
        <f t="shared" si="60"/>
        <v>0.574949968549479</v>
      </c>
      <c r="AD58" s="67">
        <f t="shared" si="31"/>
        <v>43.817382861073746</v>
      </c>
      <c r="AE58" s="68">
        <f t="shared" si="32"/>
        <v>84.022842443774351</v>
      </c>
      <c r="AF58" s="68">
        <f t="shared" si="33"/>
        <v>127.84022530484809</v>
      </c>
    </row>
    <row r="59" spans="1:32" x14ac:dyDescent="0.3">
      <c r="A59" t="str">
        <f t="shared" si="19"/>
        <v>52 Skilled metal, electrical and electronic trades</v>
      </c>
      <c r="B59" s="172">
        <f t="shared" si="52"/>
        <v>3.8617127463807832</v>
      </c>
      <c r="C59" s="172">
        <f t="shared" si="52"/>
        <v>3.5573318572552584</v>
      </c>
      <c r="D59" s="172">
        <f t="shared" si="52"/>
        <v>3.1638098540354034</v>
      </c>
      <c r="E59" s="172">
        <f t="shared" si="52"/>
        <v>3.136592770863003</v>
      </c>
      <c r="F59" s="172">
        <f t="shared" si="52"/>
        <v>2.8944369186331569</v>
      </c>
      <c r="H59" s="67">
        <f t="shared" si="21"/>
        <v>-0.7296964244579035</v>
      </c>
      <c r="I59" s="68">
        <f t="shared" si="22"/>
        <v>38.756096259300215</v>
      </c>
      <c r="J59" s="68">
        <f t="shared" si="23"/>
        <v>38.026399834842309</v>
      </c>
      <c r="L59" t="str">
        <f t="shared" si="24"/>
        <v>52 Skilled metal, electrical and electronic trades</v>
      </c>
      <c r="M59" s="172">
        <f t="shared" ref="M59:Q59" si="61">M22/M$35*100</f>
        <v>7.1114028303669308</v>
      </c>
      <c r="N59" s="172">
        <f t="shared" si="61"/>
        <v>6.6692355084758921</v>
      </c>
      <c r="O59" s="172">
        <f t="shared" si="61"/>
        <v>5.9766304176029452</v>
      </c>
      <c r="P59" s="172">
        <f t="shared" si="61"/>
        <v>5.711668822464663</v>
      </c>
      <c r="Q59" s="172">
        <f t="shared" si="61"/>
        <v>5.2100614989334746</v>
      </c>
      <c r="S59" s="67">
        <f t="shared" si="26"/>
        <v>-5.6935824497198517</v>
      </c>
      <c r="T59" s="68">
        <f t="shared" si="27"/>
        <v>36.145428273783011</v>
      </c>
      <c r="U59" s="68">
        <f t="shared" si="28"/>
        <v>30.451845824063156</v>
      </c>
      <c r="W59" t="str">
        <f t="shared" si="29"/>
        <v>52 Skilled metal, electrical and electronic trades</v>
      </c>
      <c r="X59" s="172">
        <f t="shared" ref="X59:AB59" si="62">X22/X$35*100</f>
        <v>0.15286972438619967</v>
      </c>
      <c r="Y59" s="172">
        <f t="shared" si="62"/>
        <v>0.22244725383903782</v>
      </c>
      <c r="Z59" s="172">
        <f t="shared" si="62"/>
        <v>0.17626522907999856</v>
      </c>
      <c r="AA59" s="172">
        <f t="shared" si="62"/>
        <v>0.3930494206928154</v>
      </c>
      <c r="AB59" s="172">
        <f t="shared" si="62"/>
        <v>0.45020875479733091</v>
      </c>
      <c r="AD59" s="67">
        <f t="shared" si="31"/>
        <v>178.03589289055029</v>
      </c>
      <c r="AE59" s="68">
        <f t="shared" si="32"/>
        <v>132.7746934957629</v>
      </c>
      <c r="AF59" s="68">
        <f t="shared" si="33"/>
        <v>310.81058638631316</v>
      </c>
    </row>
    <row r="60" spans="1:32" x14ac:dyDescent="0.3">
      <c r="A60" t="str">
        <f t="shared" si="19"/>
        <v>53 Skilled construction and building trades</v>
      </c>
      <c r="B60" s="172">
        <f t="shared" si="52"/>
        <v>3.1444272664396049</v>
      </c>
      <c r="C60" s="172">
        <f t="shared" si="52"/>
        <v>2.6122270265128464</v>
      </c>
      <c r="D60" s="172">
        <f t="shared" si="52"/>
        <v>2.5999248099493752</v>
      </c>
      <c r="E60" s="172">
        <f t="shared" si="52"/>
        <v>2.6777251487707203</v>
      </c>
      <c r="F60" s="172">
        <f t="shared" si="52"/>
        <v>2.3358061508826169</v>
      </c>
      <c r="H60" s="67">
        <f t="shared" si="21"/>
        <v>-2.5141360746646897</v>
      </c>
      <c r="I60" s="68">
        <f t="shared" si="22"/>
        <v>43.589329284517611</v>
      </c>
      <c r="J60" s="68">
        <f t="shared" si="23"/>
        <v>41.07519320985292</v>
      </c>
      <c r="L60" t="str">
        <f t="shared" si="24"/>
        <v>53 Skilled construction and building trades</v>
      </c>
      <c r="M60" s="172">
        <f t="shared" ref="M60:Q60" si="63">M23/M$35*100</f>
        <v>5.8290758848401181</v>
      </c>
      <c r="N60" s="172">
        <f t="shared" si="63"/>
        <v>4.952252881829768</v>
      </c>
      <c r="O60" s="172">
        <f t="shared" si="63"/>
        <v>4.9184609986084267</v>
      </c>
      <c r="P60" s="172">
        <f t="shared" si="63"/>
        <v>5.0584094599179492</v>
      </c>
      <c r="Q60" s="172">
        <f t="shared" si="63"/>
        <v>4.3911830391693227</v>
      </c>
      <c r="S60" s="67">
        <f t="shared" si="26"/>
        <v>-3.4155731550670927</v>
      </c>
      <c r="T60" s="68">
        <f t="shared" si="27"/>
        <v>43.141633346865042</v>
      </c>
      <c r="U60" s="68">
        <f t="shared" si="28"/>
        <v>39.726060191797949</v>
      </c>
      <c r="W60" t="str">
        <f t="shared" si="29"/>
        <v>53 Skilled construction and building trades</v>
      </c>
      <c r="X60" s="172">
        <f t="shared" ref="X60:AB60" si="64">X23/X$35*100</f>
        <v>8.0461153508404867E-2</v>
      </c>
      <c r="Y60" s="172">
        <f t="shared" si="64"/>
        <v>0.10452850138939276</v>
      </c>
      <c r="Z60" s="172">
        <f t="shared" si="64"/>
        <v>0.13736803760851021</v>
      </c>
      <c r="AA60" s="172">
        <f t="shared" si="64"/>
        <v>0.14129108631266288</v>
      </c>
      <c r="AB60" s="172">
        <f t="shared" si="64"/>
        <v>0.16627913843568959</v>
      </c>
      <c r="AD60" s="67">
        <f t="shared" si="31"/>
        <v>31.766693989015433</v>
      </c>
      <c r="AE60" s="68">
        <f t="shared" si="32"/>
        <v>60.61479749802816</v>
      </c>
      <c r="AF60" s="68">
        <f t="shared" si="33"/>
        <v>92.381491487043604</v>
      </c>
    </row>
    <row r="61" spans="1:32" x14ac:dyDescent="0.3">
      <c r="A61" t="str">
        <f t="shared" si="19"/>
        <v>54 Textiles, printing and other skilled trades</v>
      </c>
      <c r="B61" s="172">
        <f t="shared" si="52"/>
        <v>2.3467622915186412</v>
      </c>
      <c r="C61" s="172">
        <f t="shared" si="52"/>
        <v>1.9499794694877184</v>
      </c>
      <c r="D61" s="172">
        <f t="shared" si="52"/>
        <v>1.9158617392676416</v>
      </c>
      <c r="E61" s="172">
        <f t="shared" si="52"/>
        <v>1.874517009078406</v>
      </c>
      <c r="F61" s="172">
        <f t="shared" si="52"/>
        <v>1.8341467649631176</v>
      </c>
      <c r="H61" s="67">
        <f t="shared" si="21"/>
        <v>3.8808644769443492</v>
      </c>
      <c r="I61" s="68">
        <f t="shared" si="22"/>
        <v>44.53067114957463</v>
      </c>
      <c r="J61" s="68">
        <f t="shared" si="23"/>
        <v>48.411535626518983</v>
      </c>
      <c r="L61" t="str">
        <f t="shared" si="24"/>
        <v>54 Textiles, printing and other skilled trades</v>
      </c>
      <c r="M61" s="172">
        <f t="shared" ref="M61:Q61" si="65">M24/M$35*100</f>
        <v>2.7686896228838931</v>
      </c>
      <c r="N61" s="172">
        <f t="shared" si="65"/>
        <v>2.2353806067526056</v>
      </c>
      <c r="O61" s="172">
        <f t="shared" si="65"/>
        <v>2.0987179079402751</v>
      </c>
      <c r="P61" s="172">
        <f t="shared" si="65"/>
        <v>2.0433958909037266</v>
      </c>
      <c r="Q61" s="172">
        <f t="shared" si="65"/>
        <v>1.9525405789722041</v>
      </c>
      <c r="S61" s="67">
        <f t="shared" si="26"/>
        <v>0.64699174893086309</v>
      </c>
      <c r="T61" s="68">
        <f t="shared" si="27"/>
        <v>32.43713834669191</v>
      </c>
      <c r="U61" s="68">
        <f t="shared" si="28"/>
        <v>33.084130095622776</v>
      </c>
      <c r="W61" t="str">
        <f t="shared" si="29"/>
        <v>54 Textiles, printing and other skilled trades</v>
      </c>
      <c r="X61" s="172">
        <f t="shared" ref="X61:AB61" si="66">X24/X$35*100</f>
        <v>1.8652202988116489</v>
      </c>
      <c r="Y61" s="172">
        <f t="shared" si="66"/>
        <v>1.6441281433745742</v>
      </c>
      <c r="Z61" s="172">
        <f t="shared" si="66"/>
        <v>1.7216470883462205</v>
      </c>
      <c r="AA61" s="172">
        <f t="shared" si="66"/>
        <v>1.694589688901645</v>
      </c>
      <c r="AB61" s="172">
        <f t="shared" si="66"/>
        <v>1.7091776758081625</v>
      </c>
      <c r="AD61" s="67">
        <f t="shared" si="31"/>
        <v>8.0678863763041058</v>
      </c>
      <c r="AE61" s="68">
        <f t="shared" si="32"/>
        <v>60.188642549519365</v>
      </c>
      <c r="AF61" s="68">
        <f t="shared" si="33"/>
        <v>68.256528925823474</v>
      </c>
    </row>
    <row r="62" spans="1:32" x14ac:dyDescent="0.3">
      <c r="A62" t="str">
        <f t="shared" si="19"/>
        <v>61 Caring personal service occupations</v>
      </c>
      <c r="B62" s="172">
        <f t="shared" si="52"/>
        <v>6.9361660477277809</v>
      </c>
      <c r="C62" s="172">
        <f t="shared" si="52"/>
        <v>7.2202033161190613</v>
      </c>
      <c r="D62" s="172">
        <f t="shared" si="52"/>
        <v>7.0460794533348983</v>
      </c>
      <c r="E62" s="172">
        <f t="shared" si="52"/>
        <v>7.432526904582029</v>
      </c>
      <c r="F62" s="172">
        <f t="shared" si="52"/>
        <v>7.9736135244226807</v>
      </c>
      <c r="H62" s="67">
        <f t="shared" si="21"/>
        <v>22.792907053282445</v>
      </c>
      <c r="I62" s="68">
        <f t="shared" si="22"/>
        <v>64.448575923015156</v>
      </c>
      <c r="J62" s="68">
        <f t="shared" si="23"/>
        <v>87.241482976297604</v>
      </c>
      <c r="L62" t="str">
        <f t="shared" si="24"/>
        <v>61 Caring personal service occupations</v>
      </c>
      <c r="M62" s="172">
        <f t="shared" ref="M62:Q62" si="67">M25/M$35*100</f>
        <v>2.0315547378283192</v>
      </c>
      <c r="N62" s="172">
        <f t="shared" si="67"/>
        <v>1.9812557695088828</v>
      </c>
      <c r="O62" s="172">
        <f t="shared" si="67"/>
        <v>1.9121059085022127</v>
      </c>
      <c r="P62" s="172">
        <f t="shared" si="67"/>
        <v>2.3012611188728882</v>
      </c>
      <c r="Q62" s="172">
        <f t="shared" si="67"/>
        <v>2.6653242458835726</v>
      </c>
      <c r="S62" s="67">
        <f t="shared" si="26"/>
        <v>50.797070645008411</v>
      </c>
      <c r="T62" s="68">
        <f t="shared" si="27"/>
        <v>58.759648332912953</v>
      </c>
      <c r="U62" s="68">
        <f t="shared" si="28"/>
        <v>109.55671897792134</v>
      </c>
      <c r="W62" t="str">
        <f t="shared" si="29"/>
        <v>61 Caring personal service occupations</v>
      </c>
      <c r="X62" s="172">
        <f t="shared" ref="X62:AB62" si="68">X25/X$35*100</f>
        <v>12.533756267778367</v>
      </c>
      <c r="Y62" s="172">
        <f t="shared" si="68"/>
        <v>12.834543433764559</v>
      </c>
      <c r="Z62" s="172">
        <f t="shared" si="68"/>
        <v>12.498960190623995</v>
      </c>
      <c r="AA62" s="172">
        <f t="shared" si="68"/>
        <v>12.89949170182825</v>
      </c>
      <c r="AB62" s="172">
        <f t="shared" si="68"/>
        <v>13.576710963779759</v>
      </c>
      <c r="AD62" s="67">
        <f t="shared" si="31"/>
        <v>18.242680323354072</v>
      </c>
      <c r="AE62" s="68">
        <f t="shared" si="32"/>
        <v>65.372935270521566</v>
      </c>
      <c r="AF62" s="68">
        <f t="shared" si="33"/>
        <v>83.615615593875631</v>
      </c>
    </row>
    <row r="63" spans="1:32" x14ac:dyDescent="0.3">
      <c r="A63" t="str">
        <f t="shared" si="19"/>
        <v>62 Leisure, travel and related personal service occupations</v>
      </c>
      <c r="B63" s="172">
        <f t="shared" si="52"/>
        <v>2.1527217425380671</v>
      </c>
      <c r="C63" s="172">
        <f t="shared" si="52"/>
        <v>2.2615253509990203</v>
      </c>
      <c r="D63" s="172">
        <f t="shared" si="52"/>
        <v>2.2821911247517361</v>
      </c>
      <c r="E63" s="172">
        <f t="shared" si="52"/>
        <v>2.2651936240423778</v>
      </c>
      <c r="F63" s="172">
        <f t="shared" si="52"/>
        <v>2.2024269720505676</v>
      </c>
      <c r="H63" s="67">
        <f t="shared" si="21"/>
        <v>4.7165053450547569</v>
      </c>
      <c r="I63" s="68">
        <f t="shared" si="22"/>
        <v>52.503615721512517</v>
      </c>
      <c r="J63" s="68">
        <f t="shared" si="23"/>
        <v>57.220121066567273</v>
      </c>
      <c r="L63" t="str">
        <f t="shared" si="24"/>
        <v>62 Leisure, travel and related personal service occupations</v>
      </c>
      <c r="M63" s="172">
        <f t="shared" ref="M63:Q63" si="69">M26/M$35*100</f>
        <v>1.1140068132054364</v>
      </c>
      <c r="N63" s="172">
        <f t="shared" si="69"/>
        <v>1.2414141236840019</v>
      </c>
      <c r="O63" s="172">
        <f t="shared" si="69"/>
        <v>1.1729514567470765</v>
      </c>
      <c r="P63" s="172">
        <f t="shared" si="69"/>
        <v>1.1689550869809135</v>
      </c>
      <c r="Q63" s="172">
        <f t="shared" si="69"/>
        <v>1.218550058909124</v>
      </c>
      <c r="S63" s="67">
        <f t="shared" si="26"/>
        <v>12.387532078113646</v>
      </c>
      <c r="T63" s="68">
        <f t="shared" si="27"/>
        <v>45.638213986686601</v>
      </c>
      <c r="U63" s="68">
        <f t="shared" si="28"/>
        <v>58.025746064800245</v>
      </c>
      <c r="W63" t="str">
        <f t="shared" si="29"/>
        <v>62 Leisure, travel and related personal service occupations</v>
      </c>
      <c r="X63" s="172">
        <f t="shared" ref="X63:AB63" si="70">X26/X$35*100</f>
        <v>3.3381980550273527</v>
      </c>
      <c r="Y63" s="172">
        <f t="shared" si="70"/>
        <v>3.3547318274946814</v>
      </c>
      <c r="Z63" s="172">
        <f t="shared" si="70"/>
        <v>3.460333467301858</v>
      </c>
      <c r="AA63" s="172">
        <f t="shared" si="70"/>
        <v>3.4331505652304126</v>
      </c>
      <c r="AB63" s="172">
        <f t="shared" si="70"/>
        <v>3.2409457722510209</v>
      </c>
      <c r="AD63" s="67">
        <f t="shared" si="31"/>
        <v>1.954732502421979</v>
      </c>
      <c r="AE63" s="68">
        <f t="shared" si="32"/>
        <v>54.975342222385706</v>
      </c>
      <c r="AF63" s="68">
        <f t="shared" si="33"/>
        <v>56.930074724807689</v>
      </c>
    </row>
    <row r="64" spans="1:32" x14ac:dyDescent="0.3">
      <c r="A64" t="str">
        <f t="shared" si="19"/>
        <v>63 Community and civil enforcement occupations</v>
      </c>
      <c r="B64" s="172">
        <f t="shared" si="52"/>
        <v>0.10282219790610193</v>
      </c>
      <c r="C64" s="172">
        <f t="shared" si="52"/>
        <v>8.1934369323805614E-2</v>
      </c>
      <c r="D64" s="172">
        <f t="shared" si="52"/>
        <v>0.10758835535562025</v>
      </c>
      <c r="E64" s="172">
        <f t="shared" si="52"/>
        <v>8.4228967683252678E-2</v>
      </c>
      <c r="F64" s="172">
        <f t="shared" si="52"/>
        <v>8.7402121224062906E-2</v>
      </c>
      <c r="H64" s="67">
        <f t="shared" si="21"/>
        <v>-11.849995340861559</v>
      </c>
      <c r="I64" s="68">
        <f t="shared" si="22"/>
        <v>41.45304750875242</v>
      </c>
      <c r="J64" s="68">
        <f t="shared" si="23"/>
        <v>29.603052167890866</v>
      </c>
      <c r="L64" t="str">
        <f t="shared" si="24"/>
        <v>63 Community and civil enforcement occupations</v>
      </c>
      <c r="M64" s="172">
        <f t="shared" ref="M64:Q64" si="71">M27/M$35*100</f>
        <v>0.14509500590253072</v>
      </c>
      <c r="N64" s="172">
        <f t="shared" si="71"/>
        <v>0.1027305648955968</v>
      </c>
      <c r="O64" s="172">
        <f t="shared" si="71"/>
        <v>0.15779194154414128</v>
      </c>
      <c r="P64" s="172">
        <f t="shared" si="71"/>
        <v>9.7821325662954636E-2</v>
      </c>
      <c r="Q64" s="172">
        <f t="shared" si="71"/>
        <v>0.10599246570002975</v>
      </c>
      <c r="S64" s="67">
        <f t="shared" si="26"/>
        <v>-27.331704445038895</v>
      </c>
      <c r="T64" s="68">
        <f t="shared" si="27"/>
        <v>28.105752317657164</v>
      </c>
      <c r="U64" s="68">
        <f t="shared" si="28"/>
        <v>0.77404787261826979</v>
      </c>
      <c r="W64" t="str">
        <f t="shared" si="29"/>
        <v>63 Community and civil enforcement occupations</v>
      </c>
      <c r="X64" s="172">
        <f t="shared" ref="X64:AB64" si="72">X27/X$35*100</f>
        <v>5.4576609894411487E-2</v>
      </c>
      <c r="Y64" s="172">
        <f t="shared" si="72"/>
        <v>5.9648039091571216E-2</v>
      </c>
      <c r="Z64" s="172">
        <f t="shared" si="72"/>
        <v>5.4266271461021622E-2</v>
      </c>
      <c r="AA64" s="172">
        <f t="shared" si="72"/>
        <v>6.9747366906782848E-2</v>
      </c>
      <c r="AB64" s="172">
        <f t="shared" si="72"/>
        <v>6.7779318836261884E-2</v>
      </c>
      <c r="AD64" s="67">
        <f t="shared" si="31"/>
        <v>35.963017702897211</v>
      </c>
      <c r="AE64" s="68">
        <f t="shared" si="32"/>
        <v>82.67423276526533</v>
      </c>
      <c r="AF64" s="68">
        <f t="shared" si="33"/>
        <v>118.63725046816253</v>
      </c>
    </row>
    <row r="65" spans="1:32" x14ac:dyDescent="0.3">
      <c r="A65" t="str">
        <f t="shared" si="19"/>
        <v>71 Sales occupations</v>
      </c>
      <c r="B65" s="172">
        <f t="shared" ref="B65:F70" si="73">B28/B$35*100</f>
        <v>7.2458107843424466</v>
      </c>
      <c r="C65" s="172">
        <f t="shared" si="73"/>
        <v>6.1455742061748744</v>
      </c>
      <c r="D65" s="172">
        <f t="shared" si="73"/>
        <v>6.1336999444339728</v>
      </c>
      <c r="E65" s="172">
        <f t="shared" si="73"/>
        <v>5.5345942785656748</v>
      </c>
      <c r="F65" s="172">
        <f t="shared" si="73"/>
        <v>4.9987241315003352</v>
      </c>
      <c r="H65" s="67">
        <f t="shared" si="21"/>
        <v>-11.56945976379909</v>
      </c>
      <c r="I65" s="68">
        <f t="shared" si="22"/>
        <v>42.189340720953517</v>
      </c>
      <c r="J65" s="68">
        <f t="shared" si="23"/>
        <v>30.619880957154429</v>
      </c>
      <c r="L65" t="str">
        <f t="shared" si="24"/>
        <v>71 Sales occupations</v>
      </c>
      <c r="M65" s="172">
        <f t="shared" ref="M65:Q65" si="74">M28/M$35*100</f>
        <v>5.5183868307887707</v>
      </c>
      <c r="N65" s="172">
        <f t="shared" si="74"/>
        <v>4.9535019935281444</v>
      </c>
      <c r="O65" s="172">
        <f t="shared" si="74"/>
        <v>5.0161632934775131</v>
      </c>
      <c r="P65" s="172">
        <f t="shared" si="74"/>
        <v>4.6329226553914538</v>
      </c>
      <c r="Q65" s="172">
        <f t="shared" si="74"/>
        <v>4.3530996900639263</v>
      </c>
      <c r="S65" s="67">
        <f t="shared" si="26"/>
        <v>-6.1181269321582468</v>
      </c>
      <c r="T65" s="68">
        <f t="shared" si="27"/>
        <v>32.116106697928728</v>
      </c>
      <c r="U65" s="68">
        <f t="shared" si="28"/>
        <v>25.997979765770484</v>
      </c>
      <c r="W65" t="str">
        <f t="shared" si="29"/>
        <v>71 Sales occupations</v>
      </c>
      <c r="X65" s="172">
        <f t="shared" ref="X65:AB65" si="75">X28/X$35*100</f>
        <v>9.2173047147129434</v>
      </c>
      <c r="Y65" s="172">
        <f t="shared" si="75"/>
        <v>7.4230633940410549</v>
      </c>
      <c r="Z65" s="172">
        <f t="shared" si="75"/>
        <v>7.3206546538809025</v>
      </c>
      <c r="AA65" s="172">
        <f t="shared" si="75"/>
        <v>6.4952552983666862</v>
      </c>
      <c r="AB65" s="172">
        <f t="shared" si="75"/>
        <v>5.6802048242018204</v>
      </c>
      <c r="AD65" s="67">
        <f t="shared" si="31"/>
        <v>-15.536775979792102</v>
      </c>
      <c r="AE65" s="68">
        <f t="shared" si="32"/>
        <v>49.520337730543353</v>
      </c>
      <c r="AF65" s="68">
        <f t="shared" si="33"/>
        <v>33.98356175075125</v>
      </c>
    </row>
    <row r="66" spans="1:32" x14ac:dyDescent="0.3">
      <c r="A66" t="str">
        <f t="shared" si="19"/>
        <v>72 Customer service occupations</v>
      </c>
      <c r="B66" s="172">
        <f t="shared" si="73"/>
        <v>1.4717616519695311</v>
      </c>
      <c r="C66" s="172">
        <f t="shared" si="73"/>
        <v>1.5320183601764321</v>
      </c>
      <c r="D66" s="172">
        <f t="shared" si="73"/>
        <v>1.5708140765311942</v>
      </c>
      <c r="E66" s="172">
        <f t="shared" si="73"/>
        <v>1.9479620563395801</v>
      </c>
      <c r="F66" s="172">
        <f t="shared" si="73"/>
        <v>2.1381039961478865</v>
      </c>
      <c r="H66" s="67">
        <f t="shared" si="21"/>
        <v>47.696320531155777</v>
      </c>
      <c r="I66" s="68">
        <f t="shared" si="22"/>
        <v>61.455061102772788</v>
      </c>
      <c r="J66" s="68">
        <f t="shared" si="23"/>
        <v>109.15138163392857</v>
      </c>
      <c r="L66" t="str">
        <f t="shared" si="24"/>
        <v>72 Customer service occupations</v>
      </c>
      <c r="M66" s="172">
        <f t="shared" ref="M66:Q66" si="76">M29/M$35*100</f>
        <v>0.95595623767075022</v>
      </c>
      <c r="N66" s="172">
        <f t="shared" si="76"/>
        <v>0.86277026587365924</v>
      </c>
      <c r="O66" s="172">
        <f t="shared" si="76"/>
        <v>1.0434999494874855</v>
      </c>
      <c r="P66" s="172">
        <f t="shared" si="76"/>
        <v>1.3884854032795368</v>
      </c>
      <c r="Q66" s="172">
        <f t="shared" si="76"/>
        <v>1.5628710969767585</v>
      </c>
      <c r="S66" s="67">
        <f t="shared" si="26"/>
        <v>62.026304162605086</v>
      </c>
      <c r="T66" s="68">
        <f t="shared" si="27"/>
        <v>48.284555848389132</v>
      </c>
      <c r="U66" s="68">
        <f t="shared" si="28"/>
        <v>110.31086001099422</v>
      </c>
      <c r="W66" t="str">
        <f t="shared" si="29"/>
        <v>72 Customer service occupations</v>
      </c>
      <c r="X66" s="172">
        <f t="shared" ref="X66:AB66" si="77">X29/X$35*100</f>
        <v>2.0604458840309658</v>
      </c>
      <c r="Y66" s="172">
        <f t="shared" si="77"/>
        <v>2.2492208881790345</v>
      </c>
      <c r="Z66" s="172">
        <f t="shared" si="77"/>
        <v>2.130883391409347</v>
      </c>
      <c r="AA66" s="172">
        <f t="shared" si="77"/>
        <v>2.5440409372423862</v>
      </c>
      <c r="AB66" s="172">
        <f t="shared" si="77"/>
        <v>2.7452837889693336</v>
      </c>
      <c r="AD66" s="67">
        <f t="shared" si="31"/>
        <v>40.242982556065421</v>
      </c>
      <c r="AE66" s="68">
        <f t="shared" si="32"/>
        <v>68.305329008745929</v>
      </c>
      <c r="AF66" s="68">
        <f t="shared" si="33"/>
        <v>108.54831156481133</v>
      </c>
    </row>
    <row r="67" spans="1:32" x14ac:dyDescent="0.3">
      <c r="A67" t="str">
        <f t="shared" si="19"/>
        <v>81 Process, plant and machine operatives</v>
      </c>
      <c r="B67" s="172">
        <f t="shared" si="73"/>
        <v>2.5347249915758718</v>
      </c>
      <c r="C67" s="172">
        <f t="shared" si="73"/>
        <v>2.3330024723696945</v>
      </c>
      <c r="D67" s="172">
        <f t="shared" si="73"/>
        <v>2.0850344374655698</v>
      </c>
      <c r="E67" s="172">
        <f t="shared" si="73"/>
        <v>2.5126065203532102</v>
      </c>
      <c r="F67" s="172">
        <f t="shared" si="73"/>
        <v>2.3844273470796677</v>
      </c>
      <c r="H67" s="67">
        <f t="shared" si="21"/>
        <v>24.08991786431638</v>
      </c>
      <c r="I67" s="68">
        <f t="shared" si="22"/>
        <v>48.016572120946421</v>
      </c>
      <c r="J67" s="68">
        <f t="shared" si="23"/>
        <v>72.106489985262797</v>
      </c>
      <c r="L67" t="str">
        <f t="shared" si="24"/>
        <v>81 Process, plant and machine operatives</v>
      </c>
      <c r="M67" s="172">
        <f t="shared" ref="M67:Q67" si="78">M30/M$35*100</f>
        <v>3.7123564585787099</v>
      </c>
      <c r="N67" s="172">
        <f t="shared" si="78"/>
        <v>3.4311918672444652</v>
      </c>
      <c r="O67" s="172">
        <f t="shared" si="78"/>
        <v>3.1314408943905532</v>
      </c>
      <c r="P67" s="172">
        <f t="shared" si="78"/>
        <v>3.7260649267166817</v>
      </c>
      <c r="Q67" s="172">
        <f t="shared" si="78"/>
        <v>3.6146298473217846</v>
      </c>
      <c r="S67" s="67">
        <f t="shared" si="26"/>
        <v>24.874686269588874</v>
      </c>
      <c r="T67" s="68">
        <f t="shared" si="27"/>
        <v>44.067983237927642</v>
      </c>
      <c r="U67" s="68">
        <f t="shared" si="28"/>
        <v>68.942669507516513</v>
      </c>
      <c r="W67" t="str">
        <f t="shared" si="29"/>
        <v>81 Process, plant and machine operatives</v>
      </c>
      <c r="X67" s="172">
        <f t="shared" ref="X67:AB67" si="79">X30/X$35*100</f>
        <v>1.1907044431556748</v>
      </c>
      <c r="Y67" s="172">
        <f t="shared" si="79"/>
        <v>1.1561232000418888</v>
      </c>
      <c r="Z67" s="172">
        <f t="shared" si="79"/>
        <v>0.97362831849867693</v>
      </c>
      <c r="AA67" s="172">
        <f t="shared" si="79"/>
        <v>1.2197609209325948</v>
      </c>
      <c r="AB67" s="172">
        <f t="shared" si="79"/>
        <v>1.0859026968001946</v>
      </c>
      <c r="AD67" s="67">
        <f t="shared" si="31"/>
        <v>21.40911484171626</v>
      </c>
      <c r="AE67" s="68">
        <f t="shared" si="32"/>
        <v>61.505123573179965</v>
      </c>
      <c r="AF67" s="68">
        <f t="shared" si="33"/>
        <v>82.914238414896218</v>
      </c>
    </row>
    <row r="68" spans="1:32" x14ac:dyDescent="0.3">
      <c r="A68" t="str">
        <f t="shared" si="19"/>
        <v>82 Transport and mobile machine drivers and operatives</v>
      </c>
      <c r="B68" s="172">
        <f t="shared" si="73"/>
        <v>3.708466017441161</v>
      </c>
      <c r="C68" s="172">
        <f t="shared" si="73"/>
        <v>4.0631330189125157</v>
      </c>
      <c r="D68" s="172">
        <f t="shared" si="73"/>
        <v>3.6366170112350158</v>
      </c>
      <c r="E68" s="172">
        <f t="shared" si="73"/>
        <v>3.9214794772624328</v>
      </c>
      <c r="F68" s="172">
        <f t="shared" si="73"/>
        <v>3.8475406784423183</v>
      </c>
      <c r="H68" s="67">
        <f t="shared" si="21"/>
        <v>14.802485195365536</v>
      </c>
      <c r="I68" s="68">
        <f t="shared" si="22"/>
        <v>58.828465367066826</v>
      </c>
      <c r="J68" s="68">
        <f t="shared" si="23"/>
        <v>73.630950562432361</v>
      </c>
      <c r="L68" t="str">
        <f t="shared" si="24"/>
        <v>82 Transport and mobile machine drivers and operatives</v>
      </c>
      <c r="M68" s="172">
        <f t="shared" ref="M68:Q68" si="80">M31/M$35*100</f>
        <v>6.3797206722672515</v>
      </c>
      <c r="N68" s="172">
        <f t="shared" si="80"/>
        <v>7.2612791169382875</v>
      </c>
      <c r="O68" s="172">
        <f t="shared" si="80"/>
        <v>6.4731282103787438</v>
      </c>
      <c r="P68" s="172">
        <f t="shared" si="80"/>
        <v>6.7545651616744866</v>
      </c>
      <c r="Q68" s="172">
        <f t="shared" si="80"/>
        <v>6.5554966197040807</v>
      </c>
      <c r="S68" s="67">
        <f t="shared" si="26"/>
        <v>9.5585277057215414</v>
      </c>
      <c r="T68" s="68">
        <f t="shared" si="27"/>
        <v>55.590733576732006</v>
      </c>
      <c r="U68" s="68">
        <f t="shared" si="28"/>
        <v>65.149261282453537</v>
      </c>
      <c r="W68" t="str">
        <f t="shared" si="29"/>
        <v>82 Transport and mobile machine drivers and operatives</v>
      </c>
      <c r="X68" s="172">
        <f t="shared" ref="X68:AB68" si="81">X31/X$35*100</f>
        <v>0.65978631861592074</v>
      </c>
      <c r="Y68" s="172">
        <f t="shared" si="81"/>
        <v>0.63582633555863466</v>
      </c>
      <c r="Z68" s="172">
        <f t="shared" si="81"/>
        <v>0.62391015876531708</v>
      </c>
      <c r="AA68" s="172">
        <f t="shared" si="81"/>
        <v>0.90304692064084524</v>
      </c>
      <c r="AB68" s="172">
        <f t="shared" si="81"/>
        <v>0.98919212126812106</v>
      </c>
      <c r="AD68" s="67">
        <f t="shared" si="31"/>
        <v>72.588625407208312</v>
      </c>
      <c r="AE68" s="68">
        <f t="shared" si="32"/>
        <v>94.50686733239688</v>
      </c>
      <c r="AF68" s="68">
        <f t="shared" si="33"/>
        <v>167.09549273960519</v>
      </c>
    </row>
    <row r="69" spans="1:32" x14ac:dyDescent="0.3">
      <c r="A69" t="str">
        <f t="shared" si="19"/>
        <v>91 Elementary trades and related occupations</v>
      </c>
      <c r="B69" s="172">
        <f t="shared" si="73"/>
        <v>1.7965861953215905</v>
      </c>
      <c r="C69" s="172">
        <f t="shared" si="73"/>
        <v>1.5155332776382531</v>
      </c>
      <c r="D69" s="172">
        <f t="shared" si="73"/>
        <v>1.3856984546717457</v>
      </c>
      <c r="E69" s="172">
        <f t="shared" si="73"/>
        <v>1.163751798388609</v>
      </c>
      <c r="F69" s="172">
        <f t="shared" si="73"/>
        <v>1.1086692933910025</v>
      </c>
      <c r="H69" s="67">
        <f t="shared" si="21"/>
        <v>-13.184169962543724</v>
      </c>
      <c r="I69" s="68">
        <f t="shared" si="22"/>
        <v>33.77983626100449</v>
      </c>
      <c r="J69" s="68">
        <f t="shared" si="23"/>
        <v>20.59566629846077</v>
      </c>
      <c r="L69" t="str">
        <f t="shared" si="24"/>
        <v>91 Elementary trades and related occupations</v>
      </c>
      <c r="M69" s="172">
        <f t="shared" ref="M69:Q70" si="82">M32/M$35*100</f>
        <v>2.662605343322368</v>
      </c>
      <c r="N69" s="172">
        <f t="shared" si="82"/>
        <v>2.2896341848862889</v>
      </c>
      <c r="O69" s="172">
        <f t="shared" si="82"/>
        <v>2.1822980607288893</v>
      </c>
      <c r="P69" s="172">
        <f t="shared" si="82"/>
        <v>1.829364625445453</v>
      </c>
      <c r="Q69" s="172">
        <f t="shared" si="82"/>
        <v>1.7636487765295386</v>
      </c>
      <c r="S69" s="67">
        <f t="shared" si="26"/>
        <v>-12.571539061747094</v>
      </c>
      <c r="T69" s="68">
        <f t="shared" si="27"/>
        <v>28.977808150511937</v>
      </c>
      <c r="U69" s="68">
        <f t="shared" si="28"/>
        <v>16.406269088764844</v>
      </c>
      <c r="W69" t="str">
        <f t="shared" si="29"/>
        <v>91 Elementary trades and related occupations</v>
      </c>
      <c r="X69" s="172">
        <f t="shared" ref="X69:AB70" si="83">X32/X$35*100</f>
        <v>0.80820607568982816</v>
      </c>
      <c r="Y69" s="172">
        <f t="shared" si="83"/>
        <v>0.68596479274656896</v>
      </c>
      <c r="Z69" s="172">
        <f t="shared" si="83"/>
        <v>0.53961644640486006</v>
      </c>
      <c r="AA69" s="172">
        <f t="shared" si="83"/>
        <v>0.45459307496995188</v>
      </c>
      <c r="AB69" s="172">
        <f t="shared" si="83"/>
        <v>0.41731400504187494</v>
      </c>
      <c r="AD69" s="67">
        <f t="shared" si="31"/>
        <v>-15.815650488597971</v>
      </c>
      <c r="AE69" s="68">
        <f t="shared" si="32"/>
        <v>54.406356147436185</v>
      </c>
      <c r="AF69" s="68">
        <f t="shared" si="33"/>
        <v>38.590705658838218</v>
      </c>
    </row>
    <row r="70" spans="1:32" x14ac:dyDescent="0.3">
      <c r="A70" t="str">
        <f t="shared" si="19"/>
        <v>92 Elementary administration and service occupations</v>
      </c>
      <c r="B70" s="172">
        <f t="shared" si="73"/>
        <v>10.801061745116959</v>
      </c>
      <c r="C70" s="172">
        <f t="shared" si="73"/>
        <v>10.403854132273544</v>
      </c>
      <c r="D70" s="172">
        <f t="shared" si="73"/>
        <v>9.6958939714320351</v>
      </c>
      <c r="E70" s="172">
        <f t="shared" si="73"/>
        <v>9.6251699260600141</v>
      </c>
      <c r="F70" s="172">
        <f t="shared" si="73"/>
        <v>8.7608148968414437</v>
      </c>
      <c r="H70" s="67">
        <f t="shared" si="21"/>
        <v>-1.9557153583258879</v>
      </c>
      <c r="I70" s="68">
        <f t="shared" si="22"/>
        <v>49.785980899860519</v>
      </c>
      <c r="J70" s="68">
        <f t="shared" si="23"/>
        <v>47.830265541534629</v>
      </c>
      <c r="L70" t="str">
        <f t="shared" si="24"/>
        <v>92 Elementary administration and service occupations</v>
      </c>
      <c r="M70" s="172">
        <f t="shared" si="82"/>
        <v>9.7032239486413658</v>
      </c>
      <c r="N70" s="172">
        <f t="shared" si="82"/>
        <v>9.1071322489954945</v>
      </c>
      <c r="O70" s="172">
        <f t="shared" si="82"/>
        <v>8.8765910942769644</v>
      </c>
      <c r="P70" s="172">
        <f t="shared" si="82"/>
        <v>9.2043804437702654</v>
      </c>
      <c r="Q70" s="172">
        <f t="shared" si="82"/>
        <v>8.4585389421050987</v>
      </c>
      <c r="S70" s="67">
        <f t="shared" si="26"/>
        <v>3.0870086040145699</v>
      </c>
      <c r="T70" s="68">
        <f t="shared" si="27"/>
        <v>42.053177660300918</v>
      </c>
      <c r="U70" s="68">
        <f t="shared" si="28"/>
        <v>45.140186264315489</v>
      </c>
      <c r="W70" t="str">
        <f t="shared" si="29"/>
        <v>92 Elementary administration and service occupations</v>
      </c>
      <c r="X70" s="172">
        <f t="shared" si="83"/>
        <v>12.054014471533939</v>
      </c>
      <c r="Y70" s="172">
        <f t="shared" si="83"/>
        <v>11.793491578715873</v>
      </c>
      <c r="Z70" s="172">
        <f t="shared" si="83"/>
        <v>10.56608951058527</v>
      </c>
      <c r="AA70" s="172">
        <f t="shared" si="83"/>
        <v>10.073488407853812</v>
      </c>
      <c r="AB70" s="172">
        <f t="shared" si="83"/>
        <v>9.0798784480329555</v>
      </c>
      <c r="AD70" s="67">
        <f t="shared" si="31"/>
        <v>-6.4552696574188575</v>
      </c>
      <c r="AE70" s="68">
        <f t="shared" si="32"/>
        <v>56.685856506864539</v>
      </c>
      <c r="AF70" s="68">
        <f t="shared" si="33"/>
        <v>50.230586849445679</v>
      </c>
    </row>
    <row r="71" spans="1:32" x14ac:dyDescent="0.3">
      <c r="H71" s="67"/>
      <c r="I71" s="68"/>
      <c r="J71" s="68"/>
      <c r="S71" s="67"/>
      <c r="T71" s="68"/>
      <c r="U71" s="68"/>
      <c r="AD71" s="67"/>
      <c r="AE71" s="68"/>
      <c r="AF71" s="68"/>
    </row>
    <row r="72" spans="1:32" x14ac:dyDescent="0.3">
      <c r="A72" s="23" t="str">
        <f>A35</f>
        <v>All occupations</v>
      </c>
      <c r="B72" s="25">
        <f>B35/B$35*100</f>
        <v>100</v>
      </c>
      <c r="C72" s="25">
        <f>C35/C$35*100</f>
        <v>100</v>
      </c>
      <c r="D72" s="25">
        <f>D35/D$35*100</f>
        <v>100</v>
      </c>
      <c r="E72" s="25">
        <f>E35/E$35*100</f>
        <v>100</v>
      </c>
      <c r="F72" s="25">
        <f>F35/F$35*100</f>
        <v>100</v>
      </c>
      <c r="H72" s="69">
        <f>IF(D35&gt;0,(H35/D35)*100,0)</f>
        <v>8.5089685815992144</v>
      </c>
      <c r="I72" s="66">
        <f>IF(D35&gt;0,I35/D35*100,0)</f>
        <v>50.611117676309561</v>
      </c>
      <c r="J72" s="66">
        <f>IF(D35&gt;0,(J35/D35)*100,0)</f>
        <v>59.120086257908824</v>
      </c>
      <c r="L72" s="23" t="str">
        <f>L35</f>
        <v>All occupations</v>
      </c>
      <c r="M72" s="25">
        <f>M35/M$35*100</f>
        <v>100</v>
      </c>
      <c r="N72" s="25">
        <f>N35/N$35*100</f>
        <v>100</v>
      </c>
      <c r="O72" s="25">
        <f>O35/O$35*100</f>
        <v>100</v>
      </c>
      <c r="P72" s="25">
        <f>P35/P$35*100</f>
        <v>100</v>
      </c>
      <c r="Q72" s="25">
        <f>Q35/Q$35*100</f>
        <v>100</v>
      </c>
      <c r="S72" s="69">
        <f t="shared" ref="S72" si="84">IF(O35&gt;0,(S35/O35)*100,0)</f>
        <v>8.1819482978362785</v>
      </c>
      <c r="T72" s="66">
        <f t="shared" ref="T72" si="85">IF(O35&gt;0,T35/O35*100,0)</f>
        <v>42.253890471471237</v>
      </c>
      <c r="U72" s="66">
        <f t="shared" ref="U72" si="86">IF(O35&gt;0,(U35/O35)*100,0)</f>
        <v>50.43583876930753</v>
      </c>
      <c r="W72" s="23" t="str">
        <f>W35</f>
        <v>All occupations</v>
      </c>
      <c r="X72" s="25">
        <f>X35/X$35*100</f>
        <v>100</v>
      </c>
      <c r="Y72" s="25">
        <f>Y35/Y$35*100</f>
        <v>100</v>
      </c>
      <c r="Z72" s="25">
        <f>Z35/Z$35*100</f>
        <v>100</v>
      </c>
      <c r="AA72" s="25">
        <f>AA35/AA$35*100</f>
        <v>100</v>
      </c>
      <c r="AB72" s="25">
        <f>AB35/AB$35*100</f>
        <v>100</v>
      </c>
      <c r="AD72" s="69">
        <f t="shared" ref="AD72" si="87">IF(Z35&gt;0,(AD35/Z35)*100,0)</f>
        <v>8.8563023943783659</v>
      </c>
      <c r="AE72" s="66">
        <f t="shared" ref="AE72" si="88">IF(Z35&gt;0,AE35/Z35*100,0)</f>
        <v>59.487471020256642</v>
      </c>
      <c r="AF72" s="66">
        <f t="shared" ref="AF72" si="89">IF(Z35&gt;0,(AF35/Z35)*100,0)</f>
        <v>68.34377341463501</v>
      </c>
    </row>
    <row r="73" spans="1:32" x14ac:dyDescent="0.3">
      <c r="B73" s="17"/>
      <c r="C73" s="17"/>
      <c r="D73" s="17"/>
      <c r="E73" s="17"/>
      <c r="F73" s="17"/>
      <c r="M73" s="17"/>
      <c r="N73" s="17"/>
      <c r="O73" s="17"/>
      <c r="P73" s="17"/>
      <c r="Q73" s="17"/>
      <c r="X73" s="17"/>
      <c r="Y73" s="17"/>
      <c r="Z73" s="17"/>
      <c r="AA73" s="17"/>
      <c r="AB73" s="17"/>
    </row>
    <row r="74" spans="1:32" x14ac:dyDescent="0.3">
      <c r="B74" s="17"/>
      <c r="C74" s="17"/>
      <c r="D74" s="17"/>
      <c r="E74" s="17"/>
      <c r="F74" s="17"/>
      <c r="M74" s="17"/>
      <c r="N74" s="17"/>
      <c r="O74" s="17"/>
      <c r="P74" s="17"/>
      <c r="Q74" s="17"/>
      <c r="X74" s="17"/>
      <c r="Y74" s="17"/>
      <c r="Z74" s="17"/>
      <c r="AA74" s="17"/>
      <c r="AB74" s="17"/>
    </row>
    <row r="75" spans="1:32" ht="15.45" x14ac:dyDescent="0.4">
      <c r="A75" s="18" t="str">
        <f>CONCATENATE(A$1," (Continued)")</f>
        <v>Occupation Table 2  Employment Change by Occupation (SOC 2020) and Replacement Demand, 2015-2035, East (Continued)</v>
      </c>
      <c r="B75" s="17"/>
      <c r="C75" s="17"/>
      <c r="D75" s="17"/>
      <c r="E75" s="17"/>
      <c r="F75" s="17"/>
      <c r="L75" s="18" t="str">
        <f>CONCATENATE(L$1," (Continued)")</f>
        <v>Occupation Table 2.1  Males: Employment Change by Occupation (SOC 2020) and Replacement Demand, 2015-2035, East (Continued)</v>
      </c>
      <c r="M75" s="17"/>
      <c r="N75" s="17"/>
      <c r="O75" s="17"/>
      <c r="P75" s="17"/>
      <c r="Q75" s="17"/>
      <c r="W75" s="18" t="str">
        <f>CONCATENATE(W$1," (Continued)")</f>
        <v>Occupation Table 2.2  Females: Employment Change by Occupation (SOC 2020) and Replacement Demand, 2015-2035, East (Continued)</v>
      </c>
      <c r="X75" s="17"/>
      <c r="Y75" s="17"/>
      <c r="Z75" s="17"/>
      <c r="AA75" s="17"/>
      <c r="AB75" s="17"/>
    </row>
    <row r="77" spans="1:32" x14ac:dyDescent="0.3">
      <c r="F77" s="15" t="s">
        <v>36</v>
      </c>
      <c r="J77" s="15" t="s">
        <v>36</v>
      </c>
      <c r="Q77" s="15" t="s">
        <v>36</v>
      </c>
      <c r="U77" s="15" t="s">
        <v>36</v>
      </c>
      <c r="AB77" s="15" t="s">
        <v>36</v>
      </c>
      <c r="AF77" s="15" t="s">
        <v>36</v>
      </c>
    </row>
    <row r="78" spans="1:32" x14ac:dyDescent="0.3">
      <c r="A78" s="35"/>
      <c r="B78" s="35"/>
      <c r="C78" s="35"/>
      <c r="D78" s="35"/>
      <c r="E78" s="35"/>
      <c r="F78" s="35"/>
      <c r="H78" s="98" t="str">
        <f>$H$4</f>
        <v>2020-2035</v>
      </c>
      <c r="I78" s="35"/>
      <c r="J78" s="35"/>
      <c r="L78" s="35"/>
      <c r="M78" s="35"/>
      <c r="N78" s="35"/>
      <c r="O78" s="35"/>
      <c r="P78" s="35"/>
      <c r="Q78" s="35"/>
      <c r="S78" s="98" t="str">
        <f>$H$4</f>
        <v>2020-2035</v>
      </c>
      <c r="T78" s="35"/>
      <c r="U78" s="35"/>
      <c r="W78" s="35"/>
      <c r="X78" s="35"/>
      <c r="Y78" s="35"/>
      <c r="Z78" s="35"/>
      <c r="AA78" s="35"/>
      <c r="AB78" s="35"/>
      <c r="AD78" s="98" t="str">
        <f>$H$4</f>
        <v>2020-2035</v>
      </c>
      <c r="AE78" s="35"/>
      <c r="AF78" s="35"/>
    </row>
    <row r="79" spans="1:32" x14ac:dyDescent="0.3">
      <c r="H79" s="15" t="str">
        <f t="shared" ref="H79:J80" si="90">H42</f>
        <v>Net</v>
      </c>
      <c r="I79" s="15" t="str">
        <f t="shared" si="90"/>
        <v>Replacement</v>
      </c>
      <c r="J79" s="15" t="str">
        <f t="shared" si="90"/>
        <v>Total</v>
      </c>
      <c r="S79" s="15" t="str">
        <f t="shared" ref="S79:U79" si="91">S42</f>
        <v>Net</v>
      </c>
      <c r="T79" s="15" t="str">
        <f t="shared" si="91"/>
        <v>Replacement</v>
      </c>
      <c r="U79" s="15" t="str">
        <f t="shared" si="91"/>
        <v>Total</v>
      </c>
      <c r="AD79" s="15" t="str">
        <f t="shared" ref="AD79:AF79" si="92">AD42</f>
        <v>Net</v>
      </c>
      <c r="AE79" s="15" t="str">
        <f t="shared" si="92"/>
        <v>Replacement</v>
      </c>
      <c r="AF79" s="15" t="str">
        <f t="shared" si="92"/>
        <v>Total</v>
      </c>
    </row>
    <row r="80" spans="1:32" x14ac:dyDescent="0.3">
      <c r="A80" s="40" t="s">
        <v>14</v>
      </c>
      <c r="B80" s="63" t="str">
        <f>CONCATENATE(B$6,"-",C$6)</f>
        <v>2015-2019</v>
      </c>
      <c r="C80" s="63" t="str">
        <f>CONCATENATE(C$6,"-",D$6)</f>
        <v>2019-2020</v>
      </c>
      <c r="D80" s="63" t="str">
        <f>CONCATENATE(D$6,"-",E$6)</f>
        <v>2020-2025</v>
      </c>
      <c r="E80" s="63" t="str">
        <f>CONCATENATE(E$6,"-",F$6)</f>
        <v>2025-2035</v>
      </c>
      <c r="F80" s="63" t="str">
        <f>CONCATENATE(D$6,"-",F$6)</f>
        <v>2020-2035</v>
      </c>
      <c r="H80" s="62" t="str">
        <f t="shared" si="90"/>
        <v>Change</v>
      </c>
      <c r="I80" s="62" t="str">
        <f t="shared" si="90"/>
        <v>Demand</v>
      </c>
      <c r="J80" s="62" t="str">
        <f t="shared" si="90"/>
        <v>Requirement</v>
      </c>
      <c r="L80" s="40" t="s">
        <v>14</v>
      </c>
      <c r="M80" s="63" t="str">
        <f>CONCATENATE(M$6,"-",N$6)</f>
        <v>2015-2019</v>
      </c>
      <c r="N80" s="63" t="str">
        <f>CONCATENATE(N$6,"-",O$6)</f>
        <v>2019-2020</v>
      </c>
      <c r="O80" s="63" t="str">
        <f>CONCATENATE(O$6,"-",P$6)</f>
        <v>2020-2025</v>
      </c>
      <c r="P80" s="63" t="str">
        <f>CONCATENATE(P$6,"-",Q$6)</f>
        <v>2025-2035</v>
      </c>
      <c r="Q80" s="63" t="str">
        <f>CONCATENATE(O$6,"-",Q$6)</f>
        <v>2020-2035</v>
      </c>
      <c r="S80" s="62" t="str">
        <f t="shared" ref="S80:U80" si="93">S43</f>
        <v>Change</v>
      </c>
      <c r="T80" s="62" t="str">
        <f t="shared" si="93"/>
        <v>Demand</v>
      </c>
      <c r="U80" s="62" t="str">
        <f t="shared" si="93"/>
        <v>Requirement</v>
      </c>
      <c r="W80" s="40" t="s">
        <v>14</v>
      </c>
      <c r="X80" s="63" t="str">
        <f>CONCATENATE(X$6,"-",Y$6)</f>
        <v>2015-2019</v>
      </c>
      <c r="Y80" s="63" t="str">
        <f>CONCATENATE(Y$6,"-",Z$6)</f>
        <v>2019-2020</v>
      </c>
      <c r="Z80" s="63" t="str">
        <f>CONCATENATE(Z$6,"-",AA$6)</f>
        <v>2020-2025</v>
      </c>
      <c r="AA80" s="63" t="str">
        <f>CONCATENATE(AA$6,"-",AB$6)</f>
        <v>2025-2035</v>
      </c>
      <c r="AB80" s="63" t="str">
        <f>CONCATENATE(Z$6,"-",AB$6)</f>
        <v>2020-2035</v>
      </c>
      <c r="AD80" s="62" t="str">
        <f t="shared" ref="AD80:AF80" si="94">AD43</f>
        <v>Change</v>
      </c>
      <c r="AE80" s="62" t="str">
        <f t="shared" si="94"/>
        <v>Demand</v>
      </c>
      <c r="AF80" s="62" t="str">
        <f t="shared" si="94"/>
        <v>Requirement</v>
      </c>
    </row>
    <row r="82" spans="1:32" x14ac:dyDescent="0.3">
      <c r="A82" t="str">
        <f t="shared" ref="A82:A107" si="95">A8</f>
        <v>11 Corporate managers and directors</v>
      </c>
      <c r="B82" s="17">
        <f t="shared" ref="B82:E107" si="96">IF(AND(C$6-B$6 &lt;&gt; 0,B8&lt;&gt;0,C8&lt;&gt;0),(EXP(LN(C8/B8)/(C$6-B$6))-1)*100,0)</f>
        <v>3.9719172173037665</v>
      </c>
      <c r="C82" s="17">
        <f t="shared" si="96"/>
        <v>2.0245679688340124</v>
      </c>
      <c r="D82" s="17">
        <f t="shared" si="96"/>
        <v>-1.1650845091214057</v>
      </c>
      <c r="E82" s="17">
        <f t="shared" si="96"/>
        <v>1.046988255006398</v>
      </c>
      <c r="F82" s="17">
        <f t="shared" ref="F82:F107" si="97">IF(AND(F$6-D$6 &lt;&gt; 0,D8&lt;&gt;0,F8&lt;&gt;0),(EXP(LN(F8/D8)/(F$6-D$6))-1)*100,0)</f>
        <v>0.3041836297678735</v>
      </c>
      <c r="H82" s="17">
        <f t="shared" ref="H82:H107" si="98">IF($F$6-$D$6 &lt;&gt; 0,(EXP(LN(1+(H45/100))/($F$6-$D$6))-1)*100,0)</f>
        <v>0.3041836297678735</v>
      </c>
      <c r="I82" s="17">
        <f t="shared" ref="I82:I107" si="99">IF(D8&gt;0,((1+(I8/D8))^(1/($F$6-$D$6))-1)*100,0)</f>
        <v>2.7542216640152661</v>
      </c>
      <c r="J82" s="17">
        <f t="shared" ref="J82:J107" si="100">IF($F$6-$D$6 &lt;&gt; 0,(EXP(LN(1+(J45/100))/($F$6-$D$6))-1)*100,0)</f>
        <v>2.9636353057366893</v>
      </c>
      <c r="K82" s="39"/>
      <c r="L82" t="str">
        <f t="shared" ref="L82:L107" si="101">L8</f>
        <v>11 Corporate managers and directors</v>
      </c>
      <c r="M82" s="17">
        <f t="shared" ref="M82:P107" si="102">IF(AND(N$6-M$6 &lt;&gt; 0,M8&lt;&gt;0,N8&lt;&gt;0),(EXP(LN(N8/M8)/(N$6-M$6))-1)*100,0)</f>
        <v>2.7997453849592846</v>
      </c>
      <c r="N82" s="17">
        <f t="shared" si="102"/>
        <v>1.7890981699348218</v>
      </c>
      <c r="O82" s="17">
        <f t="shared" si="102"/>
        <v>-1.7482532143148655</v>
      </c>
      <c r="P82" s="17">
        <f t="shared" si="102"/>
        <v>0.59613751624627564</v>
      </c>
      <c r="Q82" s="17">
        <f t="shared" ref="Q82:Q107" si="103">IF(AND(Q$6-O$6 &lt;&gt; 0,O8&lt;&gt;0,Q8&lt;&gt;0),(EXP(LN(Q8/O8)/(Q$6-O$6))-1)*100,0)</f>
        <v>-0.19147656488724962</v>
      </c>
      <c r="S82" s="17">
        <f t="shared" ref="S82:S107" si="104">IF($F$6-$D$6 &lt;&gt; 0,(EXP(LN(1+(S45/100))/($F$6-$D$6))-1)*100,0)</f>
        <v>-0.19147656488724962</v>
      </c>
      <c r="T82" s="17">
        <f t="shared" ref="T82:T107" si="105">IF(O8&gt;0,((1+(T8/O8))^(1/($F$6-$D$6))-1)*100,0)</f>
        <v>2.4646081026432176</v>
      </c>
      <c r="U82" s="17">
        <f t="shared" ref="U82:U107" si="106">IF($F$6-$D$6 &lt;&gt; 0,(EXP(LN(1+(U45/100))/($F$6-$D$6))-1)*100,0)</f>
        <v>2.328999089334638</v>
      </c>
      <c r="W82" t="str">
        <f t="shared" ref="W82:W107" si="107">W8</f>
        <v>11 Corporate managers and directors</v>
      </c>
      <c r="X82" s="17">
        <f t="shared" ref="X82:AA107" si="108">IF(AND(Y$6-X$6 &lt;&gt; 0,X8&lt;&gt;0,Y8&lt;&gt;0),(EXP(LN(Y8/X8)/(Y$6-X$6))-1)*100,0)</f>
        <v>6.6545957127819078</v>
      </c>
      <c r="Y82" s="17">
        <f t="shared" si="108"/>
        <v>2.5162507105213283</v>
      </c>
      <c r="Z82" s="17">
        <f t="shared" si="108"/>
        <v>1.9179871198593546E-3</v>
      </c>
      <c r="AA82" s="17">
        <f t="shared" si="108"/>
        <v>1.8559892574296688</v>
      </c>
      <c r="AB82" s="17">
        <f t="shared" ref="AB82:AB107" si="109">IF(AND(AB$6-Z$6 &lt;&gt; 0,Z8&lt;&gt;0,AB8&lt;&gt;0),(EXP(LN(AB8/Z8)/(AB$6-Z$6))-1)*100,0)</f>
        <v>1.2341771770020049</v>
      </c>
      <c r="AD82" s="17">
        <f t="shared" ref="AD82:AD107" si="110">IF($F$6-$D$6 &lt;&gt; 0,(EXP(LN(1+(AD45/100))/($F$6-$D$6))-1)*100,0)</f>
        <v>1.2341771770020049</v>
      </c>
      <c r="AE82" s="17">
        <f t="shared" ref="AE82:AE107" si="111">IF(Z8&gt;0,((1+(AE8/Z8))^(1/($F$6-$D$6))-1)*100,0)</f>
        <v>3.3205863610549002</v>
      </c>
      <c r="AF82" s="17">
        <f t="shared" ref="AF82:AF107" si="112">IF($F$6-$D$6 &lt;&gt; 0,(EXP(LN(1+(AF45/100))/($F$6-$D$6))-1)*100,0)</f>
        <v>4.1273923528957202</v>
      </c>
    </row>
    <row r="83" spans="1:32" x14ac:dyDescent="0.3">
      <c r="A83" t="str">
        <f t="shared" si="95"/>
        <v>12 Other managers and proprietors</v>
      </c>
      <c r="B83" s="17">
        <f t="shared" si="96"/>
        <v>1.2685623629022036</v>
      </c>
      <c r="C83" s="17">
        <f t="shared" si="96"/>
        <v>0.87528605162454642</v>
      </c>
      <c r="D83" s="17">
        <f t="shared" si="96"/>
        <v>4.5324315580559826</v>
      </c>
      <c r="E83" s="17">
        <f t="shared" si="96"/>
        <v>1.5376699127564564</v>
      </c>
      <c r="F83" s="17">
        <f t="shared" si="97"/>
        <v>2.5262673128389146</v>
      </c>
      <c r="H83" s="17">
        <f t="shared" si="98"/>
        <v>2.5262673128389146</v>
      </c>
      <c r="I83" s="17">
        <f t="shared" si="99"/>
        <v>3.7296797968691564</v>
      </c>
      <c r="J83" s="17">
        <f t="shared" si="100"/>
        <v>5.3517055254494572</v>
      </c>
      <c r="K83" s="39"/>
      <c r="L83" t="str">
        <f t="shared" si="101"/>
        <v>12 Other managers and proprietors</v>
      </c>
      <c r="M83" s="17">
        <f t="shared" si="102"/>
        <v>-0.20091795399203027</v>
      </c>
      <c r="N83" s="17">
        <f t="shared" si="102"/>
        <v>1.5092815034182028</v>
      </c>
      <c r="O83" s="17">
        <f t="shared" si="102"/>
        <v>5.1635686425489657</v>
      </c>
      <c r="P83" s="17">
        <f t="shared" si="102"/>
        <v>1.3945973034504178</v>
      </c>
      <c r="Q83" s="17">
        <f t="shared" si="103"/>
        <v>2.6356683801950442</v>
      </c>
      <c r="S83" s="17">
        <f t="shared" si="104"/>
        <v>2.6356683801950442</v>
      </c>
      <c r="T83" s="17">
        <f t="shared" si="105"/>
        <v>3.4803123669220115</v>
      </c>
      <c r="U83" s="17">
        <f t="shared" si="106"/>
        <v>5.2287009709961474</v>
      </c>
      <c r="W83" t="str">
        <f t="shared" si="107"/>
        <v>12 Other managers and proprietors</v>
      </c>
      <c r="X83" s="17">
        <f t="shared" si="108"/>
        <v>3.3651196882885426</v>
      </c>
      <c r="Y83" s="17">
        <f t="shared" si="108"/>
        <v>4.6645038071990719E-2</v>
      </c>
      <c r="Z83" s="17">
        <f t="shared" si="108"/>
        <v>3.6712248752901244</v>
      </c>
      <c r="AA83" s="17">
        <f t="shared" si="108"/>
        <v>1.7383744082723807</v>
      </c>
      <c r="AB83" s="17">
        <f t="shared" si="109"/>
        <v>2.3786203379396742</v>
      </c>
      <c r="AD83" s="17">
        <f t="shared" si="110"/>
        <v>2.3786203379396742</v>
      </c>
      <c r="AE83" s="17">
        <f t="shared" si="111"/>
        <v>4.0479371707741629</v>
      </c>
      <c r="AF83" s="17">
        <f t="shared" si="112"/>
        <v>5.5117842372511605</v>
      </c>
    </row>
    <row r="84" spans="1:32" x14ac:dyDescent="0.3">
      <c r="A84" t="str">
        <f t="shared" si="95"/>
        <v>21 Science, research, engineering and technology professionals</v>
      </c>
      <c r="B84" s="17">
        <f t="shared" si="96"/>
        <v>3.2091850502187214</v>
      </c>
      <c r="C84" s="17">
        <f t="shared" si="96"/>
        <v>3.66812178185838</v>
      </c>
      <c r="D84" s="17">
        <f t="shared" si="96"/>
        <v>1.1614869760490976</v>
      </c>
      <c r="E84" s="17">
        <f t="shared" si="96"/>
        <v>1.0953180924923256</v>
      </c>
      <c r="F84" s="17">
        <f t="shared" si="97"/>
        <v>1.1173695766667269</v>
      </c>
      <c r="H84" s="17">
        <f t="shared" si="98"/>
        <v>1.1173695766667269</v>
      </c>
      <c r="I84" s="17">
        <f t="shared" si="99"/>
        <v>2.3013338504536129</v>
      </c>
      <c r="J84" s="17">
        <f t="shared" si="100"/>
        <v>3.1317519469639565</v>
      </c>
      <c r="K84" s="39"/>
      <c r="L84" t="str">
        <f t="shared" si="101"/>
        <v>21 Science, research, engineering and technology professionals</v>
      </c>
      <c r="M84" s="17">
        <f t="shared" si="102"/>
        <v>3.4665984171099007</v>
      </c>
      <c r="N84" s="17">
        <f t="shared" si="102"/>
        <v>-0.70064199921177073</v>
      </c>
      <c r="O84" s="17">
        <f t="shared" si="102"/>
        <v>0.52096598391233595</v>
      </c>
      <c r="P84" s="17">
        <f t="shared" si="102"/>
        <v>0.8128866836966786</v>
      </c>
      <c r="Q84" s="17">
        <f t="shared" si="103"/>
        <v>0.71548570954067525</v>
      </c>
      <c r="S84" s="17">
        <f t="shared" si="104"/>
        <v>0.71548570954067525</v>
      </c>
      <c r="T84" s="17">
        <f t="shared" si="105"/>
        <v>1.9879811319836627</v>
      </c>
      <c r="U84" s="17">
        <f t="shared" si="106"/>
        <v>2.5379378227885496</v>
      </c>
      <c r="W84" t="str">
        <f t="shared" si="107"/>
        <v>21 Science, research, engineering and technology professionals</v>
      </c>
      <c r="X84" s="17">
        <f t="shared" si="108"/>
        <v>2.1271872588047636</v>
      </c>
      <c r="Y84" s="17">
        <f t="shared" si="108"/>
        <v>22.640829064964962</v>
      </c>
      <c r="Z84" s="17">
        <f t="shared" si="108"/>
        <v>3.2936016006449575</v>
      </c>
      <c r="AA84" s="17">
        <f t="shared" si="108"/>
        <v>1.9203213266786534</v>
      </c>
      <c r="AB84" s="17">
        <f t="shared" si="109"/>
        <v>2.3760407092544789</v>
      </c>
      <c r="AD84" s="17">
        <f t="shared" si="110"/>
        <v>2.3760407092544789</v>
      </c>
      <c r="AE84" s="17">
        <f t="shared" si="111"/>
        <v>3.3075342318002576</v>
      </c>
      <c r="AF84" s="17">
        <f t="shared" si="112"/>
        <v>4.90696174011509</v>
      </c>
    </row>
    <row r="85" spans="1:32" x14ac:dyDescent="0.3">
      <c r="A85" t="str">
        <f t="shared" si="95"/>
        <v>22 Health professionals</v>
      </c>
      <c r="B85" s="17">
        <f t="shared" si="96"/>
        <v>4.8913324147453086</v>
      </c>
      <c r="C85" s="17">
        <f t="shared" si="96"/>
        <v>-2.7037755832725385</v>
      </c>
      <c r="D85" s="17">
        <f t="shared" si="96"/>
        <v>1.636849948441732</v>
      </c>
      <c r="E85" s="17">
        <f t="shared" si="96"/>
        <v>1.1656074371462877</v>
      </c>
      <c r="F85" s="17">
        <f t="shared" si="97"/>
        <v>1.3224450025044021</v>
      </c>
      <c r="H85" s="17">
        <f t="shared" si="98"/>
        <v>1.3224450025044021</v>
      </c>
      <c r="I85" s="17">
        <f t="shared" si="99"/>
        <v>3.1802681293240598</v>
      </c>
      <c r="J85" s="17">
        <f t="shared" si="100"/>
        <v>4.0623157064566984</v>
      </c>
      <c r="K85" s="39"/>
      <c r="L85" t="str">
        <f t="shared" si="101"/>
        <v>22 Health professionals</v>
      </c>
      <c r="M85" s="17">
        <f t="shared" si="102"/>
        <v>3.0189637577894279</v>
      </c>
      <c r="N85" s="17">
        <f t="shared" si="102"/>
        <v>-1.7147221091821652</v>
      </c>
      <c r="O85" s="17">
        <f t="shared" si="102"/>
        <v>1.7179875999573158</v>
      </c>
      <c r="P85" s="17">
        <f t="shared" si="102"/>
        <v>1.2187690862527134</v>
      </c>
      <c r="Q85" s="17">
        <f t="shared" si="103"/>
        <v>1.3849024287609701</v>
      </c>
      <c r="S85" s="17">
        <f t="shared" si="104"/>
        <v>1.3849024287609701</v>
      </c>
      <c r="T85" s="17">
        <f t="shared" si="105"/>
        <v>2.410524232211908</v>
      </c>
      <c r="U85" s="17">
        <f t="shared" si="106"/>
        <v>3.4306279284714192</v>
      </c>
      <c r="W85" t="str">
        <f t="shared" si="107"/>
        <v>22 Health professionals</v>
      </c>
      <c r="X85" s="17">
        <f t="shared" si="108"/>
        <v>5.6073007601197489</v>
      </c>
      <c r="Y85" s="17">
        <f t="shared" si="108"/>
        <v>-3.0591652719768492</v>
      </c>
      <c r="Z85" s="17">
        <f t="shared" si="108"/>
        <v>1.6072264897563304</v>
      </c>
      <c r="AA85" s="17">
        <f t="shared" si="108"/>
        <v>1.1460714394252447</v>
      </c>
      <c r="AB85" s="17">
        <f t="shared" si="109"/>
        <v>1.2995567635723848</v>
      </c>
      <c r="AD85" s="17">
        <f t="shared" si="110"/>
        <v>1.2995567635723848</v>
      </c>
      <c r="AE85" s="17">
        <f t="shared" si="111"/>
        <v>3.4418173509025651</v>
      </c>
      <c r="AF85" s="17">
        <f t="shared" si="112"/>
        <v>4.2797095733513313</v>
      </c>
    </row>
    <row r="86" spans="1:32" x14ac:dyDescent="0.3">
      <c r="A86" t="str">
        <f t="shared" si="95"/>
        <v>23 Teaching and other educational professionals</v>
      </c>
      <c r="B86" s="17">
        <f t="shared" si="96"/>
        <v>3.0886410363357486</v>
      </c>
      <c r="C86" s="17">
        <f t="shared" si="96"/>
        <v>3.9827760828011316</v>
      </c>
      <c r="D86" s="17">
        <f t="shared" si="96"/>
        <v>0.68379353951866229</v>
      </c>
      <c r="E86" s="17">
        <f t="shared" si="96"/>
        <v>0.83748109416046379</v>
      </c>
      <c r="F86" s="17">
        <f t="shared" si="97"/>
        <v>0.78622586089196478</v>
      </c>
      <c r="H86" s="17">
        <f t="shared" si="98"/>
        <v>0.78622586089196478</v>
      </c>
      <c r="I86" s="17">
        <f t="shared" si="99"/>
        <v>2.9135275898406698</v>
      </c>
      <c r="J86" s="17">
        <f t="shared" si="100"/>
        <v>3.4494361458276224</v>
      </c>
      <c r="K86" s="39"/>
      <c r="L86" t="str">
        <f t="shared" si="101"/>
        <v>23 Teaching and other educational professionals</v>
      </c>
      <c r="M86" s="17">
        <f t="shared" si="102"/>
        <v>-0.17751696769705561</v>
      </c>
      <c r="N86" s="17">
        <f t="shared" si="102"/>
        <v>7.141477943224106</v>
      </c>
      <c r="O86" s="17">
        <f t="shared" si="102"/>
        <v>1.3588367160277892</v>
      </c>
      <c r="P86" s="17">
        <f t="shared" si="102"/>
        <v>0.74577062664702432</v>
      </c>
      <c r="Q86" s="17">
        <f t="shared" si="103"/>
        <v>0.94971286570770808</v>
      </c>
      <c r="S86" s="17">
        <f t="shared" si="104"/>
        <v>0.94971286570770808</v>
      </c>
      <c r="T86" s="17">
        <f t="shared" si="105"/>
        <v>2.5475718030291139</v>
      </c>
      <c r="U86" s="17">
        <f t="shared" si="106"/>
        <v>3.2290036522105936</v>
      </c>
      <c r="W86" t="str">
        <f t="shared" si="107"/>
        <v>23 Teaching and other educational professionals</v>
      </c>
      <c r="X86" s="17">
        <f t="shared" si="108"/>
        <v>4.7647168675143181</v>
      </c>
      <c r="Y86" s="17">
        <f t="shared" si="108"/>
        <v>2.5469967338589194</v>
      </c>
      <c r="Z86" s="17">
        <f t="shared" si="108"/>
        <v>0.35676168499834127</v>
      </c>
      <c r="AA86" s="17">
        <f t="shared" si="108"/>
        <v>0.88297454921375529</v>
      </c>
      <c r="AB86" s="17">
        <f t="shared" si="109"/>
        <v>0.70726440049677652</v>
      </c>
      <c r="AD86" s="17">
        <f t="shared" si="110"/>
        <v>0.70726440049677652</v>
      </c>
      <c r="AE86" s="17">
        <f t="shared" si="111"/>
        <v>3.0811400313019766</v>
      </c>
      <c r="AF86" s="17">
        <f t="shared" si="112"/>
        <v>3.5518622361242702</v>
      </c>
    </row>
    <row r="87" spans="1:32" x14ac:dyDescent="0.3">
      <c r="A87" t="str">
        <f t="shared" si="95"/>
        <v>24 Business, media and public service professionals</v>
      </c>
      <c r="B87" s="17">
        <f t="shared" si="96"/>
        <v>4.141540111299058</v>
      </c>
      <c r="C87" s="17">
        <f t="shared" si="96"/>
        <v>7.6290069122947779</v>
      </c>
      <c r="D87" s="17">
        <f t="shared" si="96"/>
        <v>2.4247232170426569</v>
      </c>
      <c r="E87" s="17">
        <f t="shared" si="96"/>
        <v>1.3395957899927424</v>
      </c>
      <c r="F87" s="17">
        <f t="shared" si="97"/>
        <v>1.7000215177650269</v>
      </c>
      <c r="H87" s="17">
        <f t="shared" si="98"/>
        <v>1.7000215177650269</v>
      </c>
      <c r="I87" s="17">
        <f t="shared" si="99"/>
        <v>2.9937818673496874</v>
      </c>
      <c r="J87" s="17">
        <f t="shared" si="100"/>
        <v>4.1649183585939831</v>
      </c>
      <c r="K87" s="39"/>
      <c r="L87" t="str">
        <f t="shared" si="101"/>
        <v>24 Business, media and public service professionals</v>
      </c>
      <c r="M87" s="17">
        <f t="shared" si="102"/>
        <v>3.0825183341120832</v>
      </c>
      <c r="N87" s="17">
        <f t="shared" si="102"/>
        <v>5.5722790942796419</v>
      </c>
      <c r="O87" s="17">
        <f t="shared" si="102"/>
        <v>2.6186798356388152</v>
      </c>
      <c r="P87" s="17">
        <f t="shared" si="102"/>
        <v>1.0238964376549253</v>
      </c>
      <c r="Q87" s="17">
        <f t="shared" si="103"/>
        <v>1.5527178954659604</v>
      </c>
      <c r="S87" s="17">
        <f t="shared" si="104"/>
        <v>1.5527178954659604</v>
      </c>
      <c r="T87" s="17">
        <f t="shared" si="105"/>
        <v>2.7003639336313778</v>
      </c>
      <c r="U87" s="17">
        <f t="shared" si="106"/>
        <v>3.8066086034723501</v>
      </c>
      <c r="W87" t="str">
        <f t="shared" si="107"/>
        <v>24 Business, media and public service professionals</v>
      </c>
      <c r="X87" s="17">
        <f t="shared" si="108"/>
        <v>5.70008116084324</v>
      </c>
      <c r="Y87" s="17">
        <f t="shared" si="108"/>
        <v>10.472131960204113</v>
      </c>
      <c r="Z87" s="17">
        <f t="shared" si="108"/>
        <v>2.1662248278835339</v>
      </c>
      <c r="AA87" s="17">
        <f t="shared" si="108"/>
        <v>1.7523875272338785</v>
      </c>
      <c r="AB87" s="17">
        <f t="shared" si="109"/>
        <v>1.890146702380302</v>
      </c>
      <c r="AD87" s="17">
        <f t="shared" si="110"/>
        <v>1.890146702380302</v>
      </c>
      <c r="AE87" s="17">
        <f t="shared" si="111"/>
        <v>3.3642867822369471</v>
      </c>
      <c r="AF87" s="17">
        <f t="shared" si="112"/>
        <v>4.6132670953868082</v>
      </c>
    </row>
    <row r="88" spans="1:32" x14ac:dyDescent="0.3">
      <c r="A88" t="str">
        <f t="shared" si="95"/>
        <v>31 Science, engineering and technology associate professionals</v>
      </c>
      <c r="B88" s="17">
        <f t="shared" si="96"/>
        <v>4.0565450152002969</v>
      </c>
      <c r="C88" s="17">
        <f t="shared" si="96"/>
        <v>9.5210342096734948</v>
      </c>
      <c r="D88" s="17">
        <f t="shared" si="96"/>
        <v>-2.3199375081135565</v>
      </c>
      <c r="E88" s="17">
        <f t="shared" si="96"/>
        <v>0.82827668106455477</v>
      </c>
      <c r="F88" s="17">
        <f t="shared" si="97"/>
        <v>-0.23224358115438992</v>
      </c>
      <c r="H88" s="17">
        <f t="shared" si="98"/>
        <v>-0.23224358115438992</v>
      </c>
      <c r="I88" s="17">
        <f t="shared" si="99"/>
        <v>2.1797260131932727</v>
      </c>
      <c r="J88" s="17">
        <f t="shared" si="100"/>
        <v>2.0087757296076481</v>
      </c>
      <c r="K88" s="39"/>
      <c r="L88" t="str">
        <f t="shared" si="101"/>
        <v>31 Science, engineering and technology associate professionals</v>
      </c>
      <c r="M88" s="17">
        <f t="shared" si="102"/>
        <v>5.0207612200035223</v>
      </c>
      <c r="N88" s="17">
        <f t="shared" si="102"/>
        <v>5.1934615228456993</v>
      </c>
      <c r="O88" s="17">
        <f t="shared" si="102"/>
        <v>-3.5975168376236599</v>
      </c>
      <c r="P88" s="17">
        <f t="shared" si="102"/>
        <v>0.3408073723315308</v>
      </c>
      <c r="Q88" s="17">
        <f t="shared" si="103"/>
        <v>-0.98952720611780176</v>
      </c>
      <c r="S88" s="17">
        <f t="shared" si="104"/>
        <v>-0.98952720611780176</v>
      </c>
      <c r="T88" s="17">
        <f t="shared" si="105"/>
        <v>1.8444417507493593</v>
      </c>
      <c r="U88" s="17">
        <f t="shared" si="106"/>
        <v>1.0914121089363515</v>
      </c>
      <c r="W88" t="str">
        <f t="shared" si="107"/>
        <v>31 Science, engineering and technology associate professionals</v>
      </c>
      <c r="X88" s="17">
        <f t="shared" si="108"/>
        <v>1.4681245289408729</v>
      </c>
      <c r="Y88" s="17">
        <f t="shared" si="108"/>
        <v>22.186399465024188</v>
      </c>
      <c r="Z88" s="17">
        <f t="shared" si="108"/>
        <v>0.63209330887064041</v>
      </c>
      <c r="AA88" s="17">
        <f t="shared" si="108"/>
        <v>1.7583558441691016</v>
      </c>
      <c r="AB88" s="17">
        <f t="shared" si="109"/>
        <v>1.3815413652310093</v>
      </c>
      <c r="AD88" s="17">
        <f t="shared" si="110"/>
        <v>1.3815413652310093</v>
      </c>
      <c r="AE88" s="17">
        <f t="shared" si="111"/>
        <v>2.9620411414031267</v>
      </c>
      <c r="AF88" s="17">
        <f t="shared" si="112"/>
        <v>3.9107534803511701</v>
      </c>
    </row>
    <row r="89" spans="1:32" x14ac:dyDescent="0.3">
      <c r="A89" t="str">
        <f t="shared" si="95"/>
        <v>32 Health and social care associate professionals</v>
      </c>
      <c r="B89" s="17">
        <f t="shared" si="96"/>
        <v>4.3990466722871879</v>
      </c>
      <c r="C89" s="17">
        <f t="shared" si="96"/>
        <v>0.98342793716161836</v>
      </c>
      <c r="D89" s="17">
        <f t="shared" si="96"/>
        <v>0.36834090022106469</v>
      </c>
      <c r="E89" s="17">
        <f t="shared" si="96"/>
        <v>1.209636413786197</v>
      </c>
      <c r="F89" s="17">
        <f t="shared" si="97"/>
        <v>0.92842394661138972</v>
      </c>
      <c r="H89" s="17">
        <f t="shared" si="98"/>
        <v>0.92842394661138972</v>
      </c>
      <c r="I89" s="17">
        <f t="shared" si="99"/>
        <v>3.2828791636696941</v>
      </c>
      <c r="J89" s="17">
        <f t="shared" si="100"/>
        <v>3.8880674591939446</v>
      </c>
      <c r="K89" s="39"/>
      <c r="L89" t="str">
        <f t="shared" si="101"/>
        <v>32 Health and social care associate professionals</v>
      </c>
      <c r="M89" s="17">
        <f t="shared" si="102"/>
        <v>-0.22804171378653093</v>
      </c>
      <c r="N89" s="17">
        <f t="shared" si="102"/>
        <v>3.9096141602080969</v>
      </c>
      <c r="O89" s="17">
        <f t="shared" si="102"/>
        <v>-2.1051117149065268</v>
      </c>
      <c r="P89" s="17">
        <f t="shared" si="102"/>
        <v>0.77402676965112605</v>
      </c>
      <c r="Q89" s="17">
        <f t="shared" si="103"/>
        <v>-0.19497369318987046</v>
      </c>
      <c r="S89" s="17">
        <f t="shared" si="104"/>
        <v>-0.19497369318987046</v>
      </c>
      <c r="T89" s="17">
        <f t="shared" si="105"/>
        <v>2.457152036258381</v>
      </c>
      <c r="U89" s="17">
        <f t="shared" si="106"/>
        <v>2.318934565520836</v>
      </c>
      <c r="W89" t="str">
        <f t="shared" si="107"/>
        <v>32 Health and social care associate professionals</v>
      </c>
      <c r="X89" s="17">
        <f t="shared" si="108"/>
        <v>5.5022469434221177</v>
      </c>
      <c r="Y89" s="17">
        <f t="shared" si="108"/>
        <v>0.37740673306037031</v>
      </c>
      <c r="Z89" s="17">
        <f t="shared" si="108"/>
        <v>0.86812336517159139</v>
      </c>
      <c r="AA89" s="17">
        <f t="shared" si="108"/>
        <v>1.2882357635267905</v>
      </c>
      <c r="AB89" s="17">
        <f t="shared" si="109"/>
        <v>1.1480042392827627</v>
      </c>
      <c r="AD89" s="17">
        <f t="shared" si="110"/>
        <v>1.1480042392827627</v>
      </c>
      <c r="AE89" s="17">
        <f t="shared" si="111"/>
        <v>3.4484639910155268</v>
      </c>
      <c r="AF89" s="17">
        <f t="shared" si="112"/>
        <v>4.1851130883323595</v>
      </c>
    </row>
    <row r="90" spans="1:32" x14ac:dyDescent="0.3">
      <c r="A90" t="str">
        <f t="shared" si="95"/>
        <v>33 Protective service occupations</v>
      </c>
      <c r="B90" s="17">
        <f t="shared" si="96"/>
        <v>-0.48767746775056908</v>
      </c>
      <c r="C90" s="17">
        <f t="shared" si="96"/>
        <v>8.2496483721002036</v>
      </c>
      <c r="D90" s="17">
        <f t="shared" si="96"/>
        <v>4.2345302941747764</v>
      </c>
      <c r="E90" s="17">
        <f t="shared" si="96"/>
        <v>1.8493567027666025</v>
      </c>
      <c r="F90" s="17">
        <f t="shared" si="97"/>
        <v>2.638287682793039</v>
      </c>
      <c r="H90" s="17">
        <f t="shared" si="98"/>
        <v>2.638287682793039</v>
      </c>
      <c r="I90" s="17">
        <f t="shared" si="99"/>
        <v>2.5580756547744166</v>
      </c>
      <c r="J90" s="17">
        <f t="shared" si="100"/>
        <v>4.5117250889503913</v>
      </c>
      <c r="K90" s="39"/>
      <c r="L90" t="str">
        <f t="shared" si="101"/>
        <v>33 Protective service occupations</v>
      </c>
      <c r="M90" s="17">
        <f t="shared" si="102"/>
        <v>-1.3233782955729856</v>
      </c>
      <c r="N90" s="17">
        <f t="shared" si="102"/>
        <v>6.0105042741626757</v>
      </c>
      <c r="O90" s="17">
        <f t="shared" si="102"/>
        <v>3.2210657579410773</v>
      </c>
      <c r="P90" s="17">
        <f t="shared" si="102"/>
        <v>1.0698017658164138</v>
      </c>
      <c r="Q90" s="17">
        <f t="shared" si="103"/>
        <v>1.7818613613375112</v>
      </c>
      <c r="S90" s="17">
        <f t="shared" si="104"/>
        <v>1.7818613613375112</v>
      </c>
      <c r="T90" s="17">
        <f t="shared" si="105"/>
        <v>1.9492646926688062</v>
      </c>
      <c r="U90" s="17">
        <f t="shared" si="106"/>
        <v>3.3495819941182559</v>
      </c>
      <c r="W90" t="str">
        <f t="shared" si="107"/>
        <v>33 Protective service occupations</v>
      </c>
      <c r="X90" s="17">
        <f t="shared" si="108"/>
        <v>1.8135339967434883</v>
      </c>
      <c r="Y90" s="17">
        <f t="shared" si="108"/>
        <v>13.953026820952385</v>
      </c>
      <c r="Z90" s="17">
        <f t="shared" si="108"/>
        <v>6.4900309150504487</v>
      </c>
      <c r="AA90" s="17">
        <f t="shared" si="108"/>
        <v>3.2823737091468574</v>
      </c>
      <c r="AB90" s="17">
        <f t="shared" si="109"/>
        <v>4.3407109259614218</v>
      </c>
      <c r="AD90" s="17">
        <f t="shared" si="110"/>
        <v>4.3407109259614218</v>
      </c>
      <c r="AE90" s="17">
        <f t="shared" si="111"/>
        <v>3.8263756827079387</v>
      </c>
      <c r="AF90" s="17">
        <f t="shared" si="112"/>
        <v>6.7070489098414177</v>
      </c>
    </row>
    <row r="91" spans="1:32" x14ac:dyDescent="0.3">
      <c r="A91" t="str">
        <f t="shared" si="95"/>
        <v>34 Culture, media and sports occupations</v>
      </c>
      <c r="B91" s="17">
        <f t="shared" si="96"/>
        <v>-0.33699808178526691</v>
      </c>
      <c r="C91" s="17">
        <f t="shared" si="96"/>
        <v>20.462366732831395</v>
      </c>
      <c r="D91" s="17">
        <f t="shared" si="96"/>
        <v>-1.0128332054538003</v>
      </c>
      <c r="E91" s="17">
        <f t="shared" si="96"/>
        <v>0.97802668573145901</v>
      </c>
      <c r="F91" s="17">
        <f t="shared" si="97"/>
        <v>0.30999705484293649</v>
      </c>
      <c r="H91" s="17">
        <f t="shared" si="98"/>
        <v>0.30999705484293649</v>
      </c>
      <c r="I91" s="17">
        <f t="shared" si="99"/>
        <v>2.5314246531970896</v>
      </c>
      <c r="J91" s="17">
        <f t="shared" si="100"/>
        <v>2.7513501643637195</v>
      </c>
      <c r="K91" s="39"/>
      <c r="L91" t="str">
        <f t="shared" si="101"/>
        <v>34 Culture, media and sports occupations</v>
      </c>
      <c r="M91" s="17">
        <f t="shared" si="102"/>
        <v>1.0753612364456266</v>
      </c>
      <c r="N91" s="17">
        <f t="shared" si="102"/>
        <v>10.826325311835848</v>
      </c>
      <c r="O91" s="17">
        <f t="shared" si="102"/>
        <v>-0.61185503927363438</v>
      </c>
      <c r="P91" s="17">
        <f t="shared" si="102"/>
        <v>1.0465174624008089</v>
      </c>
      <c r="Q91" s="17">
        <f t="shared" si="103"/>
        <v>0.49067462083389746</v>
      </c>
      <c r="S91" s="17">
        <f t="shared" si="104"/>
        <v>0.49067462083389746</v>
      </c>
      <c r="T91" s="17">
        <f t="shared" si="105"/>
        <v>2.310182727832033</v>
      </c>
      <c r="U91" s="17">
        <f t="shared" si="106"/>
        <v>2.6700825686129637</v>
      </c>
      <c r="W91" t="str">
        <f t="shared" si="107"/>
        <v>34 Culture, media and sports occupations</v>
      </c>
      <c r="X91" s="17">
        <f t="shared" si="108"/>
        <v>-2.1385970447614699</v>
      </c>
      <c r="Y91" s="17">
        <f t="shared" si="108"/>
        <v>33.789379686215113</v>
      </c>
      <c r="Z91" s="17">
        <f t="shared" si="108"/>
        <v>-1.4803497572398405</v>
      </c>
      <c r="AA91" s="17">
        <f t="shared" si="108"/>
        <v>0.89548581352880685</v>
      </c>
      <c r="AB91" s="17">
        <f t="shared" si="109"/>
        <v>9.7241898023159301E-2</v>
      </c>
      <c r="AD91" s="17">
        <f t="shared" si="110"/>
        <v>9.7241898023159301E-2</v>
      </c>
      <c r="AE91" s="17">
        <f t="shared" si="111"/>
        <v>2.776941227416585</v>
      </c>
      <c r="AF91" s="17">
        <f t="shared" si="112"/>
        <v>2.8433624173658467</v>
      </c>
    </row>
    <row r="92" spans="1:32" x14ac:dyDescent="0.3">
      <c r="A92" t="str">
        <f t="shared" si="95"/>
        <v>35 Business and public service associate professionals</v>
      </c>
      <c r="B92" s="17">
        <f t="shared" si="96"/>
        <v>1.7982190406696352</v>
      </c>
      <c r="C92" s="17">
        <f t="shared" si="96"/>
        <v>2.8593617138507721</v>
      </c>
      <c r="D92" s="17">
        <f t="shared" si="96"/>
        <v>-0.56768478435637038</v>
      </c>
      <c r="E92" s="17">
        <f t="shared" si="96"/>
        <v>0.57763351968800336</v>
      </c>
      <c r="F92" s="17">
        <f t="shared" si="97"/>
        <v>0.19440237999988064</v>
      </c>
      <c r="H92" s="17">
        <f t="shared" si="98"/>
        <v>0.19440237999988064</v>
      </c>
      <c r="I92" s="17">
        <f t="shared" si="99"/>
        <v>2.5485091343360855</v>
      </c>
      <c r="J92" s="17">
        <f t="shared" si="100"/>
        <v>2.6857668032800985</v>
      </c>
      <c r="K92" s="39"/>
      <c r="L92" t="str">
        <f t="shared" si="101"/>
        <v>35 Business and public service associate professionals</v>
      </c>
      <c r="M92" s="17">
        <f t="shared" si="102"/>
        <v>0.92408859168497948</v>
      </c>
      <c r="N92" s="17">
        <f t="shared" si="102"/>
        <v>3.6561164056424511</v>
      </c>
      <c r="O92" s="17">
        <f t="shared" si="102"/>
        <v>-1.2042962922139133</v>
      </c>
      <c r="P92" s="17">
        <f t="shared" si="102"/>
        <v>6.8123580362766667E-2</v>
      </c>
      <c r="Q92" s="17">
        <f t="shared" si="103"/>
        <v>-0.35782690763983549</v>
      </c>
      <c r="S92" s="17">
        <f t="shared" si="104"/>
        <v>-0.35782690763983549</v>
      </c>
      <c r="T92" s="17">
        <f t="shared" si="105"/>
        <v>2.1025504857364874</v>
      </c>
      <c r="U92" s="17">
        <f t="shared" si="106"/>
        <v>1.836964183979406</v>
      </c>
      <c r="W92" t="str">
        <f t="shared" si="107"/>
        <v>35 Business and public service associate professionals</v>
      </c>
      <c r="X92" s="17">
        <f t="shared" si="108"/>
        <v>2.8182346786682189</v>
      </c>
      <c r="Y92" s="17">
        <f t="shared" si="108"/>
        <v>1.9718507276736519</v>
      </c>
      <c r="Z92" s="17">
        <f t="shared" si="108"/>
        <v>0.13400891352748356</v>
      </c>
      <c r="AA92" s="17">
        <f t="shared" si="108"/>
        <v>1.0928468581859141</v>
      </c>
      <c r="AB92" s="17">
        <f t="shared" si="109"/>
        <v>0.77221837209531241</v>
      </c>
      <c r="AD92" s="17">
        <f t="shared" si="110"/>
        <v>0.77221837209531241</v>
      </c>
      <c r="AE92" s="17">
        <f t="shared" si="111"/>
        <v>3.0227227450958072</v>
      </c>
      <c r="AF92" s="17">
        <f t="shared" si="112"/>
        <v>3.5414425319645115</v>
      </c>
    </row>
    <row r="93" spans="1:32" x14ac:dyDescent="0.3">
      <c r="A93" t="str">
        <f t="shared" si="95"/>
        <v>41 Administrative occupations</v>
      </c>
      <c r="B93" s="17">
        <f t="shared" si="96"/>
        <v>-0.31895517289198816</v>
      </c>
      <c r="C93" s="17">
        <f t="shared" si="96"/>
        <v>2.1231717364272207</v>
      </c>
      <c r="D93" s="17">
        <f t="shared" si="96"/>
        <v>-1.600510144239764</v>
      </c>
      <c r="E93" s="17">
        <f t="shared" si="96"/>
        <v>-0.58750070447628477</v>
      </c>
      <c r="F93" s="17">
        <f t="shared" si="97"/>
        <v>-0.92632400249459401</v>
      </c>
      <c r="H93" s="17">
        <f t="shared" si="98"/>
        <v>-0.92632400249459401</v>
      </c>
      <c r="I93" s="17">
        <f t="shared" si="99"/>
        <v>2.5513848304858255</v>
      </c>
      <c r="J93" s="17">
        <f t="shared" si="100"/>
        <v>1.9139463900552434</v>
      </c>
      <c r="K93" s="39"/>
      <c r="L93" t="str">
        <f t="shared" si="101"/>
        <v>41 Administrative occupations</v>
      </c>
      <c r="M93" s="17">
        <f t="shared" si="102"/>
        <v>-1.9654882606920832</v>
      </c>
      <c r="N93" s="17">
        <f t="shared" si="102"/>
        <v>18.919555569009038</v>
      </c>
      <c r="O93" s="17">
        <f t="shared" si="102"/>
        <v>-0.92586567919864526</v>
      </c>
      <c r="P93" s="17">
        <f t="shared" si="102"/>
        <v>0.82220545596822792</v>
      </c>
      <c r="Q93" s="17">
        <f t="shared" si="103"/>
        <v>0.23611466787465396</v>
      </c>
      <c r="S93" s="17">
        <f t="shared" si="104"/>
        <v>0.23611466787465396</v>
      </c>
      <c r="T93" s="17">
        <f t="shared" si="105"/>
        <v>2.098733425176369</v>
      </c>
      <c r="U93" s="17">
        <f t="shared" si="106"/>
        <v>2.2760473514708002</v>
      </c>
      <c r="W93" t="str">
        <f t="shared" si="107"/>
        <v>41 Administrative occupations</v>
      </c>
      <c r="X93" s="17">
        <f t="shared" si="108"/>
        <v>0.24614801424820421</v>
      </c>
      <c r="Y93" s="17">
        <f t="shared" si="108"/>
        <v>-3.3279351990792461</v>
      </c>
      <c r="Z93" s="17">
        <f t="shared" si="108"/>
        <v>-1.8750940673468608</v>
      </c>
      <c r="AA93" s="17">
        <f t="shared" si="108"/>
        <v>-1.2358964902231429</v>
      </c>
      <c r="AB93" s="17">
        <f t="shared" si="109"/>
        <v>-1.4494236605404609</v>
      </c>
      <c r="AD93" s="17">
        <f t="shared" si="110"/>
        <v>-1.4494236605404609</v>
      </c>
      <c r="AE93" s="17">
        <f t="shared" si="111"/>
        <v>2.7245559322389257</v>
      </c>
      <c r="AF93" s="17">
        <f t="shared" si="112"/>
        <v>1.7642037893911722</v>
      </c>
    </row>
    <row r="94" spans="1:32" x14ac:dyDescent="0.3">
      <c r="A94" t="str">
        <f t="shared" si="95"/>
        <v>42 Secretarial and related occupations</v>
      </c>
      <c r="B94" s="17">
        <f t="shared" si="96"/>
        <v>-1.3053218952650325</v>
      </c>
      <c r="C94" s="17">
        <f t="shared" si="96"/>
        <v>-3.9191149583032714</v>
      </c>
      <c r="D94" s="17">
        <f t="shared" si="96"/>
        <v>0.74447036924705223</v>
      </c>
      <c r="E94" s="17">
        <f t="shared" si="96"/>
        <v>-3.0122633068138671</v>
      </c>
      <c r="F94" s="17">
        <f t="shared" si="97"/>
        <v>-1.7758477550489871</v>
      </c>
      <c r="H94" s="17">
        <f t="shared" si="98"/>
        <v>-1.7758477550489871</v>
      </c>
      <c r="I94" s="17">
        <f t="shared" si="99"/>
        <v>2.7483691358191953</v>
      </c>
      <c r="J94" s="17">
        <f t="shared" si="100"/>
        <v>1.5856977630225755</v>
      </c>
      <c r="K94" s="39"/>
      <c r="L94" t="str">
        <f t="shared" si="101"/>
        <v>42 Secretarial and related occupations</v>
      </c>
      <c r="M94" s="17">
        <f t="shared" si="102"/>
        <v>-6.8604623441230856</v>
      </c>
      <c r="N94" s="17">
        <f t="shared" si="102"/>
        <v>-2.0409524150650116</v>
      </c>
      <c r="O94" s="17">
        <f t="shared" si="102"/>
        <v>5.2748162819397093</v>
      </c>
      <c r="P94" s="17">
        <f t="shared" si="102"/>
        <v>1.872630035095213</v>
      </c>
      <c r="Q94" s="17">
        <f t="shared" si="103"/>
        <v>2.9942967009615629</v>
      </c>
      <c r="S94" s="17">
        <f t="shared" si="104"/>
        <v>2.9942967009615629</v>
      </c>
      <c r="T94" s="17">
        <f t="shared" si="105"/>
        <v>2.4655913176185429</v>
      </c>
      <c r="U94" s="17">
        <f t="shared" si="106"/>
        <v>4.7213661297565102</v>
      </c>
      <c r="W94" t="str">
        <f t="shared" si="107"/>
        <v>42 Secretarial and related occupations</v>
      </c>
      <c r="X94" s="17">
        <f t="shared" si="108"/>
        <v>-0.99346533124164971</v>
      </c>
      <c r="Y94" s="17">
        <f t="shared" si="108"/>
        <v>-4.0094301332531002</v>
      </c>
      <c r="Z94" s="17">
        <f t="shared" si="108"/>
        <v>0.50005491302291816</v>
      </c>
      <c r="AA94" s="17">
        <f t="shared" si="108"/>
        <v>-3.4000933293856117</v>
      </c>
      <c r="AB94" s="17">
        <f t="shared" si="109"/>
        <v>-2.1171579044743649</v>
      </c>
      <c r="AD94" s="17">
        <f t="shared" si="110"/>
        <v>-2.1171579044743649</v>
      </c>
      <c r="AE94" s="17">
        <f t="shared" si="111"/>
        <v>2.7619691393661716</v>
      </c>
      <c r="AF94" s="17">
        <f t="shared" si="112"/>
        <v>1.3910960159980723</v>
      </c>
    </row>
    <row r="95" spans="1:32" x14ac:dyDescent="0.3">
      <c r="A95" t="str">
        <f t="shared" si="95"/>
        <v>51 Skilled agricultural and related trades</v>
      </c>
      <c r="B95" s="17">
        <f t="shared" si="96"/>
        <v>1.7272946971365499</v>
      </c>
      <c r="C95" s="17">
        <f t="shared" si="96"/>
        <v>-33.889084242176473</v>
      </c>
      <c r="D95" s="17">
        <f t="shared" si="96"/>
        <v>1.2094682270315404</v>
      </c>
      <c r="E95" s="17">
        <f t="shared" si="96"/>
        <v>1.5546996263950286</v>
      </c>
      <c r="F95" s="17">
        <f t="shared" si="97"/>
        <v>1.4394918463066508</v>
      </c>
      <c r="H95" s="17">
        <f t="shared" si="98"/>
        <v>1.4394918463066508</v>
      </c>
      <c r="I95" s="17">
        <f t="shared" si="99"/>
        <v>3.2731952357356597</v>
      </c>
      <c r="J95" s="17">
        <f t="shared" si="100"/>
        <v>4.2247547082050696</v>
      </c>
      <c r="K95" s="39"/>
      <c r="L95" t="str">
        <f t="shared" si="101"/>
        <v>51 Skilled agricultural and related trades</v>
      </c>
      <c r="M95" s="17">
        <f t="shared" si="102"/>
        <v>1.0661610931787635</v>
      </c>
      <c r="N95" s="17">
        <f t="shared" si="102"/>
        <v>-39.495709463538908</v>
      </c>
      <c r="O95" s="17">
        <f t="shared" si="102"/>
        <v>0.62570245825657178</v>
      </c>
      <c r="P95" s="17">
        <f t="shared" si="102"/>
        <v>1.314516384654052</v>
      </c>
      <c r="Q95" s="17">
        <f t="shared" si="103"/>
        <v>1.084389425261012</v>
      </c>
      <c r="S95" s="17">
        <f t="shared" si="104"/>
        <v>1.084389425261012</v>
      </c>
      <c r="T95" s="17">
        <f t="shared" si="105"/>
        <v>2.9702525856795559</v>
      </c>
      <c r="U95" s="17">
        <f t="shared" si="106"/>
        <v>3.7090723031835804</v>
      </c>
      <c r="W95" t="str">
        <f t="shared" si="107"/>
        <v>51 Skilled agricultural and related trades</v>
      </c>
      <c r="X95" s="17">
        <f t="shared" si="108"/>
        <v>5.2587684595650996</v>
      </c>
      <c r="Y95" s="17">
        <f t="shared" si="108"/>
        <v>-6.8157646570614405</v>
      </c>
      <c r="Z95" s="17">
        <f t="shared" si="108"/>
        <v>2.9573524671131279</v>
      </c>
      <c r="AA95" s="17">
        <f t="shared" si="108"/>
        <v>2.2003669240205692</v>
      </c>
      <c r="AB95" s="17">
        <f t="shared" si="109"/>
        <v>2.4520750005974756</v>
      </c>
      <c r="AD95" s="17">
        <f t="shared" si="110"/>
        <v>2.4520750005974756</v>
      </c>
      <c r="AE95" s="17">
        <f t="shared" si="111"/>
        <v>4.1497221410055518</v>
      </c>
      <c r="AF95" s="17">
        <f t="shared" si="112"/>
        <v>5.6433165106661409</v>
      </c>
    </row>
    <row r="96" spans="1:32" x14ac:dyDescent="0.3">
      <c r="A96" t="str">
        <f t="shared" si="95"/>
        <v>52 Skilled metal, electrical and electronic trades</v>
      </c>
      <c r="B96" s="17">
        <f t="shared" si="96"/>
        <v>-0.84061021362822341</v>
      </c>
      <c r="C96" s="17">
        <f t="shared" si="96"/>
        <v>-11.974950608421564</v>
      </c>
      <c r="D96" s="17">
        <f t="shared" si="96"/>
        <v>0.48572165156819391</v>
      </c>
      <c r="E96" s="17">
        <f t="shared" si="96"/>
        <v>-0.31501287804104328</v>
      </c>
      <c r="F96" s="17">
        <f t="shared" si="97"/>
        <v>-4.8812864721137217E-2</v>
      </c>
      <c r="H96" s="17">
        <f t="shared" si="98"/>
        <v>-4.8812864721137217E-2</v>
      </c>
      <c r="I96" s="17">
        <f t="shared" si="99"/>
        <v>2.2076661456792213</v>
      </c>
      <c r="J96" s="17">
        <f t="shared" si="100"/>
        <v>2.1717449749376616</v>
      </c>
      <c r="K96" s="39"/>
      <c r="L96" t="str">
        <f t="shared" si="101"/>
        <v>52 Skilled metal, electrical and electronic trades</v>
      </c>
      <c r="M96" s="17">
        <f t="shared" si="102"/>
        <v>-1.1373841440901145</v>
      </c>
      <c r="N96" s="17">
        <f t="shared" si="102"/>
        <v>-11.687477329423167</v>
      </c>
      <c r="O96" s="17">
        <f t="shared" si="102"/>
        <v>-0.21921952912576925</v>
      </c>
      <c r="P96" s="17">
        <f t="shared" si="102"/>
        <v>-0.47534599494714058</v>
      </c>
      <c r="Q96" s="17">
        <f t="shared" si="103"/>
        <v>-0.39004363968344613</v>
      </c>
      <c r="S96" s="17">
        <f t="shared" si="104"/>
        <v>-0.39004363968344613</v>
      </c>
      <c r="T96" s="17">
        <f t="shared" si="105"/>
        <v>2.0783255604005069</v>
      </c>
      <c r="U96" s="17">
        <f t="shared" si="106"/>
        <v>1.7880236171755826</v>
      </c>
      <c r="W96" t="str">
        <f t="shared" si="107"/>
        <v>52 Skilled metal, electrical and electronic trades</v>
      </c>
      <c r="X96" s="17">
        <f t="shared" si="108"/>
        <v>12.08919630305032</v>
      </c>
      <c r="Y96" s="17">
        <f t="shared" si="108"/>
        <v>-21.211317084536397</v>
      </c>
      <c r="Z96" s="17">
        <f t="shared" si="108"/>
        <v>18.133153258463764</v>
      </c>
      <c r="AA96" s="17">
        <f t="shared" si="108"/>
        <v>1.9117333333614095</v>
      </c>
      <c r="AB96" s="17">
        <f t="shared" si="109"/>
        <v>7.054942932133379</v>
      </c>
      <c r="AD96" s="17">
        <f t="shared" si="110"/>
        <v>7.054942932133379</v>
      </c>
      <c r="AE96" s="17">
        <f t="shared" si="111"/>
        <v>5.7943279848383655</v>
      </c>
      <c r="AF96" s="17">
        <f t="shared" si="112"/>
        <v>9.8776700802543296</v>
      </c>
    </row>
    <row r="97" spans="1:32" x14ac:dyDescent="0.3">
      <c r="A97" t="str">
        <f t="shared" si="95"/>
        <v>53 Skilled construction and building trades</v>
      </c>
      <c r="B97" s="17">
        <f t="shared" si="96"/>
        <v>-3.3693095410391116</v>
      </c>
      <c r="C97" s="17">
        <f t="shared" si="96"/>
        <v>-1.4923055565918442</v>
      </c>
      <c r="D97" s="17">
        <f t="shared" si="96"/>
        <v>1.254852432916409</v>
      </c>
      <c r="E97" s="17">
        <f t="shared" si="96"/>
        <v>-0.8743057668471943</v>
      </c>
      <c r="F97" s="17">
        <f t="shared" si="97"/>
        <v>-0.16960802858529966</v>
      </c>
      <c r="H97" s="17">
        <f t="shared" si="98"/>
        <v>-0.16960802858529966</v>
      </c>
      <c r="I97" s="17">
        <f t="shared" si="99"/>
        <v>2.4412363156151695</v>
      </c>
      <c r="J97" s="17">
        <f t="shared" si="100"/>
        <v>2.3206703904410819</v>
      </c>
      <c r="K97" s="39"/>
      <c r="L97" t="str">
        <f t="shared" si="101"/>
        <v>53 Skilled construction and building trades</v>
      </c>
      <c r="M97" s="17">
        <f t="shared" si="102"/>
        <v>-3.5499004635839881</v>
      </c>
      <c r="N97" s="17">
        <f t="shared" si="102"/>
        <v>-2.1257691307481341</v>
      </c>
      <c r="O97" s="17">
        <f t="shared" si="102"/>
        <v>1.2564093864144033</v>
      </c>
      <c r="P97" s="17">
        <f t="shared" si="102"/>
        <v>-0.96711084561281746</v>
      </c>
      <c r="Q97" s="17">
        <f t="shared" si="103"/>
        <v>-0.23141628902362266</v>
      </c>
      <c r="S97" s="17">
        <f t="shared" si="104"/>
        <v>-0.23141628902362266</v>
      </c>
      <c r="T97" s="17">
        <f t="shared" si="105"/>
        <v>2.4199118942377584</v>
      </c>
      <c r="U97" s="17">
        <f t="shared" si="106"/>
        <v>2.2551431190636961</v>
      </c>
      <c r="W97" t="str">
        <f t="shared" si="107"/>
        <v>53 Skilled construction and building trades</v>
      </c>
      <c r="X97" s="17">
        <f t="shared" si="108"/>
        <v>8.9555810515229428</v>
      </c>
      <c r="Y97" s="17">
        <f t="shared" si="108"/>
        <v>30.669794945888064</v>
      </c>
      <c r="Z97" s="17">
        <f t="shared" si="108"/>
        <v>1.195571718003352</v>
      </c>
      <c r="AA97" s="17">
        <f t="shared" si="108"/>
        <v>2.1879791691678196</v>
      </c>
      <c r="AB97" s="17">
        <f t="shared" si="109"/>
        <v>1.8560999976970916</v>
      </c>
      <c r="AD97" s="17">
        <f t="shared" si="110"/>
        <v>1.8560999976970916</v>
      </c>
      <c r="AE97" s="17">
        <f t="shared" si="111"/>
        <v>3.2093485837174862</v>
      </c>
      <c r="AF97" s="17">
        <f t="shared" si="112"/>
        <v>4.4586043834917932</v>
      </c>
    </row>
    <row r="98" spans="1:32" x14ac:dyDescent="0.3">
      <c r="A98" t="str">
        <f t="shared" si="95"/>
        <v>54 Textiles, printing and other skilled trades</v>
      </c>
      <c r="B98" s="17">
        <f t="shared" si="96"/>
        <v>-3.3642156622265995</v>
      </c>
      <c r="C98" s="17">
        <f t="shared" si="96"/>
        <v>-2.7578818341652767</v>
      </c>
      <c r="D98" s="17">
        <f t="shared" si="96"/>
        <v>0.22125745816372611</v>
      </c>
      <c r="E98" s="17">
        <f t="shared" si="96"/>
        <v>0.27060417830000461</v>
      </c>
      <c r="F98" s="17">
        <f t="shared" si="97"/>
        <v>0.25415257248648793</v>
      </c>
      <c r="H98" s="17">
        <f t="shared" si="98"/>
        <v>0.25415257248648793</v>
      </c>
      <c r="I98" s="17">
        <f t="shared" si="99"/>
        <v>2.4858721501148873</v>
      </c>
      <c r="J98" s="17">
        <f t="shared" si="100"/>
        <v>2.6670722028258487</v>
      </c>
      <c r="K98" s="39"/>
      <c r="L98" t="str">
        <f t="shared" si="101"/>
        <v>54 Textiles, printing and other skilled trades</v>
      </c>
      <c r="M98" s="17">
        <f t="shared" si="102"/>
        <v>-4.7705654537488211</v>
      </c>
      <c r="N98" s="17">
        <f t="shared" si="102"/>
        <v>-7.4781020496537458</v>
      </c>
      <c r="O98" s="17">
        <f t="shared" si="102"/>
        <v>0.15329977209648238</v>
      </c>
      <c r="P98" s="17">
        <f t="shared" si="102"/>
        <v>-1.2099687763245104E-2</v>
      </c>
      <c r="Q98" s="17">
        <f t="shared" si="103"/>
        <v>4.3003093106119827E-2</v>
      </c>
      <c r="S98" s="17">
        <f t="shared" si="104"/>
        <v>4.3003093106119827E-2</v>
      </c>
      <c r="T98" s="17">
        <f t="shared" si="105"/>
        <v>1.8905686110816333</v>
      </c>
      <c r="U98" s="17">
        <f t="shared" si="106"/>
        <v>1.923677420303993</v>
      </c>
      <c r="W98" t="str">
        <f t="shared" si="107"/>
        <v>54 Textiles, printing and other skilled trades</v>
      </c>
      <c r="X98" s="17">
        <f t="shared" si="108"/>
        <v>-1.1131036796178551</v>
      </c>
      <c r="Y98" s="17">
        <f t="shared" si="108"/>
        <v>4.1196521401299036</v>
      </c>
      <c r="Z98" s="17">
        <f t="shared" si="108"/>
        <v>0.30897202533477497</v>
      </c>
      <c r="AA98" s="17">
        <f t="shared" si="108"/>
        <v>0.62358259950763273</v>
      </c>
      <c r="AB98" s="17">
        <f t="shared" si="109"/>
        <v>0.51860292185286205</v>
      </c>
      <c r="AD98" s="17">
        <f t="shared" si="110"/>
        <v>0.51860292185286205</v>
      </c>
      <c r="AE98" s="17">
        <f t="shared" si="111"/>
        <v>3.1910697666013288</v>
      </c>
      <c r="AF98" s="17">
        <f t="shared" si="112"/>
        <v>3.529661732450462</v>
      </c>
    </row>
    <row r="99" spans="1:32" x14ac:dyDescent="0.3">
      <c r="A99" t="str">
        <f t="shared" si="95"/>
        <v>61 Caring personal service occupations</v>
      </c>
      <c r="B99" s="17">
        <f t="shared" si="96"/>
        <v>2.236324548253954</v>
      </c>
      <c r="C99" s="17">
        <f t="shared" si="96"/>
        <v>-3.4130630404966222</v>
      </c>
      <c r="D99" s="17">
        <f t="shared" si="96"/>
        <v>1.7402016371352191</v>
      </c>
      <c r="E99" s="17">
        <f t="shared" si="96"/>
        <v>1.1977906540141081</v>
      </c>
      <c r="F99" s="17">
        <f t="shared" si="97"/>
        <v>1.3782722431169292</v>
      </c>
      <c r="H99" s="17">
        <f t="shared" si="98"/>
        <v>1.3782722431169292</v>
      </c>
      <c r="I99" s="17">
        <f t="shared" si="99"/>
        <v>3.3717831347161997</v>
      </c>
      <c r="J99" s="17">
        <f t="shared" si="100"/>
        <v>4.2701835737586569</v>
      </c>
      <c r="K99" s="39"/>
      <c r="L99" t="str">
        <f t="shared" si="101"/>
        <v>61 Caring personal service occupations</v>
      </c>
      <c r="M99" s="17">
        <f t="shared" si="102"/>
        <v>-0.16566990759023792</v>
      </c>
      <c r="N99" s="17">
        <f t="shared" si="102"/>
        <v>-4.8928116344262751</v>
      </c>
      <c r="O99" s="17">
        <f t="shared" si="102"/>
        <v>4.4903934422148906</v>
      </c>
      <c r="P99" s="17">
        <f t="shared" si="102"/>
        <v>1.9297850298734875</v>
      </c>
      <c r="Q99" s="17">
        <f t="shared" si="103"/>
        <v>2.7762719651685641</v>
      </c>
      <c r="S99" s="17">
        <f t="shared" si="104"/>
        <v>2.7762719651685641</v>
      </c>
      <c r="T99" s="17">
        <f t="shared" si="105"/>
        <v>3.1294437302420208</v>
      </c>
      <c r="U99" s="17">
        <f t="shared" si="106"/>
        <v>5.05581735500642</v>
      </c>
      <c r="W99" t="str">
        <f t="shared" si="107"/>
        <v>61 Caring personal service occupations</v>
      </c>
      <c r="X99" s="17">
        <f t="shared" si="108"/>
        <v>2.6625762556148347</v>
      </c>
      <c r="Y99" s="17">
        <f t="shared" si="108"/>
        <v>-3.1682679380730661</v>
      </c>
      <c r="Z99" s="17">
        <f t="shared" si="108"/>
        <v>1.2640835979982112</v>
      </c>
      <c r="AA99" s="17">
        <f t="shared" si="108"/>
        <v>1.0531156508417183</v>
      </c>
      <c r="AB99" s="17">
        <f t="shared" si="109"/>
        <v>1.1233894191915894</v>
      </c>
      <c r="AD99" s="17">
        <f t="shared" si="110"/>
        <v>1.1233894191915894</v>
      </c>
      <c r="AE99" s="17">
        <f t="shared" si="111"/>
        <v>3.4104184880217936</v>
      </c>
      <c r="AF99" s="17">
        <f t="shared" si="112"/>
        <v>4.1343412877577368</v>
      </c>
    </row>
    <row r="100" spans="1:32" x14ac:dyDescent="0.3">
      <c r="A100" t="str">
        <f t="shared" si="95"/>
        <v>62 Leisure, travel and related personal service occupations</v>
      </c>
      <c r="B100" s="17">
        <f t="shared" si="96"/>
        <v>2.4710372477349196</v>
      </c>
      <c r="C100" s="17">
        <f t="shared" si="96"/>
        <v>-0.12177022473245369</v>
      </c>
      <c r="D100" s="17">
        <f t="shared" si="96"/>
        <v>0.50911915637152916</v>
      </c>
      <c r="E100" s="17">
        <f t="shared" si="96"/>
        <v>0.20716616612559413</v>
      </c>
      <c r="F100" s="17">
        <f t="shared" si="97"/>
        <v>0.30771623498284661</v>
      </c>
      <c r="H100" s="17">
        <f t="shared" si="98"/>
        <v>0.30771623498284661</v>
      </c>
      <c r="I100" s="17">
        <f t="shared" si="99"/>
        <v>2.8534055416853388</v>
      </c>
      <c r="J100" s="17">
        <f t="shared" si="100"/>
        <v>3.0624688575878967</v>
      </c>
      <c r="K100" s="39"/>
      <c r="L100" t="str">
        <f t="shared" si="101"/>
        <v>62 Leisure, travel and related personal service occupations</v>
      </c>
      <c r="M100" s="17">
        <f t="shared" si="102"/>
        <v>3.2188729986887044</v>
      </c>
      <c r="N100" s="17">
        <f t="shared" si="102"/>
        <v>-6.8880760323569712</v>
      </c>
      <c r="O100" s="17">
        <f t="shared" si="102"/>
        <v>0.6211161389455544</v>
      </c>
      <c r="P100" s="17">
        <f t="shared" si="102"/>
        <v>0.86192398334730136</v>
      </c>
      <c r="Q100" s="17">
        <f t="shared" si="103"/>
        <v>0.78159073604386897</v>
      </c>
      <c r="S100" s="17">
        <f t="shared" si="104"/>
        <v>0.78159073604386897</v>
      </c>
      <c r="T100" s="17">
        <f t="shared" si="105"/>
        <v>2.5380426567258363</v>
      </c>
      <c r="U100" s="17">
        <f t="shared" si="106"/>
        <v>3.0975923545624839</v>
      </c>
      <c r="W100" t="str">
        <f t="shared" si="107"/>
        <v>62 Leisure, travel and related personal service occupations</v>
      </c>
      <c r="X100" s="17">
        <f t="shared" si="108"/>
        <v>2.1818569875397431</v>
      </c>
      <c r="Y100" s="17">
        <f t="shared" si="108"/>
        <v>2.561504647598567</v>
      </c>
      <c r="Z100" s="17">
        <f t="shared" si="108"/>
        <v>0.4686747782393974</v>
      </c>
      <c r="AA100" s="17">
        <f t="shared" si="108"/>
        <v>-4.0194580668417856E-2</v>
      </c>
      <c r="AB100" s="17">
        <f t="shared" si="109"/>
        <v>0.12914151454728184</v>
      </c>
      <c r="AD100" s="17">
        <f t="shared" si="110"/>
        <v>0.12914151454728184</v>
      </c>
      <c r="AE100" s="17">
        <f t="shared" si="111"/>
        <v>2.9637078371827608</v>
      </c>
      <c r="AF100" s="17">
        <f t="shared" si="112"/>
        <v>3.0497823311723238</v>
      </c>
    </row>
    <row r="101" spans="1:32" x14ac:dyDescent="0.3">
      <c r="A101" t="str">
        <f t="shared" si="95"/>
        <v>63 Community and civil enforcement occupations</v>
      </c>
      <c r="B101" s="17">
        <f t="shared" si="96"/>
        <v>-4.3703536856110166</v>
      </c>
      <c r="C101" s="17">
        <f t="shared" si="96"/>
        <v>29.962913357901577</v>
      </c>
      <c r="D101" s="17">
        <f t="shared" si="96"/>
        <v>-4.1495745116374323</v>
      </c>
      <c r="E101" s="17">
        <f t="shared" si="96"/>
        <v>0.86145094310414727</v>
      </c>
      <c r="F101" s="17">
        <f t="shared" si="97"/>
        <v>-0.83734275386647683</v>
      </c>
      <c r="H101" s="17">
        <f t="shared" si="98"/>
        <v>-0.83734275386647683</v>
      </c>
      <c r="I101" s="17">
        <f t="shared" si="99"/>
        <v>2.3389178998938664</v>
      </c>
      <c r="J101" s="17">
        <f t="shared" si="100"/>
        <v>1.7437362817694702</v>
      </c>
      <c r="K101" s="39"/>
      <c r="L101" t="str">
        <f t="shared" si="101"/>
        <v>63 Community and civil enforcement occupations</v>
      </c>
      <c r="M101" s="17">
        <f t="shared" si="102"/>
        <v>-7.8461026451581155</v>
      </c>
      <c r="N101" s="17">
        <f t="shared" si="102"/>
        <v>51.365565380033317</v>
      </c>
      <c r="O101" s="17">
        <f t="shared" si="102"/>
        <v>-8.4927891969148188</v>
      </c>
      <c r="P101" s="17">
        <f t="shared" si="102"/>
        <v>1.2527525682067164</v>
      </c>
      <c r="Q101" s="17">
        <f t="shared" si="103"/>
        <v>-2.1059420197447887</v>
      </c>
      <c r="S101" s="17">
        <f t="shared" si="104"/>
        <v>-2.1059420197447887</v>
      </c>
      <c r="T101" s="17">
        <f t="shared" si="105"/>
        <v>1.66494782006541</v>
      </c>
      <c r="U101" s="17">
        <f t="shared" si="106"/>
        <v>5.1417713837564882E-2</v>
      </c>
      <c r="W101" t="str">
        <f t="shared" si="107"/>
        <v>63 Community and civil enforcement occupations</v>
      </c>
      <c r="X101" s="17">
        <f t="shared" si="108"/>
        <v>4.3481533129485328</v>
      </c>
      <c r="Y101" s="17">
        <f t="shared" si="108"/>
        <v>-9.5396942017518356</v>
      </c>
      <c r="Z101" s="17">
        <f t="shared" si="108"/>
        <v>5.8072095965990389</v>
      </c>
      <c r="AA101" s="17">
        <f t="shared" si="108"/>
        <v>0.25001562275754896</v>
      </c>
      <c r="AB101" s="17">
        <f t="shared" si="109"/>
        <v>2.0692020722804072</v>
      </c>
      <c r="AD101" s="17">
        <f t="shared" si="110"/>
        <v>2.0692020722804072</v>
      </c>
      <c r="AE101" s="17">
        <f t="shared" si="111"/>
        <v>4.0986632756764063</v>
      </c>
      <c r="AF101" s="17">
        <f t="shared" si="112"/>
        <v>5.3533323856391091</v>
      </c>
    </row>
    <row r="102" spans="1:32" x14ac:dyDescent="0.3">
      <c r="A102" t="str">
        <f t="shared" si="95"/>
        <v>71 Sales occupations</v>
      </c>
      <c r="B102" s="17">
        <f t="shared" si="96"/>
        <v>-2.867042777129758</v>
      </c>
      <c r="C102" s="17">
        <f t="shared" si="96"/>
        <v>-1.217424630137609</v>
      </c>
      <c r="D102" s="17">
        <f t="shared" si="96"/>
        <v>-1.38852478618261</v>
      </c>
      <c r="E102" s="17">
        <f t="shared" si="96"/>
        <v>-0.52899635878392859</v>
      </c>
      <c r="F102" s="17">
        <f t="shared" si="97"/>
        <v>-0.81633506146870927</v>
      </c>
      <c r="H102" s="17">
        <f t="shared" si="98"/>
        <v>-0.81633506146870927</v>
      </c>
      <c r="I102" s="17">
        <f t="shared" si="99"/>
        <v>2.3743449797231753</v>
      </c>
      <c r="J102" s="17">
        <f t="shared" si="100"/>
        <v>1.7967592498971952</v>
      </c>
      <c r="K102" s="39"/>
      <c r="L102" t="str">
        <f t="shared" si="101"/>
        <v>71 Sales occupations</v>
      </c>
      <c r="M102" s="17">
        <f t="shared" si="102"/>
        <v>-2.2139385106205944</v>
      </c>
      <c r="N102" s="17">
        <f t="shared" si="102"/>
        <v>-0.2067268538488487</v>
      </c>
      <c r="O102" s="17">
        <f t="shared" si="102"/>
        <v>-0.89803860636502586</v>
      </c>
      <c r="P102" s="17">
        <f t="shared" si="102"/>
        <v>-0.18011858707499551</v>
      </c>
      <c r="Q102" s="17">
        <f t="shared" si="103"/>
        <v>-0.42000127375804164</v>
      </c>
      <c r="S102" s="17">
        <f t="shared" si="104"/>
        <v>-0.42000127375804164</v>
      </c>
      <c r="T102" s="17">
        <f t="shared" si="105"/>
        <v>1.8740842333230923</v>
      </c>
      <c r="U102" s="17">
        <f t="shared" si="106"/>
        <v>1.5525669229985439</v>
      </c>
      <c r="W102" t="str">
        <f t="shared" si="107"/>
        <v>71 Sales occupations</v>
      </c>
      <c r="X102" s="17">
        <f t="shared" si="108"/>
        <v>-3.320995508200375</v>
      </c>
      <c r="Y102" s="17">
        <f t="shared" si="108"/>
        <v>-1.9402030067522835</v>
      </c>
      <c r="Z102" s="17">
        <f t="shared" si="108"/>
        <v>-1.7517201203793631</v>
      </c>
      <c r="AA102" s="17">
        <f t="shared" si="108"/>
        <v>-0.80168671491019916</v>
      </c>
      <c r="AB102" s="17">
        <f t="shared" si="109"/>
        <v>-1.1193808831911678</v>
      </c>
      <c r="AD102" s="17">
        <f t="shared" si="110"/>
        <v>-1.1193808831911678</v>
      </c>
      <c r="AE102" s="17">
        <f t="shared" si="111"/>
        <v>2.7180307163591211</v>
      </c>
      <c r="AF102" s="17">
        <f t="shared" si="112"/>
        <v>1.9694557339623886</v>
      </c>
    </row>
    <row r="103" spans="1:32" x14ac:dyDescent="0.3">
      <c r="A103" t="str">
        <f t="shared" si="95"/>
        <v>72 Customer service occupations</v>
      </c>
      <c r="B103" s="17">
        <f t="shared" si="96"/>
        <v>2.2361210024837153</v>
      </c>
      <c r="C103" s="17">
        <f t="shared" si="96"/>
        <v>1.4801496779383694</v>
      </c>
      <c r="D103" s="17">
        <f t="shared" si="96"/>
        <v>5.0862622086514708</v>
      </c>
      <c r="E103" s="17">
        <f t="shared" si="96"/>
        <v>1.4294323872947157</v>
      </c>
      <c r="F103" s="17">
        <f t="shared" si="97"/>
        <v>2.6340133659368936</v>
      </c>
      <c r="H103" s="17">
        <f t="shared" si="98"/>
        <v>2.6340133659368936</v>
      </c>
      <c r="I103" s="17">
        <f t="shared" si="99"/>
        <v>3.2452572908013844</v>
      </c>
      <c r="J103" s="17">
        <f t="shared" si="100"/>
        <v>5.0422580882621526</v>
      </c>
      <c r="K103" s="39"/>
      <c r="L103" t="str">
        <f t="shared" si="101"/>
        <v>72 Customer service occupations</v>
      </c>
      <c r="M103" s="17">
        <f t="shared" si="102"/>
        <v>-2.0811749547370084</v>
      </c>
      <c r="N103" s="17">
        <f t="shared" si="102"/>
        <v>19.18983174140272</v>
      </c>
      <c r="O103" s="17">
        <f t="shared" si="102"/>
        <v>6.6093634873361173</v>
      </c>
      <c r="P103" s="17">
        <f t="shared" si="102"/>
        <v>1.6391155875218555</v>
      </c>
      <c r="Q103" s="17">
        <f t="shared" si="103"/>
        <v>3.2695699296020342</v>
      </c>
      <c r="S103" s="17">
        <f t="shared" si="104"/>
        <v>3.2695699296020342</v>
      </c>
      <c r="T103" s="17">
        <f t="shared" si="105"/>
        <v>2.6612137857378926</v>
      </c>
      <c r="U103" s="17">
        <f t="shared" si="106"/>
        <v>5.080979725053103</v>
      </c>
      <c r="W103" t="str">
        <f t="shared" si="107"/>
        <v>72 Customer service occupations</v>
      </c>
      <c r="X103" s="17">
        <f t="shared" si="108"/>
        <v>4.3169996765424212</v>
      </c>
      <c r="Y103" s="17">
        <f t="shared" si="108"/>
        <v>-5.7998019608953122</v>
      </c>
      <c r="Z103" s="17">
        <f t="shared" si="108"/>
        <v>4.2578048328557827</v>
      </c>
      <c r="AA103" s="17">
        <f t="shared" si="108"/>
        <v>1.3056869116037095</v>
      </c>
      <c r="AB103" s="17">
        <f t="shared" si="109"/>
        <v>2.2803194917755398</v>
      </c>
      <c r="AD103" s="17">
        <f t="shared" si="110"/>
        <v>2.2803194917755398</v>
      </c>
      <c r="AE103" s="17">
        <f t="shared" si="111"/>
        <v>3.5316632684063487</v>
      </c>
      <c r="AF103" s="17">
        <f t="shared" si="112"/>
        <v>5.0220388446656994</v>
      </c>
    </row>
    <row r="104" spans="1:32" x14ac:dyDescent="0.3">
      <c r="A104" t="str">
        <f t="shared" si="95"/>
        <v>81 Process, plant and machine operatives</v>
      </c>
      <c r="B104" s="17">
        <f t="shared" si="96"/>
        <v>-0.86116079149054503</v>
      </c>
      <c r="C104" s="17">
        <f t="shared" si="96"/>
        <v>-11.545828704115058</v>
      </c>
      <c r="D104" s="17">
        <f t="shared" si="96"/>
        <v>4.4857473104930934</v>
      </c>
      <c r="E104" s="17">
        <f t="shared" si="96"/>
        <v>-3.5655370101994599E-2</v>
      </c>
      <c r="F104" s="17">
        <f t="shared" si="97"/>
        <v>1.4493105254052674</v>
      </c>
      <c r="H104" s="17">
        <f t="shared" si="98"/>
        <v>1.4493105254052674</v>
      </c>
      <c r="I104" s="17">
        <f t="shared" si="99"/>
        <v>2.6488345400373703</v>
      </c>
      <c r="J104" s="17">
        <f t="shared" si="100"/>
        <v>3.6859274017759347</v>
      </c>
      <c r="K104" s="39"/>
      <c r="L104" t="str">
        <f t="shared" si="101"/>
        <v>81 Process, plant and machine operatives</v>
      </c>
      <c r="M104" s="17">
        <f t="shared" si="102"/>
        <v>-1.4967096893483745</v>
      </c>
      <c r="N104" s="17">
        <f t="shared" si="102"/>
        <v>-10.062428059104301</v>
      </c>
      <c r="O104" s="17">
        <f t="shared" si="102"/>
        <v>4.2525803656051853</v>
      </c>
      <c r="P104" s="17">
        <f t="shared" si="102"/>
        <v>0.13918084833697275</v>
      </c>
      <c r="Q104" s="17">
        <f t="shared" si="103"/>
        <v>1.4919571285678446</v>
      </c>
      <c r="S104" s="17">
        <f t="shared" si="104"/>
        <v>1.4919571285678446</v>
      </c>
      <c r="T104" s="17">
        <f t="shared" si="105"/>
        <v>2.4639667825946177</v>
      </c>
      <c r="U104" s="17">
        <f t="shared" si="106"/>
        <v>3.5577541826333992</v>
      </c>
      <c r="W104" t="str">
        <f t="shared" si="107"/>
        <v>81 Process, plant and machine operatives</v>
      </c>
      <c r="X104" s="17">
        <f t="shared" si="108"/>
        <v>1.3065204997458446</v>
      </c>
      <c r="Y104" s="17">
        <f t="shared" si="108"/>
        <v>-16.263786151701389</v>
      </c>
      <c r="Z104" s="17">
        <f t="shared" si="108"/>
        <v>5.2669398347051644</v>
      </c>
      <c r="AA104" s="17">
        <f t="shared" si="108"/>
        <v>-0.6245449592021779</v>
      </c>
      <c r="AB104" s="17">
        <f t="shared" si="109"/>
        <v>1.3017045008982375</v>
      </c>
      <c r="AD104" s="17">
        <f t="shared" si="110"/>
        <v>1.3017045008982375</v>
      </c>
      <c r="AE104" s="17">
        <f t="shared" si="111"/>
        <v>3.2473912034171271</v>
      </c>
      <c r="AF104" s="17">
        <f t="shared" si="112"/>
        <v>4.1077756579896318</v>
      </c>
    </row>
    <row r="105" spans="1:32" x14ac:dyDescent="0.3">
      <c r="A105" t="str">
        <f t="shared" si="95"/>
        <v>82 Transport and mobile machine drivers and operatives</v>
      </c>
      <c r="B105" s="17">
        <f t="shared" si="96"/>
        <v>3.553415003750704</v>
      </c>
      <c r="C105" s="17">
        <f t="shared" si="96"/>
        <v>-11.415689305055377</v>
      </c>
      <c r="D105" s="17">
        <f t="shared" si="96"/>
        <v>2.1892659116741875</v>
      </c>
      <c r="E105" s="17">
        <f t="shared" si="96"/>
        <v>0.29804994296043219</v>
      </c>
      <c r="F105" s="17">
        <f t="shared" si="97"/>
        <v>0.92453395931741955</v>
      </c>
      <c r="H105" s="17">
        <f t="shared" si="98"/>
        <v>0.92453395931741955</v>
      </c>
      <c r="I105" s="17">
        <f t="shared" si="99"/>
        <v>3.1324233401119006</v>
      </c>
      <c r="J105" s="17">
        <f t="shared" si="100"/>
        <v>3.7469033864600432</v>
      </c>
      <c r="K105" s="39"/>
      <c r="L105" t="str">
        <f t="shared" si="101"/>
        <v>82 Transport and mobile machine drivers and operatives</v>
      </c>
      <c r="M105" s="17">
        <f t="shared" si="102"/>
        <v>3.7659271420366069</v>
      </c>
      <c r="N105" s="17">
        <f t="shared" si="102"/>
        <v>-12.149745962285696</v>
      </c>
      <c r="O105" s="17">
        <f t="shared" si="102"/>
        <v>1.5505337769796235</v>
      </c>
      <c r="P105" s="17">
        <f t="shared" si="102"/>
        <v>0.14367239465307158</v>
      </c>
      <c r="Q105" s="17">
        <f t="shared" si="103"/>
        <v>0.61044714759745933</v>
      </c>
      <c r="S105" s="17">
        <f t="shared" si="104"/>
        <v>0.61044714759745933</v>
      </c>
      <c r="T105" s="17">
        <f t="shared" si="105"/>
        <v>2.9909146849591783</v>
      </c>
      <c r="U105" s="17">
        <f t="shared" si="106"/>
        <v>3.401088128976637</v>
      </c>
      <c r="W105" t="str">
        <f t="shared" si="107"/>
        <v>82 Transport and mobile machine drivers and operatives</v>
      </c>
      <c r="X105" s="17">
        <f t="shared" si="108"/>
        <v>1.1162989701970938</v>
      </c>
      <c r="Y105" s="17">
        <f t="shared" si="108"/>
        <v>-2.4319142524583226</v>
      </c>
      <c r="Z105" s="17">
        <f t="shared" si="108"/>
        <v>8.3511053421931223</v>
      </c>
      <c r="AA105" s="17">
        <f t="shared" si="108"/>
        <v>1.457590453683788</v>
      </c>
      <c r="AB105" s="17">
        <f t="shared" si="109"/>
        <v>3.7052663675594344</v>
      </c>
      <c r="AD105" s="17">
        <f t="shared" si="110"/>
        <v>3.7052663675594344</v>
      </c>
      <c r="AE105" s="17">
        <f t="shared" si="111"/>
        <v>4.535145795144091</v>
      </c>
      <c r="AF105" s="17">
        <f t="shared" si="112"/>
        <v>6.7688186046626742</v>
      </c>
    </row>
    <row r="106" spans="1:32" x14ac:dyDescent="0.3">
      <c r="A106" t="str">
        <f t="shared" si="95"/>
        <v>91 Elementary trades and related occupations</v>
      </c>
      <c r="B106" s="17">
        <f t="shared" si="96"/>
        <v>-2.998802408696033</v>
      </c>
      <c r="C106" s="17">
        <f t="shared" si="96"/>
        <v>-9.5052175301616018</v>
      </c>
      <c r="D106" s="17">
        <f t="shared" si="96"/>
        <v>-2.7939871663475779</v>
      </c>
      <c r="E106" s="17">
        <f t="shared" si="96"/>
        <v>3.0687749442037671E-3</v>
      </c>
      <c r="F106" s="17">
        <f t="shared" si="97"/>
        <v>-0.93811338318854354</v>
      </c>
      <c r="H106" s="17">
        <f t="shared" si="98"/>
        <v>-0.93811338318854354</v>
      </c>
      <c r="I106" s="17">
        <f t="shared" si="99"/>
        <v>1.9591119116161515</v>
      </c>
      <c r="J106" s="17">
        <f t="shared" si="100"/>
        <v>1.2563138982821798</v>
      </c>
      <c r="K106" s="39"/>
      <c r="L106" t="str">
        <f t="shared" si="101"/>
        <v>91 Elementary trades and related occupations</v>
      </c>
      <c r="M106" s="17">
        <f t="shared" si="102"/>
        <v>-3.2576284619956986</v>
      </c>
      <c r="N106" s="17">
        <f t="shared" si="102"/>
        <v>-6.0731171183501909</v>
      </c>
      <c r="O106" s="17">
        <f t="shared" si="102"/>
        <v>-2.8007720858635787</v>
      </c>
      <c r="P106" s="17">
        <f t="shared" si="102"/>
        <v>7.690728657157031E-2</v>
      </c>
      <c r="Q106" s="17">
        <f t="shared" si="103"/>
        <v>-0.89166300406297028</v>
      </c>
      <c r="S106" s="17">
        <f t="shared" si="104"/>
        <v>-0.89166300406297028</v>
      </c>
      <c r="T106" s="17">
        <f t="shared" si="105"/>
        <v>1.7109395605851674</v>
      </c>
      <c r="U106" s="17">
        <f t="shared" si="106"/>
        <v>1.0179206272875829</v>
      </c>
      <c r="W106" t="str">
        <f t="shared" si="107"/>
        <v>91 Elementary trades and related occupations</v>
      </c>
      <c r="X106" s="17">
        <f t="shared" si="108"/>
        <v>-2.0437180756158302</v>
      </c>
      <c r="Y106" s="17">
        <f t="shared" si="108"/>
        <v>-21.781840785467676</v>
      </c>
      <c r="Z106" s="17">
        <f t="shared" si="108"/>
        <v>-2.7648649038710338</v>
      </c>
      <c r="AA106" s="17">
        <f t="shared" si="108"/>
        <v>-0.31919764294409125</v>
      </c>
      <c r="AB106" s="17">
        <f t="shared" si="109"/>
        <v>-1.1411796113307227</v>
      </c>
      <c r="AD106" s="17">
        <f t="shared" si="110"/>
        <v>-1.1411796113307227</v>
      </c>
      <c r="AE106" s="17">
        <f t="shared" si="111"/>
        <v>2.9384627327325497</v>
      </c>
      <c r="AF106" s="17">
        <f t="shared" si="112"/>
        <v>2.1995398493373619</v>
      </c>
    </row>
    <row r="107" spans="1:32" x14ac:dyDescent="0.3">
      <c r="A107" t="str">
        <f t="shared" si="95"/>
        <v>92 Elementary administration and service occupations</v>
      </c>
      <c r="B107" s="17">
        <f t="shared" si="96"/>
        <v>0.27200360058332596</v>
      </c>
      <c r="C107" s="17">
        <f t="shared" si="96"/>
        <v>-7.7611482704868395</v>
      </c>
      <c r="D107" s="17">
        <f t="shared" si="96"/>
        <v>0.51223099294084307</v>
      </c>
      <c r="E107" s="17">
        <f t="shared" si="96"/>
        <v>-0.45194666280393703</v>
      </c>
      <c r="F107" s="17">
        <f t="shared" si="97"/>
        <v>-0.13158618460941129</v>
      </c>
      <c r="H107" s="17">
        <f t="shared" si="98"/>
        <v>-0.13158618460941129</v>
      </c>
      <c r="I107" s="17">
        <f t="shared" si="99"/>
        <v>2.7301868089646186</v>
      </c>
      <c r="J107" s="17">
        <f t="shared" si="100"/>
        <v>2.6402159575022344</v>
      </c>
      <c r="K107" s="39"/>
      <c r="L107" t="str">
        <f t="shared" si="101"/>
        <v>92 Elementary administration and service occupations</v>
      </c>
      <c r="M107" s="17">
        <f t="shared" si="102"/>
        <v>-1.1177588247329728</v>
      </c>
      <c r="N107" s="17">
        <f t="shared" si="102"/>
        <v>-3.9479773195221446</v>
      </c>
      <c r="O107" s="17">
        <f t="shared" si="102"/>
        <v>1.4227174414690458</v>
      </c>
      <c r="P107" s="17">
        <f t="shared" si="102"/>
        <v>-0.40150580568658611</v>
      </c>
      <c r="Q107" s="17">
        <f t="shared" si="103"/>
        <v>0.20289347999968843</v>
      </c>
      <c r="S107" s="17">
        <f t="shared" si="104"/>
        <v>0.20289347999968843</v>
      </c>
      <c r="T107" s="17">
        <f t="shared" si="105"/>
        <v>2.3678063567068586</v>
      </c>
      <c r="U107" s="17">
        <f t="shared" si="106"/>
        <v>2.5146291765762552</v>
      </c>
      <c r="W107" t="str">
        <f t="shared" si="107"/>
        <v>92 Elementary administration and service occupations</v>
      </c>
      <c r="X107" s="17">
        <f t="shared" si="108"/>
        <v>1.4997650334606982</v>
      </c>
      <c r="Y107" s="17">
        <f t="shared" si="108"/>
        <v>-10.916735474548355</v>
      </c>
      <c r="Z107" s="17">
        <f t="shared" si="108"/>
        <v>-0.32900002979199261</v>
      </c>
      <c r="AA107" s="17">
        <f t="shared" si="108"/>
        <v>-0.50127284784838855</v>
      </c>
      <c r="AB107" s="17">
        <f t="shared" si="109"/>
        <v>-0.44388168492177638</v>
      </c>
      <c r="AD107" s="17">
        <f t="shared" si="110"/>
        <v>-0.44388168492177638</v>
      </c>
      <c r="AE107" s="17">
        <f t="shared" si="111"/>
        <v>3.0390833284271723</v>
      </c>
      <c r="AF107" s="17">
        <f t="shared" si="112"/>
        <v>2.7504874649302735</v>
      </c>
    </row>
    <row r="108" spans="1:32" x14ac:dyDescent="0.3">
      <c r="C108" s="17"/>
      <c r="F108" s="17"/>
      <c r="H108" s="17"/>
      <c r="I108" s="17"/>
      <c r="J108" s="17"/>
      <c r="N108" s="17"/>
      <c r="Q108" s="17"/>
      <c r="S108" s="17"/>
      <c r="T108" s="17"/>
      <c r="U108" s="17"/>
      <c r="Y108" s="17"/>
      <c r="AB108" s="17"/>
      <c r="AD108" s="17"/>
      <c r="AE108" s="17"/>
      <c r="AF108" s="17"/>
    </row>
    <row r="109" spans="1:32" x14ac:dyDescent="0.3">
      <c r="A109" s="23" t="str">
        <f>A35</f>
        <v>All occupations</v>
      </c>
      <c r="B109" s="25">
        <f>IF(AND(C$6-B$6 &lt;&gt; 0,B35&lt;&gt;0,C35&lt;&gt;0),(EXP(LN(C35/B35)/(C$6-B$6))-1)*100,0)</f>
        <v>1.2156670242623457</v>
      </c>
      <c r="C109" s="25">
        <f>IF(AND(D$6-C$6 &lt;&gt; 0,C35&lt;&gt;0,D35&lt;&gt;0),(EXP(LN(D35/C35)/(D$6-C$6))-1)*100,0)</f>
        <v>-1.0261909268250546</v>
      </c>
      <c r="D109" s="25">
        <f>IF(AND(E$6-D$6 &lt;&gt; 0,D35&lt;&gt;0,E35&lt;&gt;0),(EXP(LN(E35/D35)/(E$6-D$6))-1)*100,0)</f>
        <v>0.65950797804075201</v>
      </c>
      <c r="E109" s="25">
        <f>IF(AND(F$6-E$6 &lt;&gt; 0,E35&lt;&gt;0,F35&lt;&gt;0),(EXP(LN(F35/E35)/(F$6-E$6))-1)*100,0)</f>
        <v>0.48914750314454913</v>
      </c>
      <c r="F109" s="25">
        <f t="shared" ref="F109" si="113">IF(AND(F$6-D$6 &lt;&gt; 0,D35&lt;&gt;0,F35&lt;&gt;0),(EXP(LN(F35/D35)/(F$6-D$6))-1)*100,0)</f>
        <v>0.54590226783473028</v>
      </c>
      <c r="H109" s="25">
        <f>IF($F$6-$D$6 &lt;&gt; 0,(EXP(LN(1+(H72/100))/($F$6-$D$6))-1)*100,0)</f>
        <v>0.54590226783473028</v>
      </c>
      <c r="I109" s="25">
        <f>IF(D35&gt;0,((1+(I35/D35))^(1/($F$6-$D$6))-1)*100,0)</f>
        <v>2.7678179726469576</v>
      </c>
      <c r="J109" s="25">
        <f t="shared" ref="J109" si="114">IF($F$6-$D$6 &lt;&gt; 0,(EXP(LN(1+(J72/100))/($F$6-$D$6))-1)*100,0)</f>
        <v>3.1450364569348466</v>
      </c>
      <c r="L109" s="23" t="str">
        <f>L35</f>
        <v>All occupations</v>
      </c>
      <c r="M109" s="25">
        <f>IF(AND(N$6-M$6 &lt;&gt; 0,M35&lt;&gt;0,N35&lt;&gt;0),(EXP(LN(N35/M35)/(N$6-M$6))-1)*100,0)</f>
        <v>0.46201949015760579</v>
      </c>
      <c r="N109" s="25">
        <f>IF(AND(O$6-N$6 &lt;&gt; 0,N35&lt;&gt;0,O35&lt;&gt;0),(EXP(LN(O35/N35)/(O$6-N$6))-1)*100,0)</f>
        <v>-1.4533322483883837</v>
      </c>
      <c r="O109" s="25">
        <f>IF(AND(P$6-O$6 &lt;&gt; 0,O35&lt;&gt;0,P35&lt;&gt;0),(EXP(LN(P35/O35)/(P$6-O$6))-1)*100,0)</f>
        <v>0.68982201439293789</v>
      </c>
      <c r="P109" s="25">
        <f>IF(AND(Q$6-P$6 &lt;&gt; 0,P35&lt;&gt;0,Q35&lt;&gt;0),(EXP(LN(Q35/P35)/(Q$6-P$6))-1)*100,0)</f>
        <v>0.44369792401457442</v>
      </c>
      <c r="Q109" s="25">
        <f t="shared" ref="Q109" si="115">IF(AND(Q$6-O$6 &lt;&gt; 0,O35&lt;&gt;0,Q35&lt;&gt;0),(EXP(LN(Q35/O35)/(Q$6-O$6))-1)*100,0)</f>
        <v>0.5256723680189257</v>
      </c>
      <c r="S109" s="25">
        <f t="shared" ref="S109" si="116">IF($F$6-$D$6 &lt;&gt; 0,(EXP(LN(1+(S72/100))/($F$6-$D$6))-1)*100,0)</f>
        <v>0.5256723680189257</v>
      </c>
      <c r="T109" s="25">
        <f t="shared" ref="T109" si="117">IF(O35&gt;0,((1+(T35/O35))^(1/($F$6-$D$6))-1)*100,0)</f>
        <v>2.377442651616013</v>
      </c>
      <c r="U109" s="25">
        <f t="shared" ref="U109" si="118">IF($F$6-$D$6 &lt;&gt; 0,(EXP(LN(1+(U72/100))/($F$6-$D$6))-1)*100,0)</f>
        <v>2.7598403318199294</v>
      </c>
      <c r="W109" s="23" t="str">
        <f>W35</f>
        <v>All occupations</v>
      </c>
      <c r="X109" s="25">
        <f>IF(AND(Y$6-X$6 &lt;&gt; 0,X35&lt;&gt;0,Y35&lt;&gt;0),(EXP(LN(Y35/X35)/(Y$6-X$6))-1)*100,0)</f>
        <v>2.0557229858543025</v>
      </c>
      <c r="Y109" s="25">
        <f>IF(AND(Z$6-Y$6 &lt;&gt; 0,Y35&lt;&gt;0,Z35&lt;&gt;0),(EXP(LN(Z35/Y35)/(Z$6-Y$6))-1)*100,0)</f>
        <v>-0.56844313755601839</v>
      </c>
      <c r="Z109" s="25">
        <f>IF(AND(AA$6-Z$6 &lt;&gt; 0,Z35&lt;&gt;0,AA35&lt;&gt;0),(EXP(LN(AA35/Z35)/(AA$6-Z$6))-1)*100,0)</f>
        <v>0.6272708835464158</v>
      </c>
      <c r="AA109" s="25">
        <f>IF(AND(AB$6-AA$6 &lt;&gt; 0,AA35&lt;&gt;0,AB35&lt;&gt;0),(EXP(LN(AB35/AA35)/(AB$6-AA$6))-1)*100,0)</f>
        <v>0.53736780324777911</v>
      </c>
      <c r="AB109" s="25">
        <f t="shared" ref="AB109" si="119">IF(AND(AB$6-Z$6 &lt;&gt; 0,Z35&lt;&gt;0,AB35&lt;&gt;0),(EXP(LN(AB35/Z35)/(AB$6-Z$6))-1)*100,0)</f>
        <v>0.567326568490234</v>
      </c>
      <c r="AD109" s="25">
        <f t="shared" ref="AD109" si="120">IF($F$6-$D$6 &lt;&gt; 0,(EXP(LN(1+(AD72/100))/($F$6-$D$6))-1)*100,0)</f>
        <v>0.567326568490234</v>
      </c>
      <c r="AE109" s="25">
        <f t="shared" ref="AE109" si="121">IF(Z35&gt;0,((1+(AE35/Z35))^(1/($F$6-$D$6))-1)*100,0)</f>
        <v>3.1608958190480818</v>
      </c>
      <c r="AF109" s="25">
        <f t="shared" ref="AF109" si="122">IF($F$6-$D$6 &lt;&gt; 0,(EXP(LN(1+(AF72/100))/($F$6-$D$6))-1)*100,0)</f>
        <v>3.5332396847503889</v>
      </c>
    </row>
    <row r="112" spans="1:32" ht="15.45" x14ac:dyDescent="0.4">
      <c r="A112" s="18" t="str">
        <f>CONCATENATE(A$1," (Continued)")</f>
        <v>Occupation Table 2  Employment Change by Occupation (SOC 2020) and Replacement Demand, 2015-2035, East (Continued)</v>
      </c>
      <c r="L112" s="18" t="str">
        <f>CONCATENATE(L$1," (Continued)")</f>
        <v>Occupation Table 2.1  Males: Employment Change by Occupation (SOC 2020) and Replacement Demand, 2015-2035, East (Continued)</v>
      </c>
      <c r="W112" s="18" t="str">
        <f>CONCATENATE(W$1," (Continued)")</f>
        <v>Occupation Table 2.2  Females: Employment Change by Occupation (SOC 2020) and Replacement Demand, 2015-2035, East (Continued)</v>
      </c>
    </row>
    <row r="114" spans="1:28" x14ac:dyDescent="0.3">
      <c r="F114" s="15" t="s">
        <v>35</v>
      </c>
      <c r="Q114" s="15" t="s">
        <v>35</v>
      </c>
      <c r="AB114" s="15" t="s">
        <v>35</v>
      </c>
    </row>
    <row r="115" spans="1:28" x14ac:dyDescent="0.3">
      <c r="A115" s="35"/>
      <c r="B115" s="35"/>
      <c r="C115" s="35"/>
      <c r="D115" s="35"/>
      <c r="E115" s="35"/>
      <c r="F115" s="35"/>
      <c r="L115" s="35"/>
      <c r="M115" s="35"/>
      <c r="N115" s="35"/>
      <c r="O115" s="35"/>
      <c r="P115" s="35"/>
      <c r="Q115" s="35"/>
      <c r="W115" s="35"/>
      <c r="X115" s="35"/>
      <c r="Y115" s="35"/>
      <c r="Z115" s="35"/>
      <c r="AA115" s="35"/>
      <c r="AB115" s="35"/>
    </row>
    <row r="117" spans="1:28" x14ac:dyDescent="0.3">
      <c r="A117" s="40" t="s">
        <v>15</v>
      </c>
      <c r="B117" s="63" t="str">
        <f>CONCATENATE(B$6,"-",C$6)</f>
        <v>2015-2019</v>
      </c>
      <c r="C117" s="63" t="str">
        <f>CONCATENATE(C$6,"-",D$6)</f>
        <v>2019-2020</v>
      </c>
      <c r="D117" s="63" t="str">
        <f>CONCATENATE(D$6,"-",E$6)</f>
        <v>2020-2025</v>
      </c>
      <c r="E117" s="63" t="str">
        <f>CONCATENATE(E$6,"-",F$6)</f>
        <v>2025-2035</v>
      </c>
      <c r="F117" s="63" t="str">
        <f>CONCATENATE(D$6,"-",F$6)</f>
        <v>2020-2035</v>
      </c>
      <c r="L117" s="40" t="s">
        <v>15</v>
      </c>
      <c r="M117" s="63" t="str">
        <f>CONCATENATE(M$6,"-",N$6)</f>
        <v>2015-2019</v>
      </c>
      <c r="N117" s="63" t="str">
        <f>CONCATENATE(N$6,"-",O$6)</f>
        <v>2019-2020</v>
      </c>
      <c r="O117" s="63" t="str">
        <f>CONCATENATE(O$6,"-",P$6)</f>
        <v>2020-2025</v>
      </c>
      <c r="P117" s="63" t="str">
        <f>CONCATENATE(P$6,"-",Q$6)</f>
        <v>2025-2035</v>
      </c>
      <c r="Q117" s="63" t="str">
        <f>CONCATENATE(O$6,"-",Q$6)</f>
        <v>2020-2035</v>
      </c>
      <c r="W117" s="40" t="s">
        <v>15</v>
      </c>
      <c r="X117" s="63" t="str">
        <f>CONCATENATE(X$6,"-",Y$6)</f>
        <v>2015-2019</v>
      </c>
      <c r="Y117" s="63" t="str">
        <f>CONCATENATE(Y$6,"-",Z$6)</f>
        <v>2019-2020</v>
      </c>
      <c r="Z117" s="63" t="str">
        <f>CONCATENATE(Z$6,"-",AA$6)</f>
        <v>2020-2025</v>
      </c>
      <c r="AA117" s="63" t="str">
        <f>CONCATENATE(AA$6,"-",AB$6)</f>
        <v>2025-2035</v>
      </c>
      <c r="AB117" s="63" t="str">
        <f>CONCATENATE(Z$6,"-",AB$6)</f>
        <v>2020-2035</v>
      </c>
    </row>
    <row r="118" spans="1:28" x14ac:dyDescent="0.3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</row>
    <row r="119" spans="1:28" x14ac:dyDescent="0.3">
      <c r="A119" t="str">
        <f t="shared" ref="A119:A144" si="123">A8</f>
        <v>11 Corporate managers and directors</v>
      </c>
      <c r="B119" s="26">
        <f t="shared" ref="B119:E144" si="124">C8-B8</f>
        <v>36.260130584373144</v>
      </c>
      <c r="C119" s="26">
        <f t="shared" si="124"/>
        <v>5.0883849320190961</v>
      </c>
      <c r="D119" s="26">
        <f t="shared" si="124"/>
        <v>-14.593525730192567</v>
      </c>
      <c r="E119" s="26">
        <f t="shared" si="124"/>
        <v>26.545789853296839</v>
      </c>
      <c r="F119" s="26">
        <f t="shared" ref="F119:F144" si="125">F8-D8</f>
        <v>11.952264123104271</v>
      </c>
      <c r="L119" t="str">
        <f t="shared" ref="L119:L144" si="126">L8</f>
        <v>11 Corporate managers and directors</v>
      </c>
      <c r="M119" s="26">
        <f t="shared" ref="M119:P144" si="127">N8-M8</f>
        <v>17.771021891960999</v>
      </c>
      <c r="N119" s="26">
        <f t="shared" si="127"/>
        <v>3.0404733885488326</v>
      </c>
      <c r="O119" s="26">
        <f t="shared" si="127"/>
        <v>-14.601527431728101</v>
      </c>
      <c r="P119" s="26">
        <f t="shared" si="127"/>
        <v>9.6991867031238144</v>
      </c>
      <c r="Q119" s="26">
        <f t="shared" ref="Q119:Q144" si="128">Q8-O8</f>
        <v>-4.9023407286042868</v>
      </c>
      <c r="W119" t="str">
        <f t="shared" ref="W119:W144" si="129">W8</f>
        <v>11 Corporate managers and directors</v>
      </c>
      <c r="X119" s="26">
        <f t="shared" ref="X119:AA144" si="130">Y8-X8</f>
        <v>18.489108692412742</v>
      </c>
      <c r="Y119" s="26">
        <f t="shared" si="130"/>
        <v>2.0479115434704624</v>
      </c>
      <c r="Z119" s="26">
        <f t="shared" si="130"/>
        <v>8.0017015354343357E-3</v>
      </c>
      <c r="AA119" s="26">
        <f t="shared" si="130"/>
        <v>16.846603150171418</v>
      </c>
      <c r="AB119" s="26">
        <f t="shared" ref="AB119:AB144" si="131">AB8-Z8</f>
        <v>16.854604851706853</v>
      </c>
    </row>
    <row r="120" spans="1:28" x14ac:dyDescent="0.3">
      <c r="A120" t="str">
        <f t="shared" si="123"/>
        <v>12 Other managers and proprietors</v>
      </c>
      <c r="B120" s="26">
        <f t="shared" si="124"/>
        <v>5.2868191308541981</v>
      </c>
      <c r="C120" s="26">
        <f t="shared" si="124"/>
        <v>0.94105742774173962</v>
      </c>
      <c r="D120" s="26">
        <f t="shared" si="124"/>
        <v>26.909600179626977</v>
      </c>
      <c r="E120" s="26">
        <f t="shared" si="124"/>
        <v>22.315607905814488</v>
      </c>
      <c r="F120" s="26">
        <f t="shared" si="125"/>
        <v>49.225208085441466</v>
      </c>
      <c r="L120" t="str">
        <f t="shared" si="126"/>
        <v>12 Other managers and proprietors</v>
      </c>
      <c r="M120" s="26">
        <f t="shared" si="127"/>
        <v>-0.49199378532323124</v>
      </c>
      <c r="N120" s="26">
        <f t="shared" si="127"/>
        <v>0.91931934103433832</v>
      </c>
      <c r="O120" s="26">
        <f t="shared" si="127"/>
        <v>17.699163209651935</v>
      </c>
      <c r="P120" s="26">
        <f t="shared" si="127"/>
        <v>11.813743391818875</v>
      </c>
      <c r="Q120" s="26">
        <f t="shared" si="128"/>
        <v>29.51290660147081</v>
      </c>
      <c r="W120" t="str">
        <f t="shared" si="129"/>
        <v>12 Other managers and proprietors</v>
      </c>
      <c r="X120" s="26">
        <f t="shared" si="130"/>
        <v>5.7788129161776638</v>
      </c>
      <c r="Y120" s="26">
        <f t="shared" si="130"/>
        <v>2.1738086707387083E-2</v>
      </c>
      <c r="Z120" s="26">
        <f t="shared" si="130"/>
        <v>9.2104369699749427</v>
      </c>
      <c r="AA120" s="26">
        <f t="shared" si="130"/>
        <v>10.501864513995677</v>
      </c>
      <c r="AB120" s="26">
        <f t="shared" si="131"/>
        <v>19.71230148397062</v>
      </c>
    </row>
    <row r="121" spans="1:28" x14ac:dyDescent="0.3">
      <c r="A121" t="str">
        <f t="shared" si="123"/>
        <v>21 Science, research, engineering and technology professionals</v>
      </c>
      <c r="B121" s="26">
        <f t="shared" si="124"/>
        <v>25.106349655441988</v>
      </c>
      <c r="C121" s="26">
        <f t="shared" si="124"/>
        <v>7.7588551797498724</v>
      </c>
      <c r="D121" s="26">
        <f t="shared" si="124"/>
        <v>13.033822469449376</v>
      </c>
      <c r="E121" s="26">
        <f t="shared" si="124"/>
        <v>26.737308164069333</v>
      </c>
      <c r="F121" s="26">
        <f t="shared" si="125"/>
        <v>39.771130633518709</v>
      </c>
      <c r="L121" t="str">
        <f t="shared" si="126"/>
        <v>21 Science, research, engineering and technology professionals</v>
      </c>
      <c r="M121" s="26">
        <f t="shared" si="127"/>
        <v>21.909539999618261</v>
      </c>
      <c r="N121" s="26">
        <f t="shared" si="127"/>
        <v>-1.204622997222458</v>
      </c>
      <c r="O121" s="26">
        <f t="shared" si="127"/>
        <v>4.4937181314201098</v>
      </c>
      <c r="P121" s="26">
        <f t="shared" si="127"/>
        <v>14.775913597324148</v>
      </c>
      <c r="Q121" s="26">
        <f t="shared" si="128"/>
        <v>19.269631728744258</v>
      </c>
      <c r="W121" t="str">
        <f t="shared" si="129"/>
        <v>21 Science, research, engineering and technology professionals</v>
      </c>
      <c r="X121" s="26">
        <f t="shared" si="130"/>
        <v>3.1968096558234649</v>
      </c>
      <c r="Y121" s="26">
        <f t="shared" si="130"/>
        <v>8.9634781769721599</v>
      </c>
      <c r="Z121" s="26">
        <f t="shared" si="130"/>
        <v>8.5401043380293018</v>
      </c>
      <c r="AA121" s="26">
        <f t="shared" si="130"/>
        <v>11.961394566745206</v>
      </c>
      <c r="AB121" s="26">
        <f t="shared" si="131"/>
        <v>20.501498904774508</v>
      </c>
    </row>
    <row r="122" spans="1:28" x14ac:dyDescent="0.3">
      <c r="A122" t="str">
        <f t="shared" si="123"/>
        <v>22 Health professionals</v>
      </c>
      <c r="B122" s="26">
        <f t="shared" si="124"/>
        <v>21.319932778106988</v>
      </c>
      <c r="C122" s="26">
        <f t="shared" si="124"/>
        <v>-3.3151218814102918</v>
      </c>
      <c r="D122" s="26">
        <f t="shared" si="124"/>
        <v>10.088360400607272</v>
      </c>
      <c r="E122" s="26">
        <f t="shared" si="124"/>
        <v>15.897239612493337</v>
      </c>
      <c r="F122" s="26">
        <f t="shared" si="125"/>
        <v>25.985600013100608</v>
      </c>
      <c r="L122" t="str">
        <f t="shared" si="126"/>
        <v>22 Health professionals</v>
      </c>
      <c r="M122" s="26">
        <f t="shared" si="127"/>
        <v>3.6354340760840707</v>
      </c>
      <c r="N122" s="26">
        <f t="shared" si="127"/>
        <v>-0.55575705168548239</v>
      </c>
      <c r="O122" s="26">
        <f t="shared" si="127"/>
        <v>2.8319870147402852</v>
      </c>
      <c r="P122" s="26">
        <f t="shared" si="127"/>
        <v>4.4671190595350154</v>
      </c>
      <c r="Q122" s="26">
        <f t="shared" si="128"/>
        <v>7.2991060742753007</v>
      </c>
      <c r="W122" t="str">
        <f t="shared" si="129"/>
        <v>22 Health professionals</v>
      </c>
      <c r="X122" s="26">
        <f t="shared" si="130"/>
        <v>17.684498702023006</v>
      </c>
      <c r="Y122" s="26">
        <f t="shared" si="130"/>
        <v>-2.7593648297253139</v>
      </c>
      <c r="Z122" s="26">
        <f t="shared" si="130"/>
        <v>7.2563733858670645</v>
      </c>
      <c r="AA122" s="26">
        <f t="shared" si="130"/>
        <v>11.430120552959025</v>
      </c>
      <c r="AB122" s="26">
        <f t="shared" si="131"/>
        <v>18.686493938826089</v>
      </c>
    </row>
    <row r="123" spans="1:28" x14ac:dyDescent="0.3">
      <c r="A123" t="str">
        <f t="shared" si="123"/>
        <v>23 Teaching and other educational professionals</v>
      </c>
      <c r="B123" s="26">
        <f t="shared" si="124"/>
        <v>16.634337123733872</v>
      </c>
      <c r="C123" s="26">
        <f t="shared" si="124"/>
        <v>5.7828225735171372</v>
      </c>
      <c r="D123" s="26">
        <f t="shared" si="124"/>
        <v>5.2329874325903347</v>
      </c>
      <c r="E123" s="26">
        <f t="shared" si="124"/>
        <v>13.586631437480975</v>
      </c>
      <c r="F123" s="26">
        <f t="shared" si="125"/>
        <v>18.819618870071309</v>
      </c>
      <c r="L123" t="str">
        <f t="shared" si="126"/>
        <v>23 Teaching and other educational professionals</v>
      </c>
      <c r="M123" s="26">
        <f t="shared" si="127"/>
        <v>-0.32361973483742901</v>
      </c>
      <c r="N123" s="26">
        <f t="shared" si="127"/>
        <v>3.2403602741536446</v>
      </c>
      <c r="O123" s="26">
        <f t="shared" si="127"/>
        <v>3.3939266792879224</v>
      </c>
      <c r="P123" s="26">
        <f t="shared" si="127"/>
        <v>4.0113983650348146</v>
      </c>
      <c r="Q123" s="26">
        <f t="shared" si="128"/>
        <v>7.405325044322737</v>
      </c>
      <c r="W123" t="str">
        <f t="shared" si="129"/>
        <v>23 Teaching and other educational professionals</v>
      </c>
      <c r="X123" s="26">
        <f t="shared" si="130"/>
        <v>16.957956858571478</v>
      </c>
      <c r="Y123" s="26">
        <f t="shared" si="130"/>
        <v>2.542462299363379</v>
      </c>
      <c r="Z123" s="26">
        <f t="shared" si="130"/>
        <v>1.8390607533026042</v>
      </c>
      <c r="AA123" s="26">
        <f t="shared" si="130"/>
        <v>9.5752330724455703</v>
      </c>
      <c r="AB123" s="26">
        <f t="shared" si="131"/>
        <v>11.414293825748175</v>
      </c>
    </row>
    <row r="124" spans="1:28" x14ac:dyDescent="0.3">
      <c r="A124" t="str">
        <f t="shared" si="123"/>
        <v>24 Business, media and public service professionals</v>
      </c>
      <c r="B124" s="26">
        <f t="shared" si="124"/>
        <v>29.967357982776036</v>
      </c>
      <c r="C124" s="26">
        <f t="shared" si="124"/>
        <v>15.258354418938666</v>
      </c>
      <c r="D124" s="26">
        <f t="shared" si="124"/>
        <v>27.394289618693563</v>
      </c>
      <c r="E124" s="26">
        <f t="shared" si="124"/>
        <v>34.537446620563031</v>
      </c>
      <c r="F124" s="26">
        <f t="shared" si="125"/>
        <v>61.931736239256594</v>
      </c>
      <c r="L124" t="str">
        <f t="shared" si="126"/>
        <v>24 Business, media and public service professionals</v>
      </c>
      <c r="M124" s="26">
        <f t="shared" si="127"/>
        <v>13.271067932902938</v>
      </c>
      <c r="N124" s="26">
        <f t="shared" si="127"/>
        <v>6.4667410822321898</v>
      </c>
      <c r="O124" s="26">
        <f t="shared" si="127"/>
        <v>16.904328482182279</v>
      </c>
      <c r="P124" s="26">
        <f t="shared" si="127"/>
        <v>14.951510315237101</v>
      </c>
      <c r="Q124" s="26">
        <f t="shared" si="128"/>
        <v>31.855838797419381</v>
      </c>
      <c r="W124" t="str">
        <f t="shared" si="129"/>
        <v>24 Business, media and public service professionals</v>
      </c>
      <c r="X124" s="26">
        <f t="shared" si="130"/>
        <v>16.696290049872658</v>
      </c>
      <c r="Y124" s="26">
        <f t="shared" si="130"/>
        <v>8.7916133367072433</v>
      </c>
      <c r="Z124" s="26">
        <f t="shared" si="130"/>
        <v>10.489961136510999</v>
      </c>
      <c r="AA124" s="26">
        <f t="shared" si="130"/>
        <v>19.585936305326214</v>
      </c>
      <c r="AB124" s="26">
        <f t="shared" si="131"/>
        <v>30.075897441837213</v>
      </c>
    </row>
    <row r="125" spans="1:28" x14ac:dyDescent="0.3">
      <c r="A125" t="str">
        <f t="shared" si="123"/>
        <v>31 Science, engineering and technology associate professionals</v>
      </c>
      <c r="B125" s="26">
        <f t="shared" si="124"/>
        <v>8.9506096643480078</v>
      </c>
      <c r="C125" s="26">
        <f t="shared" si="124"/>
        <v>5.7951524183611127</v>
      </c>
      <c r="D125" s="26">
        <f t="shared" si="124"/>
        <v>-7.3820277905323195</v>
      </c>
      <c r="E125" s="26">
        <f t="shared" si="124"/>
        <v>5.0971308982563102</v>
      </c>
      <c r="F125" s="26">
        <f t="shared" si="125"/>
        <v>-2.2848968922760093</v>
      </c>
      <c r="L125" t="str">
        <f t="shared" si="126"/>
        <v>31 Science, engineering and technology associate professionals</v>
      </c>
      <c r="M125" s="26">
        <f t="shared" si="127"/>
        <v>8.0727742543965775</v>
      </c>
      <c r="N125" s="26">
        <f t="shared" si="127"/>
        <v>2.3560630217926288</v>
      </c>
      <c r="O125" s="26">
        <f t="shared" si="127"/>
        <v>-7.9882348060172887</v>
      </c>
      <c r="P125" s="26">
        <f t="shared" si="127"/>
        <v>1.3751140287867329</v>
      </c>
      <c r="Q125" s="26">
        <f t="shared" si="128"/>
        <v>-6.6131207772305558</v>
      </c>
      <c r="W125" t="str">
        <f t="shared" si="129"/>
        <v>31 Science, engineering and technology associate professionals</v>
      </c>
      <c r="X125" s="26">
        <f t="shared" si="130"/>
        <v>0.8778354099515191</v>
      </c>
      <c r="Y125" s="26">
        <f t="shared" si="130"/>
        <v>3.4390893965685301</v>
      </c>
      <c r="Z125" s="26">
        <f t="shared" si="130"/>
        <v>0.60620701548484135</v>
      </c>
      <c r="AA125" s="26">
        <f t="shared" si="130"/>
        <v>3.7220168694697158</v>
      </c>
      <c r="AB125" s="26">
        <f t="shared" si="131"/>
        <v>4.3282238849545571</v>
      </c>
    </row>
    <row r="126" spans="1:28" x14ac:dyDescent="0.3">
      <c r="A126" t="str">
        <f t="shared" si="123"/>
        <v>32 Health and social care associate professionals</v>
      </c>
      <c r="B126" s="26">
        <f t="shared" si="124"/>
        <v>8.1917935230100483</v>
      </c>
      <c r="C126" s="26">
        <f t="shared" si="124"/>
        <v>0.50926213240519047</v>
      </c>
      <c r="D126" s="26">
        <f t="shared" si="124"/>
        <v>0.97021562014494123</v>
      </c>
      <c r="E126" s="26">
        <f t="shared" si="124"/>
        <v>6.8052625368575264</v>
      </c>
      <c r="F126" s="26">
        <f t="shared" si="125"/>
        <v>7.7754781570024676</v>
      </c>
      <c r="L126" t="str">
        <f t="shared" si="126"/>
        <v>32 Health and social care associate professionals</v>
      </c>
      <c r="M126" s="26">
        <f t="shared" si="127"/>
        <v>-8.1507002973687293E-2</v>
      </c>
      <c r="N126" s="26">
        <f t="shared" si="127"/>
        <v>0.34735564589036372</v>
      </c>
      <c r="O126" s="26">
        <f t="shared" si="127"/>
        <v>-0.93166106736110521</v>
      </c>
      <c r="P126" s="26">
        <f t="shared" si="127"/>
        <v>0.66531529618147012</v>
      </c>
      <c r="Q126" s="26">
        <f t="shared" si="128"/>
        <v>-0.26634577117963509</v>
      </c>
      <c r="W126" t="str">
        <f t="shared" si="129"/>
        <v>32 Health and social care associate professionals</v>
      </c>
      <c r="X126" s="26">
        <f t="shared" si="130"/>
        <v>8.2733005259837284</v>
      </c>
      <c r="Y126" s="26">
        <f t="shared" si="130"/>
        <v>0.16190648651483031</v>
      </c>
      <c r="Z126" s="26">
        <f t="shared" si="130"/>
        <v>1.9018766875060251</v>
      </c>
      <c r="AA126" s="26">
        <f t="shared" si="130"/>
        <v>6.1399472406760935</v>
      </c>
      <c r="AB126" s="26">
        <f t="shared" si="131"/>
        <v>8.0418239281821187</v>
      </c>
    </row>
    <row r="127" spans="1:28" x14ac:dyDescent="0.3">
      <c r="A127" t="str">
        <f t="shared" si="123"/>
        <v>33 Protective service occupations</v>
      </c>
      <c r="B127" s="26">
        <f t="shared" si="124"/>
        <v>-0.58128171518864846</v>
      </c>
      <c r="C127" s="26">
        <f t="shared" si="124"/>
        <v>2.4283712760635794</v>
      </c>
      <c r="D127" s="26">
        <f t="shared" si="124"/>
        <v>7.3426248871987525</v>
      </c>
      <c r="E127" s="26">
        <f t="shared" si="124"/>
        <v>7.8849436591663107</v>
      </c>
      <c r="F127" s="26">
        <f t="shared" si="125"/>
        <v>15.227568546365063</v>
      </c>
      <c r="L127" t="str">
        <f t="shared" si="126"/>
        <v>33 Protective service occupations</v>
      </c>
      <c r="M127" s="26">
        <f t="shared" si="127"/>
        <v>-1.1569374341699792</v>
      </c>
      <c r="N127" s="26">
        <f t="shared" si="127"/>
        <v>1.2704696465466476</v>
      </c>
      <c r="O127" s="26">
        <f t="shared" si="127"/>
        <v>3.8489738114815353</v>
      </c>
      <c r="P127" s="26">
        <f t="shared" si="127"/>
        <v>2.9481290361849872</v>
      </c>
      <c r="Q127" s="26">
        <f t="shared" si="128"/>
        <v>6.7971028476665225</v>
      </c>
      <c r="W127" t="str">
        <f t="shared" si="129"/>
        <v>33 Protective service occupations</v>
      </c>
      <c r="X127" s="26">
        <f t="shared" si="130"/>
        <v>0.57565571898139911</v>
      </c>
      <c r="Y127" s="26">
        <f t="shared" si="130"/>
        <v>1.1579016295168909</v>
      </c>
      <c r="Z127" s="26">
        <f t="shared" si="130"/>
        <v>3.4936510757172776</v>
      </c>
      <c r="AA127" s="26">
        <f t="shared" si="130"/>
        <v>4.9368146229814052</v>
      </c>
      <c r="AB127" s="26">
        <f t="shared" si="131"/>
        <v>8.4304656986986828</v>
      </c>
    </row>
    <row r="128" spans="1:28" x14ac:dyDescent="0.3">
      <c r="A128" t="str">
        <f t="shared" si="123"/>
        <v>34 Culture, media and sports occupations</v>
      </c>
      <c r="B128" s="26">
        <f t="shared" si="124"/>
        <v>-0.82116986378120771</v>
      </c>
      <c r="C128" s="26">
        <f t="shared" si="124"/>
        <v>12.360421028492198</v>
      </c>
      <c r="D128" s="26">
        <f t="shared" si="124"/>
        <v>-3.6111000489913749</v>
      </c>
      <c r="E128" s="26">
        <f t="shared" si="124"/>
        <v>7.0691078903161468</v>
      </c>
      <c r="F128" s="26">
        <f t="shared" si="125"/>
        <v>3.4580078413247719</v>
      </c>
      <c r="L128" t="str">
        <f t="shared" si="126"/>
        <v>34 Culture, media and sports occupations</v>
      </c>
      <c r="M128" s="26">
        <f t="shared" si="127"/>
        <v>1.4682930165358883</v>
      </c>
      <c r="N128" s="26">
        <f t="shared" si="127"/>
        <v>3.7954357032893924</v>
      </c>
      <c r="O128" s="26">
        <f t="shared" si="127"/>
        <v>-1.174160788692987</v>
      </c>
      <c r="P128" s="26">
        <f t="shared" si="127"/>
        <v>4.1341204738322972</v>
      </c>
      <c r="Q128" s="26">
        <f t="shared" si="128"/>
        <v>2.9599596851393102</v>
      </c>
      <c r="W128" t="str">
        <f t="shared" si="129"/>
        <v>34 Culture, media and sports occupations</v>
      </c>
      <c r="X128" s="26">
        <f t="shared" si="130"/>
        <v>-2.289462880317064</v>
      </c>
      <c r="Y128" s="26">
        <f t="shared" si="130"/>
        <v>8.5649853252025778</v>
      </c>
      <c r="Z128" s="26">
        <f t="shared" si="130"/>
        <v>-2.4369392602983062</v>
      </c>
      <c r="AA128" s="26">
        <f t="shared" si="130"/>
        <v>2.9349874164840024</v>
      </c>
      <c r="AB128" s="26">
        <f t="shared" si="131"/>
        <v>0.4980481561856962</v>
      </c>
    </row>
    <row r="129" spans="1:28" x14ac:dyDescent="0.3">
      <c r="A129" t="str">
        <f t="shared" si="123"/>
        <v>35 Business and public service associate professionals</v>
      </c>
      <c r="B129" s="26">
        <f t="shared" si="124"/>
        <v>13.466020375859046</v>
      </c>
      <c r="C129" s="26">
        <f t="shared" si="124"/>
        <v>5.595900940186084</v>
      </c>
      <c r="D129" s="26">
        <f t="shared" si="124"/>
        <v>-5.6492550520106306</v>
      </c>
      <c r="E129" s="26">
        <f t="shared" si="124"/>
        <v>11.599804729968497</v>
      </c>
      <c r="F129" s="26">
        <f t="shared" si="125"/>
        <v>5.9505496779578664</v>
      </c>
      <c r="L129" t="str">
        <f t="shared" si="126"/>
        <v>35 Business and public service associate professionals</v>
      </c>
      <c r="M129" s="26">
        <f t="shared" si="127"/>
        <v>3.7254053595555661</v>
      </c>
      <c r="N129" s="26">
        <f t="shared" si="127"/>
        <v>3.7703708909941582</v>
      </c>
      <c r="O129" s="26">
        <f t="shared" si="127"/>
        <v>-6.2835086351179825</v>
      </c>
      <c r="P129" s="26">
        <f t="shared" si="127"/>
        <v>0.68750915631252951</v>
      </c>
      <c r="Q129" s="26">
        <f t="shared" si="128"/>
        <v>-5.595999478805453</v>
      </c>
      <c r="W129" t="str">
        <f t="shared" si="129"/>
        <v>35 Business and public service associate professionals</v>
      </c>
      <c r="X129" s="26">
        <f t="shared" si="130"/>
        <v>9.740615016303579</v>
      </c>
      <c r="Y129" s="26">
        <f t="shared" si="130"/>
        <v>1.8255300491925794</v>
      </c>
      <c r="Z129" s="26">
        <f t="shared" si="130"/>
        <v>0.6342535831068119</v>
      </c>
      <c r="AA129" s="26">
        <f t="shared" si="130"/>
        <v>10.912295573656394</v>
      </c>
      <c r="AB129" s="26">
        <f t="shared" si="131"/>
        <v>11.546549156763206</v>
      </c>
    </row>
    <row r="130" spans="1:28" x14ac:dyDescent="0.3">
      <c r="A130" t="str">
        <f t="shared" si="123"/>
        <v>41 Administrative occupations</v>
      </c>
      <c r="B130" s="26">
        <f t="shared" si="124"/>
        <v>-3.2963466281349838</v>
      </c>
      <c r="C130" s="26">
        <f t="shared" si="124"/>
        <v>5.4419812382182613</v>
      </c>
      <c r="D130" s="26">
        <f t="shared" si="124"/>
        <v>-20.287259795488836</v>
      </c>
      <c r="E130" s="26">
        <f t="shared" si="124"/>
        <v>-13.817055417147515</v>
      </c>
      <c r="F130" s="26">
        <f t="shared" si="125"/>
        <v>-34.104315212636351</v>
      </c>
      <c r="L130" t="str">
        <f t="shared" si="126"/>
        <v>41 Administrative occupations</v>
      </c>
      <c r="M130" s="26">
        <f t="shared" si="127"/>
        <v>-5.1899778493610924</v>
      </c>
      <c r="N130" s="26">
        <f t="shared" si="127"/>
        <v>11.881916958686553</v>
      </c>
      <c r="O130" s="26">
        <f t="shared" si="127"/>
        <v>-3.3939465482975919</v>
      </c>
      <c r="P130" s="26">
        <f t="shared" si="127"/>
        <v>6.0832214602069286</v>
      </c>
      <c r="Q130" s="26">
        <f t="shared" si="128"/>
        <v>2.6892749119093367</v>
      </c>
      <c r="W130" t="str">
        <f t="shared" si="129"/>
        <v>41 Administrative occupations</v>
      </c>
      <c r="X130" s="26">
        <f t="shared" si="130"/>
        <v>1.8936312212266557</v>
      </c>
      <c r="Y130" s="26">
        <f t="shared" si="130"/>
        <v>-6.4399357204680143</v>
      </c>
      <c r="Z130" s="26">
        <f t="shared" si="130"/>
        <v>-16.893313247191571</v>
      </c>
      <c r="AA130" s="26">
        <f t="shared" si="130"/>
        <v>-19.900276877354486</v>
      </c>
      <c r="AB130" s="26">
        <f t="shared" si="131"/>
        <v>-36.793590124546057</v>
      </c>
    </row>
    <row r="131" spans="1:28" x14ac:dyDescent="0.3">
      <c r="A131" t="str">
        <f t="shared" si="123"/>
        <v>42 Secretarial and related occupations</v>
      </c>
      <c r="B131" s="26">
        <f t="shared" si="124"/>
        <v>-3.8727304966121494</v>
      </c>
      <c r="C131" s="26">
        <f t="shared" si="124"/>
        <v>-2.8126464370232469</v>
      </c>
      <c r="D131" s="26">
        <f t="shared" si="124"/>
        <v>2.6052408800128433</v>
      </c>
      <c r="E131" s="26">
        <f t="shared" si="124"/>
        <v>-18.856601908744288</v>
      </c>
      <c r="F131" s="26">
        <f t="shared" si="125"/>
        <v>-16.251361028731445</v>
      </c>
      <c r="L131" t="str">
        <f t="shared" si="126"/>
        <v>42 Secretarial and related occupations</v>
      </c>
      <c r="M131" s="26">
        <f t="shared" si="127"/>
        <v>-1.0826937237520582</v>
      </c>
      <c r="N131" s="26">
        <f t="shared" si="127"/>
        <v>-6.7203244920732708E-2</v>
      </c>
      <c r="O131" s="26">
        <f t="shared" si="127"/>
        <v>0.94531197170600034</v>
      </c>
      <c r="P131" s="26">
        <f t="shared" si="127"/>
        <v>0.85025985324087028</v>
      </c>
      <c r="Q131" s="26">
        <f t="shared" si="128"/>
        <v>1.7955718249468706</v>
      </c>
      <c r="W131" t="str">
        <f t="shared" si="129"/>
        <v>42 Secretarial and related occupations</v>
      </c>
      <c r="X131" s="26">
        <f t="shared" si="130"/>
        <v>-2.7900367728601339</v>
      </c>
      <c r="Y131" s="26">
        <f t="shared" si="130"/>
        <v>-2.7454431921025986</v>
      </c>
      <c r="Z131" s="26">
        <f t="shared" si="130"/>
        <v>1.6599289083070374</v>
      </c>
      <c r="AA131" s="26">
        <f t="shared" si="130"/>
        <v>-19.706861761985301</v>
      </c>
      <c r="AB131" s="26">
        <f t="shared" si="131"/>
        <v>-18.046932853678264</v>
      </c>
    </row>
    <row r="132" spans="1:28" x14ac:dyDescent="0.3">
      <c r="A132" t="str">
        <f t="shared" si="123"/>
        <v>51 Skilled agricultural and related trades</v>
      </c>
      <c r="B132" s="26">
        <f t="shared" si="124"/>
        <v>2.7742255922452443</v>
      </c>
      <c r="C132" s="26">
        <f t="shared" si="124"/>
        <v>-14.200031596919633</v>
      </c>
      <c r="D132" s="26">
        <f t="shared" si="124"/>
        <v>1.7162168902242918</v>
      </c>
      <c r="E132" s="26">
        <f t="shared" si="124"/>
        <v>4.9071718448363342</v>
      </c>
      <c r="F132" s="26">
        <f t="shared" si="125"/>
        <v>6.623388735060626</v>
      </c>
      <c r="L132" t="str">
        <f t="shared" si="126"/>
        <v>51 Skilled agricultural and related trades</v>
      </c>
      <c r="M132" s="26">
        <f t="shared" si="127"/>
        <v>1.4417454766223727</v>
      </c>
      <c r="N132" s="26">
        <f t="shared" si="127"/>
        <v>-13.710067479590805</v>
      </c>
      <c r="O132" s="26">
        <f t="shared" si="127"/>
        <v>0.66534739131150999</v>
      </c>
      <c r="P132" s="26">
        <f t="shared" si="127"/>
        <v>3.0228354590671742</v>
      </c>
      <c r="Q132" s="26">
        <f t="shared" si="128"/>
        <v>3.6881828503786842</v>
      </c>
      <c r="W132" t="str">
        <f t="shared" si="129"/>
        <v>51 Skilled agricultural and related trades</v>
      </c>
      <c r="X132" s="26">
        <f t="shared" si="130"/>
        <v>1.3324801156228512</v>
      </c>
      <c r="Y132" s="26">
        <f t="shared" si="130"/>
        <v>-0.48996411732885647</v>
      </c>
      <c r="Z132" s="26">
        <f t="shared" si="130"/>
        <v>1.0508694989128617</v>
      </c>
      <c r="AA132" s="26">
        <f t="shared" si="130"/>
        <v>1.8843363857690756</v>
      </c>
      <c r="AB132" s="26">
        <f t="shared" si="131"/>
        <v>2.9352058846819373</v>
      </c>
    </row>
    <row r="133" spans="1:28" x14ac:dyDescent="0.3">
      <c r="A133" t="str">
        <f t="shared" si="123"/>
        <v>52 Skilled metal, electrical and electronic trades</v>
      </c>
      <c r="B133" s="26">
        <f t="shared" si="124"/>
        <v>-3.9181104302791567</v>
      </c>
      <c r="C133" s="26">
        <f t="shared" si="124"/>
        <v>-13.661897431976385</v>
      </c>
      <c r="D133" s="26">
        <f t="shared" si="124"/>
        <v>2.4627478161363427</v>
      </c>
      <c r="E133" s="26">
        <f t="shared" si="124"/>
        <v>-3.1955483639443258</v>
      </c>
      <c r="F133" s="26">
        <f t="shared" si="125"/>
        <v>-0.73280054780798309</v>
      </c>
      <c r="L133" t="str">
        <f t="shared" si="126"/>
        <v>52 Skilled metal, electrical and electronic trades</v>
      </c>
      <c r="M133" s="26">
        <f t="shared" si="127"/>
        <v>-5.1802271113975706</v>
      </c>
      <c r="N133" s="26">
        <f t="shared" si="127"/>
        <v>-12.931447708367543</v>
      </c>
      <c r="O133" s="26">
        <f t="shared" si="127"/>
        <v>-1.0663353015591071</v>
      </c>
      <c r="P133" s="26">
        <f t="shared" si="127"/>
        <v>-4.4969876472820829</v>
      </c>
      <c r="Q133" s="26">
        <f t="shared" si="128"/>
        <v>-5.5633229488411899</v>
      </c>
      <c r="W133" t="str">
        <f t="shared" si="129"/>
        <v>52 Skilled metal, electrical and electronic trades</v>
      </c>
      <c r="X133" s="26">
        <f t="shared" si="130"/>
        <v>1.2621166811186901</v>
      </c>
      <c r="Y133" s="26">
        <f t="shared" si="130"/>
        <v>-0.73044972360892313</v>
      </c>
      <c r="Z133" s="26">
        <f t="shared" si="130"/>
        <v>3.5290831176954134</v>
      </c>
      <c r="AA133" s="26">
        <f t="shared" si="130"/>
        <v>1.3014392833378405</v>
      </c>
      <c r="AB133" s="26">
        <f t="shared" si="131"/>
        <v>4.8305224010332539</v>
      </c>
    </row>
    <row r="134" spans="1:28" x14ac:dyDescent="0.3">
      <c r="A134" t="str">
        <f t="shared" si="123"/>
        <v>53 Skilled construction and building trades</v>
      </c>
      <c r="B134" s="26">
        <f t="shared" si="124"/>
        <v>-12.309936744059826</v>
      </c>
      <c r="C134" s="26">
        <f t="shared" si="124"/>
        <v>-1.2502060106736508</v>
      </c>
      <c r="D134" s="26">
        <f t="shared" si="124"/>
        <v>5.3095274236679444</v>
      </c>
      <c r="E134" s="26">
        <f t="shared" si="124"/>
        <v>-7.3843585792993593</v>
      </c>
      <c r="F134" s="26">
        <f t="shared" si="125"/>
        <v>-2.074831155631415</v>
      </c>
      <c r="L134" t="str">
        <f t="shared" si="126"/>
        <v>53 Skilled construction and building trades</v>
      </c>
      <c r="M134" s="26">
        <f t="shared" si="127"/>
        <v>-12.779890533440337</v>
      </c>
      <c r="N134" s="26">
        <f t="shared" si="127"/>
        <v>-1.7465025428282104</v>
      </c>
      <c r="O134" s="26">
        <f t="shared" si="127"/>
        <v>5.1800674323614828</v>
      </c>
      <c r="P134" s="26">
        <f t="shared" si="127"/>
        <v>-7.9266020663752386</v>
      </c>
      <c r="Q134" s="26">
        <f t="shared" si="128"/>
        <v>-2.7465346340137557</v>
      </c>
      <c r="W134" t="str">
        <f t="shared" si="129"/>
        <v>53 Skilled construction and building trades</v>
      </c>
      <c r="X134" s="26">
        <f t="shared" si="130"/>
        <v>0.46995378938055299</v>
      </c>
      <c r="Y134" s="26">
        <f t="shared" si="130"/>
        <v>0.49629653215474501</v>
      </c>
      <c r="Z134" s="26">
        <f t="shared" si="130"/>
        <v>0.1294599913063168</v>
      </c>
      <c r="AA134" s="26">
        <f t="shared" si="130"/>
        <v>0.54224348707575309</v>
      </c>
      <c r="AB134" s="26">
        <f t="shared" si="131"/>
        <v>0.6717034783820699</v>
      </c>
    </row>
    <row r="135" spans="1:28" x14ac:dyDescent="0.3">
      <c r="A135" t="str">
        <f t="shared" si="123"/>
        <v>54 Textiles, printing and other skilled trades</v>
      </c>
      <c r="B135" s="26">
        <f t="shared" si="124"/>
        <v>-9.1740192188420906</v>
      </c>
      <c r="C135" s="26">
        <f t="shared" si="124"/>
        <v>-1.7247200064281998</v>
      </c>
      <c r="D135" s="26">
        <f t="shared" si="124"/>
        <v>0.67575162177097781</v>
      </c>
      <c r="E135" s="26">
        <f t="shared" si="124"/>
        <v>1.6843235400014294</v>
      </c>
      <c r="F135" s="26">
        <f t="shared" si="125"/>
        <v>2.3600751617724072</v>
      </c>
      <c r="L135" t="str">
        <f t="shared" si="126"/>
        <v>54 Textiles, printing and other skilled trades</v>
      </c>
      <c r="M135" s="26">
        <f t="shared" si="127"/>
        <v>-8.0085144361628053</v>
      </c>
      <c r="N135" s="26">
        <f t="shared" si="127"/>
        <v>-2.7732765474969554</v>
      </c>
      <c r="O135" s="26">
        <f t="shared" si="127"/>
        <v>0.26380886327791586</v>
      </c>
      <c r="P135" s="26">
        <f t="shared" si="127"/>
        <v>-4.1812905410942847E-2</v>
      </c>
      <c r="Q135" s="26">
        <f t="shared" si="128"/>
        <v>0.22199595786697301</v>
      </c>
      <c r="W135" t="str">
        <f t="shared" si="129"/>
        <v>54 Textiles, printing and other skilled trades</v>
      </c>
      <c r="X135" s="26">
        <f t="shared" si="130"/>
        <v>-1.1655047826791822</v>
      </c>
      <c r="Y135" s="26">
        <f t="shared" si="130"/>
        <v>1.0485565410688231</v>
      </c>
      <c r="Z135" s="26">
        <f t="shared" si="130"/>
        <v>0.41194275849303708</v>
      </c>
      <c r="AA135" s="26">
        <f t="shared" si="130"/>
        <v>1.7261364454123758</v>
      </c>
      <c r="AB135" s="26">
        <f t="shared" si="131"/>
        <v>2.1380792039054128</v>
      </c>
    </row>
    <row r="136" spans="1:28" x14ac:dyDescent="0.3">
      <c r="A136" t="str">
        <f t="shared" si="123"/>
        <v>61 Caring personal service occupations</v>
      </c>
      <c r="B136" s="26">
        <f t="shared" si="124"/>
        <v>19.605451665670756</v>
      </c>
      <c r="C136" s="26">
        <f t="shared" si="124"/>
        <v>-7.9032668359450611</v>
      </c>
      <c r="D136" s="26">
        <f t="shared" si="124"/>
        <v>20.149522116803041</v>
      </c>
      <c r="E136" s="26">
        <f t="shared" si="124"/>
        <v>30.828202669133418</v>
      </c>
      <c r="F136" s="26">
        <f t="shared" si="125"/>
        <v>50.977724785936459</v>
      </c>
      <c r="L136" t="str">
        <f t="shared" si="126"/>
        <v>61 Caring personal service occupations</v>
      </c>
      <c r="M136" s="26">
        <f t="shared" si="127"/>
        <v>-0.21872350377165617</v>
      </c>
      <c r="N136" s="26">
        <f t="shared" si="127"/>
        <v>-1.6082344221899589</v>
      </c>
      <c r="O136" s="26">
        <f t="shared" si="127"/>
        <v>7.6780141200282586</v>
      </c>
      <c r="P136" s="26">
        <f t="shared" si="127"/>
        <v>8.2017068905155739</v>
      </c>
      <c r="Q136" s="26">
        <f t="shared" si="128"/>
        <v>15.879721010543832</v>
      </c>
      <c r="W136" t="str">
        <f t="shared" si="129"/>
        <v>61 Caring personal service occupations</v>
      </c>
      <c r="X136" s="26">
        <f t="shared" si="130"/>
        <v>19.824175169442498</v>
      </c>
      <c r="Y136" s="26">
        <f t="shared" si="130"/>
        <v>-6.2950324137552514</v>
      </c>
      <c r="Z136" s="26">
        <f t="shared" si="130"/>
        <v>12.471507996774875</v>
      </c>
      <c r="AA136" s="26">
        <f t="shared" si="130"/>
        <v>22.626495778617794</v>
      </c>
      <c r="AB136" s="26">
        <f t="shared" si="131"/>
        <v>35.098003775392669</v>
      </c>
    </row>
    <row r="137" spans="1:28" x14ac:dyDescent="0.3">
      <c r="A137" t="str">
        <f t="shared" si="123"/>
        <v>62 Leisure, travel and related personal service occupations</v>
      </c>
      <c r="B137" s="26">
        <f t="shared" si="124"/>
        <v>6.7470284407102383</v>
      </c>
      <c r="C137" s="26">
        <f t="shared" si="124"/>
        <v>-8.8319271068925786E-2</v>
      </c>
      <c r="D137" s="26">
        <f t="shared" si="124"/>
        <v>1.8629310499795366</v>
      </c>
      <c r="E137" s="26">
        <f t="shared" si="124"/>
        <v>1.5537586291835339</v>
      </c>
      <c r="F137" s="26">
        <f t="shared" si="125"/>
        <v>3.4166896791630705</v>
      </c>
      <c r="L137" t="str">
        <f t="shared" si="126"/>
        <v>62 Leisure, travel and related personal service occupations</v>
      </c>
      <c r="M137" s="26">
        <f t="shared" si="127"/>
        <v>2.4513507169524864</v>
      </c>
      <c r="N137" s="26">
        <f t="shared" si="127"/>
        <v>-1.4186162396267008</v>
      </c>
      <c r="O137" s="26">
        <f t="shared" si="127"/>
        <v>0.60298988270768206</v>
      </c>
      <c r="P137" s="26">
        <f t="shared" si="127"/>
        <v>1.7725213452743169</v>
      </c>
      <c r="Q137" s="26">
        <f t="shared" si="128"/>
        <v>2.375511227981999</v>
      </c>
      <c r="W137" t="str">
        <f t="shared" si="129"/>
        <v>62 Leisure, travel and related personal service occupations</v>
      </c>
      <c r="X137" s="26">
        <f t="shared" si="130"/>
        <v>4.2956777237578194</v>
      </c>
      <c r="Y137" s="26">
        <f t="shared" si="130"/>
        <v>1.3302969685576258</v>
      </c>
      <c r="Z137" s="26">
        <f t="shared" si="130"/>
        <v>1.2599411672718048</v>
      </c>
      <c r="AA137" s="26">
        <f t="shared" si="130"/>
        <v>-0.21876271609063735</v>
      </c>
      <c r="AB137" s="26">
        <f t="shared" si="131"/>
        <v>1.0411784511811675</v>
      </c>
    </row>
    <row r="138" spans="1:28" x14ac:dyDescent="0.3">
      <c r="A138" t="str">
        <f t="shared" si="123"/>
        <v>63 Community and civil enforcement occupations</v>
      </c>
      <c r="B138" s="26">
        <f t="shared" si="124"/>
        <v>-0.51429951433912979</v>
      </c>
      <c r="C138" s="26">
        <f t="shared" si="124"/>
        <v>0.78734135201447764</v>
      </c>
      <c r="D138" s="26">
        <f t="shared" si="124"/>
        <v>-0.65213857161869582</v>
      </c>
      <c r="E138" s="26">
        <f t="shared" si="124"/>
        <v>0.24745400594870226</v>
      </c>
      <c r="F138" s="26">
        <f t="shared" si="125"/>
        <v>-0.40468456566999356</v>
      </c>
      <c r="L138" t="str">
        <f t="shared" si="126"/>
        <v>63 Community and civil enforcement occupations</v>
      </c>
      <c r="M138" s="26">
        <f t="shared" si="127"/>
        <v>-0.65885558563173352</v>
      </c>
      <c r="N138" s="26">
        <f t="shared" si="127"/>
        <v>0.87543128277903093</v>
      </c>
      <c r="O138" s="26">
        <f t="shared" si="127"/>
        <v>-0.92453461134518156</v>
      </c>
      <c r="P138" s="26">
        <f t="shared" si="127"/>
        <v>0.21944585038333098</v>
      </c>
      <c r="Q138" s="26">
        <f t="shared" si="128"/>
        <v>-0.70508876096185058</v>
      </c>
      <c r="W138" t="str">
        <f t="shared" si="129"/>
        <v>63 Community and civil enforcement occupations</v>
      </c>
      <c r="X138" s="26">
        <f t="shared" si="130"/>
        <v>0.14455607129260484</v>
      </c>
      <c r="Y138" s="26">
        <f t="shared" si="130"/>
        <v>-8.808993076454974E-2</v>
      </c>
      <c r="Z138" s="26">
        <f t="shared" si="130"/>
        <v>0.27239603972648607</v>
      </c>
      <c r="AA138" s="26">
        <f t="shared" si="130"/>
        <v>2.8008155565369286E-2</v>
      </c>
      <c r="AB138" s="26">
        <f t="shared" si="131"/>
        <v>0.30040419529185536</v>
      </c>
    </row>
    <row r="139" spans="1:28" x14ac:dyDescent="0.3">
      <c r="A139" t="str">
        <f t="shared" si="123"/>
        <v>71 Sales occupations</v>
      </c>
      <c r="B139" s="26">
        <f t="shared" si="124"/>
        <v>-24.321069594279265</v>
      </c>
      <c r="C139" s="26">
        <f t="shared" si="124"/>
        <v>-2.3994817932276931</v>
      </c>
      <c r="D139" s="26">
        <f t="shared" si="124"/>
        <v>-13.146773425593153</v>
      </c>
      <c r="E139" s="26">
        <f t="shared" si="124"/>
        <v>-9.3784340364776142</v>
      </c>
      <c r="F139" s="26">
        <f t="shared" si="125"/>
        <v>-22.525207462070767</v>
      </c>
      <c r="L139" t="str">
        <f t="shared" si="126"/>
        <v>71 Sales occupations</v>
      </c>
      <c r="M139" s="26">
        <f t="shared" si="127"/>
        <v>-7.6989563183216347</v>
      </c>
      <c r="N139" s="26">
        <f t="shared" si="127"/>
        <v>-0.16988676636543687</v>
      </c>
      <c r="O139" s="26">
        <f t="shared" si="127"/>
        <v>-3.6168356519643368</v>
      </c>
      <c r="P139" s="26">
        <f t="shared" si="127"/>
        <v>-1.4006068604102495</v>
      </c>
      <c r="Q139" s="26">
        <f t="shared" si="128"/>
        <v>-5.0174425123745863</v>
      </c>
      <c r="W139" t="str">
        <f t="shared" si="129"/>
        <v>71 Sales occupations</v>
      </c>
      <c r="X139" s="26">
        <f t="shared" si="130"/>
        <v>-16.622113275959194</v>
      </c>
      <c r="Y139" s="26">
        <f t="shared" si="130"/>
        <v>-2.2295950268608493</v>
      </c>
      <c r="Z139" s="26">
        <f t="shared" si="130"/>
        <v>-9.5299377736287312</v>
      </c>
      <c r="AA139" s="26">
        <f t="shared" si="130"/>
        <v>-7.977827176067521</v>
      </c>
      <c r="AB139" s="26">
        <f t="shared" si="131"/>
        <v>-17.507764949696252</v>
      </c>
    </row>
    <row r="140" spans="1:28" x14ac:dyDescent="0.3">
      <c r="A140" t="str">
        <f t="shared" si="123"/>
        <v>72 Customer service occupations</v>
      </c>
      <c r="B140" s="26">
        <f t="shared" si="124"/>
        <v>4.1596232988125337</v>
      </c>
      <c r="C140" s="26">
        <f t="shared" si="124"/>
        <v>0.72724796235853972</v>
      </c>
      <c r="D140" s="26">
        <f t="shared" si="124"/>
        <v>14.037409560218357</v>
      </c>
      <c r="E140" s="26">
        <f t="shared" si="124"/>
        <v>9.744288149277132</v>
      </c>
      <c r="F140" s="26">
        <f t="shared" si="125"/>
        <v>23.781697709495489</v>
      </c>
      <c r="L140" t="str">
        <f t="shared" si="126"/>
        <v>72 Customer service occupations</v>
      </c>
      <c r="M140" s="26">
        <f t="shared" si="127"/>
        <v>-1.2562284739314737</v>
      </c>
      <c r="N140" s="26">
        <f t="shared" si="127"/>
        <v>2.7467342877782119</v>
      </c>
      <c r="O140" s="26">
        <f t="shared" si="127"/>
        <v>6.4340197430662123</v>
      </c>
      <c r="P140" s="26">
        <f t="shared" si="127"/>
        <v>4.147805702357239</v>
      </c>
      <c r="Q140" s="26">
        <f t="shared" si="128"/>
        <v>10.581825445423451</v>
      </c>
      <c r="W140" t="str">
        <f t="shared" si="129"/>
        <v>72 Customer service occupations</v>
      </c>
      <c r="X140" s="26">
        <f t="shared" si="130"/>
        <v>5.415851772744027</v>
      </c>
      <c r="Y140" s="26">
        <f t="shared" si="130"/>
        <v>-2.0194863254198339</v>
      </c>
      <c r="Z140" s="26">
        <f t="shared" si="130"/>
        <v>7.6033898171522267</v>
      </c>
      <c r="AA140" s="26">
        <f t="shared" si="130"/>
        <v>5.5964824469199499</v>
      </c>
      <c r="AB140" s="26">
        <f t="shared" si="131"/>
        <v>13.199872264072177</v>
      </c>
    </row>
    <row r="141" spans="1:28" x14ac:dyDescent="0.3">
      <c r="A141" t="str">
        <f t="shared" si="123"/>
        <v>81 Process, plant and machine operatives</v>
      </c>
      <c r="B141" s="26">
        <f t="shared" si="124"/>
        <v>-2.6338017189115135</v>
      </c>
      <c r="C141" s="26">
        <f t="shared" si="124"/>
        <v>-8.6387959701596202</v>
      </c>
      <c r="D141" s="26">
        <f t="shared" si="124"/>
        <v>16.236829324772927</v>
      </c>
      <c r="E141" s="26">
        <f t="shared" si="124"/>
        <v>-0.29339987325076322</v>
      </c>
      <c r="F141" s="26">
        <f t="shared" si="125"/>
        <v>15.943429451522164</v>
      </c>
      <c r="L141" t="str">
        <f t="shared" si="126"/>
        <v>81 Process, plant and machine operatives</v>
      </c>
      <c r="M141" s="26">
        <f t="shared" si="127"/>
        <v>-3.5393846258840895</v>
      </c>
      <c r="N141" s="26">
        <f t="shared" si="127"/>
        <v>-5.7279353163565716</v>
      </c>
      <c r="O141" s="26">
        <f t="shared" si="127"/>
        <v>11.851835189975112</v>
      </c>
      <c r="P141" s="26">
        <f t="shared" si="127"/>
        <v>0.88302223688872772</v>
      </c>
      <c r="Q141" s="26">
        <f t="shared" si="128"/>
        <v>12.73485742686384</v>
      </c>
      <c r="W141" t="str">
        <f t="shared" si="129"/>
        <v>81 Process, plant and machine operatives</v>
      </c>
      <c r="X141" s="26">
        <f t="shared" si="130"/>
        <v>0.90558290697308763</v>
      </c>
      <c r="Y141" s="26">
        <f t="shared" si="130"/>
        <v>-2.9108606538034394</v>
      </c>
      <c r="Z141" s="26">
        <f t="shared" si="130"/>
        <v>4.3849941347977932</v>
      </c>
      <c r="AA141" s="26">
        <f t="shared" si="130"/>
        <v>-1.1764221101393595</v>
      </c>
      <c r="AB141" s="26">
        <f t="shared" si="131"/>
        <v>3.2085720246584337</v>
      </c>
    </row>
    <row r="142" spans="1:28" x14ac:dyDescent="0.3">
      <c r="A142" t="str">
        <f t="shared" si="123"/>
        <v>82 Transport and mobile machine drivers and operatives</v>
      </c>
      <c r="B142" s="26">
        <f t="shared" si="124"/>
        <v>16.98633516038025</v>
      </c>
      <c r="C142" s="26">
        <f t="shared" si="124"/>
        <v>-14.875654702262679</v>
      </c>
      <c r="D142" s="26">
        <f t="shared" si="124"/>
        <v>13.201202741287844</v>
      </c>
      <c r="E142" s="26">
        <f t="shared" si="124"/>
        <v>3.8857805231019711</v>
      </c>
      <c r="F142" s="26">
        <f t="shared" si="125"/>
        <v>17.086983264389815</v>
      </c>
      <c r="L142" t="str">
        <f t="shared" si="126"/>
        <v>82 Transport and mobile machine drivers and operatives</v>
      </c>
      <c r="M142" s="26">
        <f t="shared" si="127"/>
        <v>16.558816369428087</v>
      </c>
      <c r="N142" s="26">
        <f t="shared" si="127"/>
        <v>-14.636277705299378</v>
      </c>
      <c r="O142" s="26">
        <f t="shared" si="127"/>
        <v>8.4630115140350171</v>
      </c>
      <c r="P142" s="26">
        <f t="shared" si="127"/>
        <v>1.65272406798654</v>
      </c>
      <c r="Q142" s="26">
        <f t="shared" si="128"/>
        <v>10.115735582021557</v>
      </c>
      <c r="W142" t="str">
        <f t="shared" si="129"/>
        <v>82 Transport and mobile machine drivers and operatives</v>
      </c>
      <c r="X142" s="26">
        <f t="shared" si="130"/>
        <v>0.4275187909521545</v>
      </c>
      <c r="Y142" s="26">
        <f t="shared" si="130"/>
        <v>-0.23937699696307924</v>
      </c>
      <c r="Z142" s="26">
        <f t="shared" si="130"/>
        <v>4.7381912272526723</v>
      </c>
      <c r="AA142" s="26">
        <f t="shared" si="130"/>
        <v>2.2330564551156495</v>
      </c>
      <c r="AB142" s="26">
        <f t="shared" si="131"/>
        <v>6.9712476823683218</v>
      </c>
    </row>
    <row r="143" spans="1:28" x14ac:dyDescent="0.3">
      <c r="A143" t="str">
        <f t="shared" si="123"/>
        <v>91 Elementary trades and related occupations</v>
      </c>
      <c r="B143" s="26">
        <f t="shared" si="124"/>
        <v>-6.2949904604181341</v>
      </c>
      <c r="C143" s="26">
        <f t="shared" si="124"/>
        <v>-4.6199837208172312</v>
      </c>
      <c r="D143" s="26">
        <f t="shared" si="124"/>
        <v>-5.8107378506136556</v>
      </c>
      <c r="E143" s="26">
        <f t="shared" si="124"/>
        <v>1.1716356784781112E-2</v>
      </c>
      <c r="F143" s="26">
        <f t="shared" si="125"/>
        <v>-5.7990214938288744</v>
      </c>
      <c r="L143" t="str">
        <f t="shared" si="126"/>
        <v>91 Elementary trades and related occupations</v>
      </c>
      <c r="M143" s="26">
        <f t="shared" si="127"/>
        <v>-5.3806384106136846</v>
      </c>
      <c r="N143" s="26">
        <f t="shared" si="127"/>
        <v>-2.3068962856249016</v>
      </c>
      <c r="O143" s="26">
        <f t="shared" si="127"/>
        <v>-4.7242202134930835</v>
      </c>
      <c r="P143" s="26">
        <f t="shared" si="127"/>
        <v>0.23888637903618815</v>
      </c>
      <c r="Q143" s="26">
        <f t="shared" si="128"/>
        <v>-4.4853338344568954</v>
      </c>
      <c r="W143" t="str">
        <f t="shared" si="129"/>
        <v>91 Elementary trades and related occupations</v>
      </c>
      <c r="X143" s="26">
        <f t="shared" si="130"/>
        <v>-0.9143520498043749</v>
      </c>
      <c r="Y143" s="26">
        <f t="shared" si="130"/>
        <v>-2.3130874351923865</v>
      </c>
      <c r="Z143" s="26">
        <f t="shared" si="130"/>
        <v>-1.0865176371205738</v>
      </c>
      <c r="AA143" s="26">
        <f t="shared" si="130"/>
        <v>-0.22717002225143368</v>
      </c>
      <c r="AB143" s="26">
        <f t="shared" si="131"/>
        <v>-1.3136876593720075</v>
      </c>
    </row>
    <row r="144" spans="1:28" x14ac:dyDescent="0.3">
      <c r="A144" t="str">
        <f t="shared" si="123"/>
        <v>92 Elementary administration and service occupations</v>
      </c>
      <c r="B144" s="26">
        <f t="shared" si="124"/>
        <v>3.6057414073288214</v>
      </c>
      <c r="C144" s="26">
        <f t="shared" si="124"/>
        <v>-25.89602722207087</v>
      </c>
      <c r="D144" s="26">
        <f t="shared" si="124"/>
        <v>7.9635382334596443</v>
      </c>
      <c r="E144" s="26">
        <f t="shared" si="124"/>
        <v>-13.982570849789113</v>
      </c>
      <c r="F144" s="26">
        <f t="shared" si="125"/>
        <v>-6.0190326163294685</v>
      </c>
      <c r="L144" t="str">
        <f t="shared" si="126"/>
        <v>92 Elementary administration and service occupations</v>
      </c>
      <c r="M144" s="26">
        <f t="shared" si="127"/>
        <v>-6.9483005642628939</v>
      </c>
      <c r="N144" s="26">
        <f t="shared" si="127"/>
        <v>-5.9649472167469355</v>
      </c>
      <c r="O144" s="26">
        <f t="shared" si="127"/>
        <v>10.621461617473756</v>
      </c>
      <c r="P144" s="26">
        <f t="shared" si="127"/>
        <v>-6.1414791887972626</v>
      </c>
      <c r="Q144" s="26">
        <f t="shared" si="128"/>
        <v>4.4799824286764931</v>
      </c>
      <c r="W144" t="str">
        <f t="shared" si="129"/>
        <v>92 Elementary administration and service occupations</v>
      </c>
      <c r="X144" s="26">
        <f t="shared" si="130"/>
        <v>10.554041971590124</v>
      </c>
      <c r="Y144" s="26">
        <f t="shared" si="130"/>
        <v>-19.931080005324503</v>
      </c>
      <c r="Z144" s="26">
        <f t="shared" si="130"/>
        <v>-2.6579233840128893</v>
      </c>
      <c r="AA144" s="26">
        <f t="shared" si="130"/>
        <v>-7.8410916609918218</v>
      </c>
      <c r="AB144" s="26">
        <f t="shared" si="131"/>
        <v>-10.499015045004711</v>
      </c>
    </row>
    <row r="145" spans="1:31" x14ac:dyDescent="0.3">
      <c r="C145" s="26"/>
      <c r="F145" s="26"/>
      <c r="N145" s="26"/>
      <c r="Q145" s="26"/>
      <c r="Y145" s="26"/>
      <c r="AB145" s="26"/>
    </row>
    <row r="146" spans="1:31" x14ac:dyDescent="0.3">
      <c r="A146" s="23" t="str">
        <f>A35</f>
        <v>All occupations</v>
      </c>
      <c r="B146" s="28">
        <f>C35-B35</f>
        <v>151.32399999880499</v>
      </c>
      <c r="C146" s="28">
        <f t="shared" ref="C146" si="132">D35-C35</f>
        <v>-32.910999999916839</v>
      </c>
      <c r="D146" s="28">
        <f>E35-D35</f>
        <v>106.06000000160338</v>
      </c>
      <c r="E146" s="28">
        <f>F35-E35</f>
        <v>164.03099999789629</v>
      </c>
      <c r="F146" s="28">
        <f t="shared" ref="F146" si="133">F35-D35</f>
        <v>270.09099999949967</v>
      </c>
      <c r="L146" s="23" t="str">
        <f>L35</f>
        <v>All occupations</v>
      </c>
      <c r="M146" s="28">
        <f>N35-M35</f>
        <v>30.309000000221658</v>
      </c>
      <c r="N146" s="28">
        <f t="shared" ref="N146" si="134">O35-N35</f>
        <v>-24.11100000059605</v>
      </c>
      <c r="O146" s="28">
        <f>P35-O35</f>
        <v>57.172999999130752</v>
      </c>
      <c r="P146" s="28">
        <f>Q35-P35</f>
        <v>76.594000000052347</v>
      </c>
      <c r="Q146" s="28">
        <f t="shared" ref="Q146" si="135">Q35-O35</f>
        <v>133.7669999991831</v>
      </c>
      <c r="W146" s="23" t="str">
        <f>W35</f>
        <v>All occupations</v>
      </c>
      <c r="X146" s="28">
        <f>Y35-X35</f>
        <v>121.01499999858243</v>
      </c>
      <c r="Y146" s="28">
        <f t="shared" ref="Y146" si="136">Z35-Y35</f>
        <v>-8.7999999993203346</v>
      </c>
      <c r="Z146" s="28">
        <f>AA35-Z35</f>
        <v>48.887000002473769</v>
      </c>
      <c r="AA146" s="28">
        <f>AB35-AA35</f>
        <v>87.436999997843714</v>
      </c>
      <c r="AB146" s="28">
        <f t="shared" ref="AB146" si="137">AB35-Z35</f>
        <v>136.32400000031748</v>
      </c>
    </row>
    <row r="150" spans="1:31" x14ac:dyDescent="0.3">
      <c r="D150" s="1" t="s">
        <v>13</v>
      </c>
      <c r="H150" s="40" t="s">
        <v>41</v>
      </c>
      <c r="O150" s="1" t="s">
        <v>13</v>
      </c>
      <c r="S150" s="40" t="s">
        <v>41</v>
      </c>
      <c r="Z150" s="1" t="s">
        <v>13</v>
      </c>
      <c r="AD150" s="40" t="s">
        <v>41</v>
      </c>
    </row>
    <row r="151" spans="1:31" x14ac:dyDescent="0.3">
      <c r="A151" s="21"/>
      <c r="B151" s="22">
        <f>B6</f>
        <v>2015</v>
      </c>
      <c r="C151" s="22">
        <f t="shared" ref="C151:F151" si="138">C6</f>
        <v>2019</v>
      </c>
      <c r="D151" s="22">
        <f t="shared" si="138"/>
        <v>2020</v>
      </c>
      <c r="E151" s="22">
        <f t="shared" si="138"/>
        <v>2025</v>
      </c>
      <c r="F151" s="22">
        <f t="shared" si="138"/>
        <v>2035</v>
      </c>
      <c r="H151" s="74" t="str">
        <f>CONCATENATE(B$6,"-",D$6)</f>
        <v>2015-2020</v>
      </c>
      <c r="I151" s="74" t="str">
        <f>CONCATENATE(D$6,"-",F$6)</f>
        <v>2020-2035</v>
      </c>
      <c r="L151" s="21"/>
      <c r="M151" s="22">
        <f>M6</f>
        <v>2015</v>
      </c>
      <c r="N151" s="22">
        <f t="shared" ref="N151:Q151" si="139">N6</f>
        <v>2019</v>
      </c>
      <c r="O151" s="22">
        <f t="shared" si="139"/>
        <v>2020</v>
      </c>
      <c r="P151" s="22">
        <f t="shared" si="139"/>
        <v>2025</v>
      </c>
      <c r="Q151" s="22">
        <f t="shared" si="139"/>
        <v>2035</v>
      </c>
      <c r="S151" s="74" t="str">
        <f>CONCATENATE(M$6,"-",O$6)</f>
        <v>2015-2020</v>
      </c>
      <c r="T151" s="74" t="str">
        <f>CONCATENATE(O$6,"-",Q$6)</f>
        <v>2020-2035</v>
      </c>
      <c r="W151" s="21"/>
      <c r="X151" s="22">
        <f>X6</f>
        <v>2015</v>
      </c>
      <c r="Y151" s="22">
        <f t="shared" ref="Y151:AB151" si="140">Y6</f>
        <v>2019</v>
      </c>
      <c r="Z151" s="22">
        <f t="shared" si="140"/>
        <v>2020</v>
      </c>
      <c r="AA151" s="22">
        <f t="shared" si="140"/>
        <v>2025</v>
      </c>
      <c r="AB151" s="22">
        <f t="shared" si="140"/>
        <v>2035</v>
      </c>
      <c r="AD151" s="74" t="str">
        <f>CONCATENATE(X$6,"-",Z$6)</f>
        <v>2015-2020</v>
      </c>
      <c r="AE151" s="74" t="str">
        <f>CONCATENATE(Z$6,"-",AB$6)</f>
        <v>2020-2035</v>
      </c>
    </row>
    <row r="152" spans="1:31" x14ac:dyDescent="0.3">
      <c r="A152" s="10"/>
      <c r="B152" s="11"/>
      <c r="C152" s="11"/>
      <c r="D152" s="11"/>
      <c r="E152" s="11"/>
      <c r="F152" s="11"/>
      <c r="H152" s="39"/>
      <c r="I152" s="39"/>
      <c r="L152" s="10"/>
      <c r="M152" s="11"/>
      <c r="N152" s="11"/>
      <c r="O152" s="11"/>
      <c r="P152" s="11"/>
      <c r="Q152" s="11"/>
      <c r="S152" s="39"/>
      <c r="T152" s="39"/>
      <c r="W152" s="10"/>
      <c r="X152" s="11"/>
      <c r="Y152" s="11"/>
      <c r="Z152" s="11"/>
      <c r="AA152" s="11"/>
      <c r="AB152" s="11"/>
      <c r="AD152" s="39"/>
      <c r="AE152" s="39"/>
    </row>
    <row r="153" spans="1:31" x14ac:dyDescent="0.3">
      <c r="A153" s="10" t="str">
        <f t="shared" ref="A153:B178" si="141">A8</f>
        <v>11 Corporate managers and directors</v>
      </c>
      <c r="B153" s="11">
        <f t="shared" si="141"/>
        <v>215.07175900141254</v>
      </c>
      <c r="C153" s="11">
        <f t="shared" ref="C153:F153" si="142">C8</f>
        <v>251.33188958578569</v>
      </c>
      <c r="D153" s="11">
        <f t="shared" si="142"/>
        <v>256.42027451780478</v>
      </c>
      <c r="E153" s="11">
        <f t="shared" si="142"/>
        <v>241.82674878761222</v>
      </c>
      <c r="F153" s="11">
        <f t="shared" si="142"/>
        <v>268.37253864090906</v>
      </c>
      <c r="H153" s="39">
        <f>IF(D$151-B$151 &lt;&gt; 0,(EXP(LN(D153/B153)/(D$151-B$151))-1)*100,0)</f>
        <v>3.5794963005086888</v>
      </c>
      <c r="I153" s="39">
        <f>IF(F$151-D$151 &lt;&gt; 0,(EXP(LN(F153/D153)/(F$151-D$151))-1)*100,0)</f>
        <v>0.3041836297678735</v>
      </c>
      <c r="L153" s="10" t="str">
        <f>L8</f>
        <v>11 Corporate managers and directors</v>
      </c>
      <c r="M153" s="11">
        <f>M8</f>
        <v>152.17344731844599</v>
      </c>
      <c r="N153" s="11">
        <f t="shared" ref="N153:Q153" si="143">N8</f>
        <v>169.94446921040699</v>
      </c>
      <c r="O153" s="11">
        <f t="shared" si="143"/>
        <v>172.98494259895583</v>
      </c>
      <c r="P153" s="11">
        <f t="shared" si="143"/>
        <v>158.38341516722772</v>
      </c>
      <c r="Q153" s="11">
        <f t="shared" si="143"/>
        <v>168.08260187035154</v>
      </c>
      <c r="S153" s="39">
        <f>IF(O$151-M$151 &lt;&gt; 0,(EXP(LN(O153/M153)/(O$151-M$151))-1)*100,0)</f>
        <v>2.5968163488600204</v>
      </c>
      <c r="T153" s="39">
        <f>IF(Q$151-O$151 &lt;&gt; 0,(EXP(LN(Q153/O153)/(Q$151-O$151))-1)*100,0)</f>
        <v>-0.19147656488724962</v>
      </c>
      <c r="W153" s="10" t="str">
        <f>W8</f>
        <v>11 Corporate managers and directors</v>
      </c>
      <c r="X153" s="11">
        <f>X8</f>
        <v>62.898311682966295</v>
      </c>
      <c r="Y153" s="11">
        <f t="shared" ref="Y153:AB153" si="144">Y8</f>
        <v>81.387420375379037</v>
      </c>
      <c r="Z153" s="11">
        <f t="shared" si="144"/>
        <v>83.435331918849499</v>
      </c>
      <c r="AA153" s="11">
        <f t="shared" si="144"/>
        <v>83.443333620384934</v>
      </c>
      <c r="AB153" s="11">
        <f t="shared" si="144"/>
        <v>100.28993677055635</v>
      </c>
      <c r="AD153" s="39">
        <f>IF(Z$151-X$151 &lt;&gt; 0,(EXP(LN(Z153/X153)/(Z$151-X$151))-1)*100,0)</f>
        <v>5.8137734014130249</v>
      </c>
      <c r="AE153" s="39">
        <f>IF(AB$151-Z$151 &lt;&gt; 0,(EXP(LN(AB153/Z153)/(AB$151-Z$151))-1)*100,0)</f>
        <v>1.2341771770020049</v>
      </c>
    </row>
    <row r="154" spans="1:31" x14ac:dyDescent="0.3">
      <c r="A154" s="10" t="str">
        <f t="shared" si="141"/>
        <v>12 Other managers and proprietors</v>
      </c>
      <c r="B154" s="11">
        <f t="shared" si="141"/>
        <v>102.22745303138501</v>
      </c>
      <c r="C154" s="11">
        <f t="shared" ref="C154:F178" si="145">C9</f>
        <v>107.51427216223921</v>
      </c>
      <c r="D154" s="11">
        <f t="shared" si="145"/>
        <v>108.45532958998095</v>
      </c>
      <c r="E154" s="11">
        <f t="shared" si="145"/>
        <v>135.36492976960793</v>
      </c>
      <c r="F154" s="11">
        <f t="shared" si="145"/>
        <v>157.68053767542241</v>
      </c>
      <c r="H154" s="39">
        <f t="shared" ref="H154:H180" si="146">IF(D$151-B$151 &lt;&gt; 0,(EXP(LN(D154/B154)/(D$151-B$151))-1)*100,0)</f>
        <v>1.1897846321342831</v>
      </c>
      <c r="I154" s="39">
        <f t="shared" ref="I154:I180" si="147">IF(F$151-D$151 &lt;&gt; 0,(EXP(LN(F154/D154)/(F$151-D$151))-1)*100,0)</f>
        <v>2.5262673128389146</v>
      </c>
      <c r="L154" s="10" t="str">
        <f t="shared" ref="L154:Q154" si="148">L9</f>
        <v>12 Other managers and proprietors</v>
      </c>
      <c r="M154" s="11">
        <f t="shared" si="148"/>
        <v>61.403052388524266</v>
      </c>
      <c r="N154" s="11">
        <f t="shared" si="148"/>
        <v>60.911058603201035</v>
      </c>
      <c r="O154" s="11">
        <f t="shared" si="148"/>
        <v>61.830377944235373</v>
      </c>
      <c r="P154" s="11">
        <f t="shared" si="148"/>
        <v>79.529541153887308</v>
      </c>
      <c r="Q154" s="11">
        <f t="shared" si="148"/>
        <v>91.343284545706183</v>
      </c>
      <c r="S154" s="39">
        <f t="shared" ref="S154:S177" si="149">IF(O$151-M$151 &lt;&gt; 0,(EXP(LN(O154/M154)/(O$151-M$151))-1)*100,0)</f>
        <v>0.13880122188003607</v>
      </c>
      <c r="T154" s="39">
        <f t="shared" ref="T154:T177" si="150">IF(Q$151-O$151 &lt;&gt; 0,(EXP(LN(Q154/O154)/(Q$151-O$151))-1)*100,0)</f>
        <v>2.6356683801950442</v>
      </c>
      <c r="W154" s="10" t="str">
        <f t="shared" ref="W154:AB154" si="151">W9</f>
        <v>12 Other managers and proprietors</v>
      </c>
      <c r="X154" s="11">
        <f t="shared" si="151"/>
        <v>40.824400642860688</v>
      </c>
      <c r="Y154" s="11">
        <f t="shared" si="151"/>
        <v>46.603213559038352</v>
      </c>
      <c r="Z154" s="11">
        <f t="shared" si="151"/>
        <v>46.624951645745739</v>
      </c>
      <c r="AA154" s="11">
        <f t="shared" si="151"/>
        <v>55.835388615720682</v>
      </c>
      <c r="AB154" s="11">
        <f t="shared" si="151"/>
        <v>66.337253129716359</v>
      </c>
      <c r="AD154" s="39">
        <f t="shared" ref="AD154:AD177" si="152">IF(Z$151-X$151 &lt;&gt; 0,(EXP(LN(Z154/X154)/(Z$151-X$151))-1)*100,0)</f>
        <v>2.6927337909475657</v>
      </c>
      <c r="AE154" s="39">
        <f t="shared" ref="AE154:AE177" si="153">IF(AB$151-Z$151 &lt;&gt; 0,(EXP(LN(AB154/Z154)/(AB$151-Z$151))-1)*100,0)</f>
        <v>2.3786203379396742</v>
      </c>
    </row>
    <row r="155" spans="1:31" x14ac:dyDescent="0.3">
      <c r="A155" s="10" t="str">
        <f t="shared" si="141"/>
        <v>21 Science, research, engineering and technology professionals</v>
      </c>
      <c r="B155" s="11">
        <f t="shared" si="141"/>
        <v>186.41484950766176</v>
      </c>
      <c r="C155" s="11">
        <f t="shared" si="145"/>
        <v>211.52119916310374</v>
      </c>
      <c r="D155" s="11">
        <f t="shared" si="145"/>
        <v>219.28005434285362</v>
      </c>
      <c r="E155" s="11">
        <f t="shared" si="145"/>
        <v>232.31387681230299</v>
      </c>
      <c r="F155" s="11">
        <f t="shared" si="145"/>
        <v>259.05118497637233</v>
      </c>
      <c r="H155" s="39">
        <f t="shared" si="146"/>
        <v>3.3008095717167008</v>
      </c>
      <c r="I155" s="39">
        <f t="shared" si="147"/>
        <v>1.1173695766667269</v>
      </c>
      <c r="L155" s="10" t="str">
        <f t="shared" ref="L155:Q155" si="154">L10</f>
        <v>21 Science, research, engineering and technology professionals</v>
      </c>
      <c r="M155" s="11">
        <f t="shared" si="154"/>
        <v>150.02177422043576</v>
      </c>
      <c r="N155" s="11">
        <f t="shared" si="154"/>
        <v>171.93131422005402</v>
      </c>
      <c r="O155" s="11">
        <f t="shared" si="154"/>
        <v>170.72669122283156</v>
      </c>
      <c r="P155" s="11">
        <f t="shared" si="154"/>
        <v>175.22040935425167</v>
      </c>
      <c r="Q155" s="11">
        <f t="shared" si="154"/>
        <v>189.99632295157582</v>
      </c>
      <c r="S155" s="39">
        <f t="shared" si="149"/>
        <v>2.6193891718954587</v>
      </c>
      <c r="T155" s="39">
        <f t="shared" si="150"/>
        <v>0.71548570954067525</v>
      </c>
      <c r="W155" s="10" t="str">
        <f t="shared" ref="W155:AB155" si="155">W10</f>
        <v>21 Science, research, engineering and technology professionals</v>
      </c>
      <c r="X155" s="11">
        <f t="shared" si="155"/>
        <v>36.393075287226146</v>
      </c>
      <c r="Y155" s="11">
        <f t="shared" si="155"/>
        <v>39.589884943049611</v>
      </c>
      <c r="Z155" s="11">
        <f t="shared" si="155"/>
        <v>48.553363120021771</v>
      </c>
      <c r="AA155" s="11">
        <f t="shared" si="155"/>
        <v>57.093467458051073</v>
      </c>
      <c r="AB155" s="11">
        <f t="shared" si="155"/>
        <v>69.054862024796279</v>
      </c>
      <c r="AD155" s="39">
        <f t="shared" si="152"/>
        <v>5.9351564445334404</v>
      </c>
      <c r="AE155" s="39">
        <f t="shared" si="153"/>
        <v>2.3760407092544789</v>
      </c>
    </row>
    <row r="156" spans="1:31" x14ac:dyDescent="0.3">
      <c r="A156" s="10" t="str">
        <f t="shared" si="141"/>
        <v>22 Health professionals</v>
      </c>
      <c r="B156" s="11">
        <f t="shared" si="141"/>
        <v>101.29090452362664</v>
      </c>
      <c r="C156" s="11">
        <f t="shared" si="145"/>
        <v>122.61083730173362</v>
      </c>
      <c r="D156" s="11">
        <f t="shared" si="145"/>
        <v>119.29571542032333</v>
      </c>
      <c r="E156" s="11">
        <f t="shared" si="145"/>
        <v>129.3840758209306</v>
      </c>
      <c r="F156" s="11">
        <f t="shared" si="145"/>
        <v>145.28131543342394</v>
      </c>
      <c r="H156" s="39">
        <f t="shared" si="146"/>
        <v>3.3263002992039548</v>
      </c>
      <c r="I156" s="39">
        <f t="shared" si="147"/>
        <v>1.3224450025044021</v>
      </c>
      <c r="L156" s="10" t="str">
        <f t="shared" ref="L156:Q156" si="156">L11</f>
        <v>22 Health professionals</v>
      </c>
      <c r="M156" s="11">
        <f t="shared" si="156"/>
        <v>28.77547663122294</v>
      </c>
      <c r="N156" s="11">
        <f t="shared" si="156"/>
        <v>32.410910707307011</v>
      </c>
      <c r="O156" s="11">
        <f t="shared" si="156"/>
        <v>31.855153655621528</v>
      </c>
      <c r="P156" s="11">
        <f t="shared" si="156"/>
        <v>34.687140670361813</v>
      </c>
      <c r="Q156" s="11">
        <f t="shared" si="156"/>
        <v>39.154259729896829</v>
      </c>
      <c r="S156" s="39">
        <f t="shared" si="149"/>
        <v>2.0543299563780648</v>
      </c>
      <c r="T156" s="39">
        <f t="shared" si="150"/>
        <v>1.3849024287609701</v>
      </c>
      <c r="W156" s="10" t="str">
        <f t="shared" ref="W156:AB156" si="157">W11</f>
        <v>22 Health professionals</v>
      </c>
      <c r="X156" s="11">
        <f t="shared" si="157"/>
        <v>72.515427892403807</v>
      </c>
      <c r="Y156" s="11">
        <f t="shared" si="157"/>
        <v>90.199926594426813</v>
      </c>
      <c r="Z156" s="11">
        <f t="shared" si="157"/>
        <v>87.440561764701499</v>
      </c>
      <c r="AA156" s="11">
        <f t="shared" si="157"/>
        <v>94.696935150568564</v>
      </c>
      <c r="AB156" s="11">
        <f t="shared" si="157"/>
        <v>106.12705570352759</v>
      </c>
      <c r="AD156" s="39">
        <f t="shared" si="152"/>
        <v>3.8141386674132027</v>
      </c>
      <c r="AE156" s="39">
        <f t="shared" si="153"/>
        <v>1.2995567635723848</v>
      </c>
    </row>
    <row r="157" spans="1:31" x14ac:dyDescent="0.3">
      <c r="A157" s="10" t="str">
        <f t="shared" si="141"/>
        <v>23 Teaching and other educational professionals</v>
      </c>
      <c r="B157" s="11">
        <f t="shared" si="141"/>
        <v>128.56143721289453</v>
      </c>
      <c r="C157" s="11">
        <f t="shared" si="145"/>
        <v>145.1957743366284</v>
      </c>
      <c r="D157" s="11">
        <f t="shared" si="145"/>
        <v>150.97859691014554</v>
      </c>
      <c r="E157" s="11">
        <f t="shared" si="145"/>
        <v>156.21158434273588</v>
      </c>
      <c r="F157" s="11">
        <f t="shared" si="145"/>
        <v>169.79821578021685</v>
      </c>
      <c r="H157" s="39">
        <f t="shared" si="146"/>
        <v>3.2668508354085413</v>
      </c>
      <c r="I157" s="39">
        <f t="shared" si="147"/>
        <v>0.78622586089196478</v>
      </c>
      <c r="L157" s="10" t="str">
        <f t="shared" ref="L157:Q157" si="158">L12</f>
        <v>23 Teaching and other educational professionals</v>
      </c>
      <c r="M157" s="11">
        <f t="shared" si="158"/>
        <v>45.697424707911964</v>
      </c>
      <c r="N157" s="11">
        <f t="shared" si="158"/>
        <v>45.373804973074535</v>
      </c>
      <c r="O157" s="11">
        <f t="shared" si="158"/>
        <v>48.614165247228179</v>
      </c>
      <c r="P157" s="11">
        <f t="shared" si="158"/>
        <v>52.008091926516101</v>
      </c>
      <c r="Q157" s="11">
        <f t="shared" si="158"/>
        <v>56.019490291550916</v>
      </c>
      <c r="S157" s="39">
        <f t="shared" si="149"/>
        <v>1.2451484238062305</v>
      </c>
      <c r="T157" s="39">
        <f t="shared" si="150"/>
        <v>0.94971286570770808</v>
      </c>
      <c r="W157" s="10" t="str">
        <f t="shared" ref="W157:AB157" si="159">W12</f>
        <v>23 Teaching and other educational professionals</v>
      </c>
      <c r="X157" s="11">
        <f t="shared" si="159"/>
        <v>82.864012504982583</v>
      </c>
      <c r="Y157" s="11">
        <f t="shared" si="159"/>
        <v>99.821969363554061</v>
      </c>
      <c r="Z157" s="11">
        <f t="shared" si="159"/>
        <v>102.36443166291744</v>
      </c>
      <c r="AA157" s="11">
        <f t="shared" si="159"/>
        <v>104.20349241622004</v>
      </c>
      <c r="AB157" s="11">
        <f t="shared" si="159"/>
        <v>113.77872548866561</v>
      </c>
      <c r="AD157" s="39">
        <f t="shared" si="152"/>
        <v>4.31736874232862</v>
      </c>
      <c r="AE157" s="39">
        <f t="shared" si="153"/>
        <v>0.70726440049677652</v>
      </c>
    </row>
    <row r="158" spans="1:31" x14ac:dyDescent="0.3">
      <c r="A158" s="10" t="str">
        <f t="shared" si="141"/>
        <v>24 Business, media and public service professionals</v>
      </c>
      <c r="B158" s="11">
        <f t="shared" si="141"/>
        <v>170.0371064822983</v>
      </c>
      <c r="C158" s="11">
        <f t="shared" si="145"/>
        <v>200.00446446507434</v>
      </c>
      <c r="D158" s="11">
        <f t="shared" si="145"/>
        <v>215.262818884013</v>
      </c>
      <c r="E158" s="11">
        <f t="shared" si="145"/>
        <v>242.65710850270656</v>
      </c>
      <c r="F158" s="11">
        <f t="shared" si="145"/>
        <v>277.19455512326959</v>
      </c>
      <c r="H158" s="39">
        <f t="shared" si="146"/>
        <v>4.8298739097845989</v>
      </c>
      <c r="I158" s="39">
        <f t="shared" si="147"/>
        <v>1.7000215177650269</v>
      </c>
      <c r="L158" s="10" t="str">
        <f t="shared" ref="L158:Q158" si="160">L13</f>
        <v>24 Business, media and public service professionals</v>
      </c>
      <c r="M158" s="11">
        <f t="shared" si="160"/>
        <v>102.7809275400225</v>
      </c>
      <c r="N158" s="11">
        <f t="shared" si="160"/>
        <v>116.05199547292544</v>
      </c>
      <c r="O158" s="11">
        <f t="shared" si="160"/>
        <v>122.51873655515763</v>
      </c>
      <c r="P158" s="11">
        <f t="shared" si="160"/>
        <v>139.42306503733991</v>
      </c>
      <c r="Q158" s="11">
        <f t="shared" si="160"/>
        <v>154.37457535257701</v>
      </c>
      <c r="S158" s="39">
        <f t="shared" si="149"/>
        <v>3.5757282143707103</v>
      </c>
      <c r="T158" s="39">
        <f t="shared" si="150"/>
        <v>1.5527178954659604</v>
      </c>
      <c r="W158" s="10" t="str">
        <f t="shared" ref="W158:AB158" si="161">W13</f>
        <v>24 Business, media and public service professionals</v>
      </c>
      <c r="X158" s="11">
        <f t="shared" si="161"/>
        <v>67.256178942276037</v>
      </c>
      <c r="Y158" s="11">
        <f t="shared" si="161"/>
        <v>83.952468992148695</v>
      </c>
      <c r="Z158" s="11">
        <f t="shared" si="161"/>
        <v>92.744082328855939</v>
      </c>
      <c r="AA158" s="11">
        <f t="shared" si="161"/>
        <v>103.23404346536694</v>
      </c>
      <c r="AB158" s="11">
        <f t="shared" si="161"/>
        <v>122.81997977069315</v>
      </c>
      <c r="AD158" s="39">
        <f t="shared" si="152"/>
        <v>6.6377083995325714</v>
      </c>
      <c r="AE158" s="39">
        <f t="shared" si="153"/>
        <v>1.890146702380302</v>
      </c>
    </row>
    <row r="159" spans="1:31" x14ac:dyDescent="0.3">
      <c r="A159" s="10" t="str">
        <f t="shared" si="141"/>
        <v>31 Science, engineering and technology associate professionals</v>
      </c>
      <c r="B159" s="11">
        <f t="shared" si="141"/>
        <v>51.916227810861997</v>
      </c>
      <c r="C159" s="11">
        <f t="shared" si="145"/>
        <v>60.866837475210005</v>
      </c>
      <c r="D159" s="11">
        <f t="shared" si="145"/>
        <v>66.661989893571118</v>
      </c>
      <c r="E159" s="11">
        <f t="shared" si="145"/>
        <v>59.279962103038798</v>
      </c>
      <c r="F159" s="11">
        <f t="shared" si="145"/>
        <v>64.377093001295108</v>
      </c>
      <c r="H159" s="39">
        <f t="shared" si="146"/>
        <v>5.1271833935540245</v>
      </c>
      <c r="I159" s="39">
        <f t="shared" si="147"/>
        <v>-0.23224358115438992</v>
      </c>
      <c r="L159" s="10" t="str">
        <f t="shared" ref="L159:Q159" si="162">L14</f>
        <v>31 Science, engineering and technology associate professionals</v>
      </c>
      <c r="M159" s="11">
        <f t="shared" si="162"/>
        <v>37.293173128258822</v>
      </c>
      <c r="N159" s="11">
        <f t="shared" si="162"/>
        <v>45.365947382655399</v>
      </c>
      <c r="O159" s="11">
        <f t="shared" si="162"/>
        <v>47.722010404448028</v>
      </c>
      <c r="P159" s="11">
        <f t="shared" si="162"/>
        <v>39.733775598430739</v>
      </c>
      <c r="Q159" s="11">
        <f t="shared" si="162"/>
        <v>41.108889627217472</v>
      </c>
      <c r="S159" s="39">
        <f t="shared" si="149"/>
        <v>5.055278583344891</v>
      </c>
      <c r="T159" s="39">
        <f t="shared" si="150"/>
        <v>-0.98952720611780176</v>
      </c>
      <c r="W159" s="10" t="str">
        <f t="shared" ref="W159:AB159" si="163">W14</f>
        <v>31 Science, engineering and technology associate professionals</v>
      </c>
      <c r="X159" s="11">
        <f t="shared" si="163"/>
        <v>14.623054682603126</v>
      </c>
      <c r="Y159" s="11">
        <f t="shared" si="163"/>
        <v>15.500890092554645</v>
      </c>
      <c r="Z159" s="11">
        <f t="shared" si="163"/>
        <v>18.939979489123175</v>
      </c>
      <c r="AA159" s="11">
        <f t="shared" si="163"/>
        <v>19.546186504608016</v>
      </c>
      <c r="AB159" s="11">
        <f t="shared" si="163"/>
        <v>23.268203374077732</v>
      </c>
      <c r="AD159" s="39">
        <f t="shared" si="152"/>
        <v>5.3096768394918392</v>
      </c>
      <c r="AE159" s="39">
        <f t="shared" si="153"/>
        <v>1.3815413652310093</v>
      </c>
    </row>
    <row r="160" spans="1:31" x14ac:dyDescent="0.3">
      <c r="A160" s="10" t="str">
        <f t="shared" si="141"/>
        <v>32 Health and social care associate professionals</v>
      </c>
      <c r="B160" s="11">
        <f t="shared" si="141"/>
        <v>43.592593838917885</v>
      </c>
      <c r="C160" s="11">
        <f t="shared" si="145"/>
        <v>51.784387361927934</v>
      </c>
      <c r="D160" s="11">
        <f t="shared" si="145"/>
        <v>52.293649494333124</v>
      </c>
      <c r="E160" s="11">
        <f t="shared" si="145"/>
        <v>53.263865114478065</v>
      </c>
      <c r="F160" s="11">
        <f t="shared" si="145"/>
        <v>60.069127651335592</v>
      </c>
      <c r="H160" s="39">
        <f t="shared" si="146"/>
        <v>3.7068034208610712</v>
      </c>
      <c r="I160" s="39">
        <f t="shared" si="147"/>
        <v>0.92842394661138972</v>
      </c>
      <c r="L160" s="10" t="str">
        <f t="shared" ref="L160:Q160" si="164">L15</f>
        <v>32 Health and social care associate professionals</v>
      </c>
      <c r="M160" s="11">
        <f t="shared" si="164"/>
        <v>8.9661598524987358</v>
      </c>
      <c r="N160" s="11">
        <f t="shared" si="164"/>
        <v>8.8846528495250485</v>
      </c>
      <c r="O160" s="11">
        <f t="shared" si="164"/>
        <v>9.2320084954154122</v>
      </c>
      <c r="P160" s="11">
        <f t="shared" si="164"/>
        <v>8.300347428054307</v>
      </c>
      <c r="Q160" s="11">
        <f t="shared" si="164"/>
        <v>8.9656627242357771</v>
      </c>
      <c r="S160" s="39">
        <f t="shared" si="149"/>
        <v>0.5860939623936412</v>
      </c>
      <c r="T160" s="39">
        <f t="shared" si="150"/>
        <v>-0.19497369318987046</v>
      </c>
      <c r="W160" s="10" t="str">
        <f t="shared" ref="W160:AB160" si="165">W15</f>
        <v>32 Health and social care associate professionals</v>
      </c>
      <c r="X160" s="11">
        <f t="shared" si="165"/>
        <v>34.62643398641918</v>
      </c>
      <c r="Y160" s="11">
        <f t="shared" si="165"/>
        <v>42.899734512402908</v>
      </c>
      <c r="Z160" s="11">
        <f t="shared" si="165"/>
        <v>43.061640998917738</v>
      </c>
      <c r="AA160" s="11">
        <f t="shared" si="165"/>
        <v>44.963517686423764</v>
      </c>
      <c r="AB160" s="11">
        <f t="shared" si="165"/>
        <v>51.103464927099857</v>
      </c>
      <c r="AD160" s="39">
        <f t="shared" si="152"/>
        <v>4.4567625690002499</v>
      </c>
      <c r="AE160" s="39">
        <f t="shared" si="153"/>
        <v>1.1480042392827627</v>
      </c>
    </row>
    <row r="161" spans="1:31" x14ac:dyDescent="0.3">
      <c r="A161" s="10" t="str">
        <f t="shared" si="141"/>
        <v>33 Protective service occupations</v>
      </c>
      <c r="B161" s="11">
        <f t="shared" si="141"/>
        <v>30.017339672230531</v>
      </c>
      <c r="C161" s="11">
        <f t="shared" si="145"/>
        <v>29.436057957041882</v>
      </c>
      <c r="D161" s="11">
        <f t="shared" si="145"/>
        <v>31.864429233105461</v>
      </c>
      <c r="E161" s="11">
        <f t="shared" si="145"/>
        <v>39.207054120304214</v>
      </c>
      <c r="F161" s="11">
        <f t="shared" si="145"/>
        <v>47.091997779470525</v>
      </c>
      <c r="H161" s="39">
        <f t="shared" si="146"/>
        <v>1.2014625222531494</v>
      </c>
      <c r="I161" s="39">
        <f t="shared" si="147"/>
        <v>2.638287682793039</v>
      </c>
      <c r="L161" s="10" t="str">
        <f t="shared" ref="L161:Q161" si="166">L16</f>
        <v>33 Protective service occupations</v>
      </c>
      <c r="M161" s="11">
        <f t="shared" si="166"/>
        <v>22.294425880988165</v>
      </c>
      <c r="N161" s="11">
        <f t="shared" si="166"/>
        <v>21.137488446818185</v>
      </c>
      <c r="O161" s="11">
        <f t="shared" si="166"/>
        <v>22.407958093364833</v>
      </c>
      <c r="P161" s="11">
        <f t="shared" si="166"/>
        <v>26.256931904846368</v>
      </c>
      <c r="Q161" s="11">
        <f t="shared" si="166"/>
        <v>29.205060941031356</v>
      </c>
      <c r="S161" s="39">
        <f t="shared" si="149"/>
        <v>0.10164124103659855</v>
      </c>
      <c r="T161" s="39">
        <f t="shared" si="150"/>
        <v>1.7818613613375112</v>
      </c>
      <c r="W161" s="10" t="str">
        <f t="shared" ref="W161:AB161" si="167">W16</f>
        <v>33 Protective service occupations</v>
      </c>
      <c r="X161" s="11">
        <f t="shared" si="167"/>
        <v>7.7229137912423065</v>
      </c>
      <c r="Y161" s="11">
        <f t="shared" si="167"/>
        <v>8.2985695102237056</v>
      </c>
      <c r="Z161" s="11">
        <f t="shared" si="167"/>
        <v>9.4564711397405965</v>
      </c>
      <c r="AA161" s="11">
        <f t="shared" si="167"/>
        <v>12.950122215457874</v>
      </c>
      <c r="AB161" s="11">
        <f t="shared" si="167"/>
        <v>17.886936838439279</v>
      </c>
      <c r="AD161" s="39">
        <f t="shared" si="152"/>
        <v>4.1332883555208255</v>
      </c>
      <c r="AE161" s="39">
        <f t="shared" si="153"/>
        <v>4.3407109259614218</v>
      </c>
    </row>
    <row r="162" spans="1:31" x14ac:dyDescent="0.3">
      <c r="A162" s="10" t="str">
        <f t="shared" si="141"/>
        <v>34 Culture, media and sports occupations</v>
      </c>
      <c r="B162" s="11">
        <f t="shared" si="141"/>
        <v>61.226797374406303</v>
      </c>
      <c r="C162" s="11">
        <f t="shared" si="145"/>
        <v>60.405627510625095</v>
      </c>
      <c r="D162" s="11">
        <f t="shared" si="145"/>
        <v>72.766048539117293</v>
      </c>
      <c r="E162" s="11">
        <f t="shared" si="145"/>
        <v>69.154948490125918</v>
      </c>
      <c r="F162" s="11">
        <f t="shared" si="145"/>
        <v>76.224056380442065</v>
      </c>
      <c r="H162" s="39">
        <f t="shared" si="146"/>
        <v>3.5136088124311238</v>
      </c>
      <c r="I162" s="39">
        <f t="shared" si="147"/>
        <v>0.30999705484293649</v>
      </c>
      <c r="L162" s="10" t="str">
        <f t="shared" ref="L162:Q162" si="168">L17</f>
        <v>34 Culture, media and sports occupations</v>
      </c>
      <c r="M162" s="11">
        <f t="shared" si="168"/>
        <v>33.589176567719448</v>
      </c>
      <c r="N162" s="11">
        <f t="shared" si="168"/>
        <v>35.057469584255337</v>
      </c>
      <c r="O162" s="11">
        <f t="shared" si="168"/>
        <v>38.852905287544729</v>
      </c>
      <c r="P162" s="11">
        <f t="shared" si="168"/>
        <v>37.678744498851742</v>
      </c>
      <c r="Q162" s="11">
        <f t="shared" si="168"/>
        <v>41.812864972684039</v>
      </c>
      <c r="S162" s="39">
        <f t="shared" si="149"/>
        <v>2.954380196683748</v>
      </c>
      <c r="T162" s="39">
        <f t="shared" si="150"/>
        <v>0.49067462083389746</v>
      </c>
      <c r="W162" s="10" t="str">
        <f t="shared" ref="W162:AB162" si="169">W17</f>
        <v>34 Culture, media and sports occupations</v>
      </c>
      <c r="X162" s="11">
        <f t="shared" si="169"/>
        <v>27.637620806687028</v>
      </c>
      <c r="Y162" s="11">
        <f t="shared" si="169"/>
        <v>25.348157926369964</v>
      </c>
      <c r="Z162" s="11">
        <f t="shared" si="169"/>
        <v>33.913143251572542</v>
      </c>
      <c r="AA162" s="11">
        <f t="shared" si="169"/>
        <v>31.476203991274236</v>
      </c>
      <c r="AB162" s="11">
        <f t="shared" si="169"/>
        <v>34.411191407758238</v>
      </c>
      <c r="AD162" s="39">
        <f t="shared" si="152"/>
        <v>4.1773912998298135</v>
      </c>
      <c r="AE162" s="39">
        <f t="shared" si="153"/>
        <v>9.7241898023159301E-2</v>
      </c>
    </row>
    <row r="163" spans="1:31" x14ac:dyDescent="0.3">
      <c r="A163" s="10" t="str">
        <f t="shared" si="141"/>
        <v>35 Business and public service associate professionals</v>
      </c>
      <c r="B163" s="11">
        <f t="shared" si="141"/>
        <v>182.23852840786006</v>
      </c>
      <c r="C163" s="11">
        <f t="shared" si="145"/>
        <v>195.7045487837191</v>
      </c>
      <c r="D163" s="11">
        <f t="shared" si="145"/>
        <v>201.30044972390519</v>
      </c>
      <c r="E163" s="11">
        <f t="shared" si="145"/>
        <v>195.65119467189456</v>
      </c>
      <c r="F163" s="11">
        <f t="shared" si="145"/>
        <v>207.25099940186306</v>
      </c>
      <c r="H163" s="39">
        <f t="shared" si="146"/>
        <v>2.0095681633256923</v>
      </c>
      <c r="I163" s="39">
        <f t="shared" si="147"/>
        <v>0.19440237999988064</v>
      </c>
      <c r="L163" s="10" t="str">
        <f t="shared" ref="L163:Q163" si="170">L18</f>
        <v>35 Business and public service associate professionals</v>
      </c>
      <c r="M163" s="11">
        <f t="shared" si="170"/>
        <v>99.399617825575248</v>
      </c>
      <c r="N163" s="11">
        <f t="shared" si="170"/>
        <v>103.12502318513081</v>
      </c>
      <c r="O163" s="11">
        <f t="shared" si="170"/>
        <v>106.89539407612497</v>
      </c>
      <c r="P163" s="11">
        <f t="shared" si="170"/>
        <v>100.61188544100699</v>
      </c>
      <c r="Q163" s="11">
        <f t="shared" si="170"/>
        <v>101.29939459731952</v>
      </c>
      <c r="S163" s="39">
        <f t="shared" si="149"/>
        <v>1.4646719595476254</v>
      </c>
      <c r="T163" s="39">
        <f t="shared" si="150"/>
        <v>-0.35782690763983549</v>
      </c>
      <c r="W163" s="10" t="str">
        <f t="shared" ref="W163:AB163" si="171">W18</f>
        <v>35 Business and public service associate professionals</v>
      </c>
      <c r="X163" s="11">
        <f t="shared" si="171"/>
        <v>82.83891058228474</v>
      </c>
      <c r="Y163" s="11">
        <f t="shared" si="171"/>
        <v>92.579525598588319</v>
      </c>
      <c r="Z163" s="11">
        <f t="shared" si="171"/>
        <v>94.405055647780898</v>
      </c>
      <c r="AA163" s="11">
        <f t="shared" si="171"/>
        <v>95.03930923088771</v>
      </c>
      <c r="AB163" s="11">
        <f t="shared" si="171"/>
        <v>105.9516048045441</v>
      </c>
      <c r="AD163" s="39">
        <f t="shared" si="152"/>
        <v>2.6483977352868449</v>
      </c>
      <c r="AE163" s="39">
        <f t="shared" si="153"/>
        <v>0.77221837209531241</v>
      </c>
    </row>
    <row r="164" spans="1:31" x14ac:dyDescent="0.3">
      <c r="A164" s="10" t="str">
        <f t="shared" si="141"/>
        <v>41 Administrative occupations</v>
      </c>
      <c r="B164" s="11">
        <f t="shared" si="141"/>
        <v>259.61010329935812</v>
      </c>
      <c r="C164" s="11">
        <f t="shared" si="145"/>
        <v>256.31375667122313</v>
      </c>
      <c r="D164" s="11">
        <f t="shared" si="145"/>
        <v>261.75573790944139</v>
      </c>
      <c r="E164" s="11">
        <f t="shared" si="145"/>
        <v>241.46847811395256</v>
      </c>
      <c r="F164" s="11">
        <f t="shared" si="145"/>
        <v>227.65142269680504</v>
      </c>
      <c r="H164" s="39">
        <f t="shared" si="146"/>
        <v>0.1647529298403283</v>
      </c>
      <c r="I164" s="39">
        <f t="shared" si="147"/>
        <v>-0.92632400249459401</v>
      </c>
      <c r="L164" s="10" t="str">
        <f t="shared" ref="L164:Q164" si="172">L19</f>
        <v>41 Administrative occupations</v>
      </c>
      <c r="M164" s="11">
        <f t="shared" si="172"/>
        <v>67.992282667501698</v>
      </c>
      <c r="N164" s="11">
        <f t="shared" si="172"/>
        <v>62.802304818140605</v>
      </c>
      <c r="O164" s="11">
        <f t="shared" si="172"/>
        <v>74.684221776827158</v>
      </c>
      <c r="P164" s="11">
        <f t="shared" si="172"/>
        <v>71.290275228529566</v>
      </c>
      <c r="Q164" s="11">
        <f t="shared" si="172"/>
        <v>77.373496688736495</v>
      </c>
      <c r="S164" s="39">
        <f t="shared" si="149"/>
        <v>1.8952285194892227</v>
      </c>
      <c r="T164" s="39">
        <f t="shared" si="150"/>
        <v>0.23611466787465396</v>
      </c>
      <c r="W164" s="10" t="str">
        <f t="shared" ref="W164:AB164" si="173">W19</f>
        <v>41 Administrative occupations</v>
      </c>
      <c r="X164" s="11">
        <f t="shared" si="173"/>
        <v>191.61782063185575</v>
      </c>
      <c r="Y164" s="11">
        <f t="shared" si="173"/>
        <v>193.51145185308241</v>
      </c>
      <c r="Z164" s="11">
        <f t="shared" si="173"/>
        <v>187.07151613261439</v>
      </c>
      <c r="AA164" s="11">
        <f t="shared" si="173"/>
        <v>170.17820288542282</v>
      </c>
      <c r="AB164" s="11">
        <f t="shared" si="173"/>
        <v>150.27792600806833</v>
      </c>
      <c r="AD164" s="39">
        <f t="shared" si="152"/>
        <v>-0.47908645855871956</v>
      </c>
      <c r="AE164" s="39">
        <f t="shared" si="153"/>
        <v>-1.4494236605404609</v>
      </c>
    </row>
    <row r="165" spans="1:31" x14ac:dyDescent="0.3">
      <c r="A165" s="10" t="str">
        <f t="shared" si="141"/>
        <v>42 Secretarial and related occupations</v>
      </c>
      <c r="B165" s="11">
        <f t="shared" si="141"/>
        <v>75.640118464250264</v>
      </c>
      <c r="C165" s="11">
        <f t="shared" si="145"/>
        <v>71.767387967638115</v>
      </c>
      <c r="D165" s="11">
        <f t="shared" si="145"/>
        <v>68.954741530614868</v>
      </c>
      <c r="E165" s="11">
        <f t="shared" si="145"/>
        <v>71.559982410627711</v>
      </c>
      <c r="F165" s="11">
        <f t="shared" si="145"/>
        <v>52.703380501883423</v>
      </c>
      <c r="H165" s="39">
        <f t="shared" si="146"/>
        <v>-1.8337079873401385</v>
      </c>
      <c r="I165" s="39">
        <f t="shared" si="147"/>
        <v>-1.7758477550489871</v>
      </c>
      <c r="L165" s="10" t="str">
        <f t="shared" ref="L165:Q165" si="174">L20</f>
        <v>42 Secretarial and related occupations</v>
      </c>
      <c r="M165" s="11">
        <f t="shared" si="174"/>
        <v>4.3754331538671893</v>
      </c>
      <c r="N165" s="11">
        <f t="shared" si="174"/>
        <v>3.2927394301151311</v>
      </c>
      <c r="O165" s="11">
        <f t="shared" si="174"/>
        <v>3.2255361851943984</v>
      </c>
      <c r="P165" s="11">
        <f t="shared" si="174"/>
        <v>4.1708481569003988</v>
      </c>
      <c r="Q165" s="11">
        <f t="shared" si="174"/>
        <v>5.0211080101412691</v>
      </c>
      <c r="S165" s="39">
        <f t="shared" si="149"/>
        <v>-5.9159133943160747</v>
      </c>
      <c r="T165" s="39">
        <f t="shared" si="150"/>
        <v>2.9942967009615629</v>
      </c>
      <c r="W165" s="10" t="str">
        <f t="shared" ref="W165:AB165" si="175">W20</f>
        <v>42 Secretarial and related occupations</v>
      </c>
      <c r="X165" s="11">
        <f t="shared" si="175"/>
        <v>71.264685310383143</v>
      </c>
      <c r="Y165" s="11">
        <f t="shared" si="175"/>
        <v>68.474648537523009</v>
      </c>
      <c r="Z165" s="11">
        <f t="shared" si="175"/>
        <v>65.729205345420411</v>
      </c>
      <c r="AA165" s="11">
        <f t="shared" si="175"/>
        <v>67.389134253727448</v>
      </c>
      <c r="AB165" s="11">
        <f t="shared" si="175"/>
        <v>47.682272491742147</v>
      </c>
      <c r="AD165" s="39">
        <f t="shared" si="152"/>
        <v>-1.6041454133110311</v>
      </c>
      <c r="AE165" s="39">
        <f t="shared" si="153"/>
        <v>-2.1171579044743649</v>
      </c>
    </row>
    <row r="166" spans="1:31" x14ac:dyDescent="0.3">
      <c r="A166" s="10" t="str">
        <f t="shared" si="141"/>
        <v>51 Skilled agricultural and related trades</v>
      </c>
      <c r="B166" s="11">
        <f t="shared" si="141"/>
        <v>39.127265446710197</v>
      </c>
      <c r="C166" s="11">
        <f t="shared" si="145"/>
        <v>41.901491038955442</v>
      </c>
      <c r="D166" s="11">
        <f t="shared" si="145"/>
        <v>27.701459442035809</v>
      </c>
      <c r="E166" s="11">
        <f t="shared" si="145"/>
        <v>29.4176763322601</v>
      </c>
      <c r="F166" s="11">
        <f t="shared" si="145"/>
        <v>34.324848177096435</v>
      </c>
      <c r="H166" s="39">
        <f t="shared" si="146"/>
        <v>-6.6735748192099269</v>
      </c>
      <c r="I166" s="39">
        <f t="shared" si="147"/>
        <v>1.4394918463066508</v>
      </c>
      <c r="L166" s="10" t="str">
        <f t="shared" ref="L166:Q166" si="176">L21</f>
        <v>51 Skilled agricultural and related trades</v>
      </c>
      <c r="M166" s="11">
        <f t="shared" si="176"/>
        <v>33.271056662677012</v>
      </c>
      <c r="N166" s="11">
        <f t="shared" si="176"/>
        <v>34.712802139299384</v>
      </c>
      <c r="O166" s="11">
        <f t="shared" si="176"/>
        <v>21.00273465970858</v>
      </c>
      <c r="P166" s="11">
        <f t="shared" si="176"/>
        <v>21.66808205102009</v>
      </c>
      <c r="Q166" s="11">
        <f t="shared" si="176"/>
        <v>24.690917510087264</v>
      </c>
      <c r="S166" s="39">
        <f t="shared" si="149"/>
        <v>-8.7901271399836176</v>
      </c>
      <c r="T166" s="39">
        <f t="shared" si="150"/>
        <v>1.084389425261012</v>
      </c>
      <c r="W166" s="10" t="str">
        <f t="shared" ref="W166:AB166" si="177">W21</f>
        <v>51 Skilled agricultural and related trades</v>
      </c>
      <c r="X166" s="11">
        <f t="shared" si="177"/>
        <v>5.8562087840332033</v>
      </c>
      <c r="Y166" s="11">
        <f t="shared" si="177"/>
        <v>7.1886888996560545</v>
      </c>
      <c r="Z166" s="11">
        <f t="shared" si="177"/>
        <v>6.698724782327198</v>
      </c>
      <c r="AA166" s="11">
        <f t="shared" si="177"/>
        <v>7.7495942812400598</v>
      </c>
      <c r="AB166" s="11">
        <f t="shared" si="177"/>
        <v>9.6339306670091354</v>
      </c>
      <c r="AD166" s="39">
        <f t="shared" si="152"/>
        <v>2.7247556040430387</v>
      </c>
      <c r="AE166" s="39">
        <f t="shared" si="153"/>
        <v>2.4520750005974756</v>
      </c>
    </row>
    <row r="167" spans="1:31" x14ac:dyDescent="0.3">
      <c r="A167" s="10" t="str">
        <f t="shared" si="141"/>
        <v>52 Skilled metal, electrical and electronic trades</v>
      </c>
      <c r="B167" s="11">
        <f t="shared" si="141"/>
        <v>118.00540714420841</v>
      </c>
      <c r="C167" s="11">
        <f t="shared" si="145"/>
        <v>114.08729671392925</v>
      </c>
      <c r="D167" s="11">
        <f t="shared" si="145"/>
        <v>100.42539928195286</v>
      </c>
      <c r="E167" s="11">
        <f t="shared" si="145"/>
        <v>102.88814709808921</v>
      </c>
      <c r="F167" s="11">
        <f t="shared" si="145"/>
        <v>99.69259873414488</v>
      </c>
      <c r="H167" s="39">
        <f t="shared" si="146"/>
        <v>-3.1748157917366293</v>
      </c>
      <c r="I167" s="39">
        <f t="shared" si="147"/>
        <v>-4.8812864721137217E-2</v>
      </c>
      <c r="L167" s="10" t="str">
        <f t="shared" ref="L167:Q167" si="178">L22</f>
        <v>52 Skilled metal, electrical and electronic trades</v>
      </c>
      <c r="M167" s="11">
        <f t="shared" si="178"/>
        <v>115.8238445823182</v>
      </c>
      <c r="N167" s="11">
        <f t="shared" si="178"/>
        <v>110.64361747092063</v>
      </c>
      <c r="O167" s="11">
        <f t="shared" si="178"/>
        <v>97.712169762553089</v>
      </c>
      <c r="P167" s="11">
        <f t="shared" si="178"/>
        <v>96.645834460993981</v>
      </c>
      <c r="Q167" s="11">
        <f t="shared" si="178"/>
        <v>92.148846813711899</v>
      </c>
      <c r="S167" s="39">
        <f t="shared" si="149"/>
        <v>-3.3437067238296647</v>
      </c>
      <c r="T167" s="39">
        <f t="shared" si="150"/>
        <v>-0.39004363968344613</v>
      </c>
      <c r="W167" s="10" t="str">
        <f t="shared" ref="W167:AB167" si="179">W22</f>
        <v>52 Skilled metal, electrical and electronic trades</v>
      </c>
      <c r="X167" s="11">
        <f t="shared" si="179"/>
        <v>2.1815625618899395</v>
      </c>
      <c r="Y167" s="11">
        <f t="shared" si="179"/>
        <v>3.4436792430086296</v>
      </c>
      <c r="Z167" s="11">
        <f t="shared" si="179"/>
        <v>2.7132295193997065</v>
      </c>
      <c r="AA167" s="11">
        <f t="shared" si="179"/>
        <v>6.2423126370951199</v>
      </c>
      <c r="AB167" s="11">
        <f t="shared" si="179"/>
        <v>7.5437519204329604</v>
      </c>
      <c r="AD167" s="39">
        <f t="shared" si="152"/>
        <v>4.4584969003254704</v>
      </c>
      <c r="AE167" s="39">
        <f t="shared" si="153"/>
        <v>7.054942932133379</v>
      </c>
    </row>
    <row r="168" spans="1:31" x14ac:dyDescent="0.3">
      <c r="A168" s="10" t="str">
        <f t="shared" si="141"/>
        <v>53 Skilled construction and building trades</v>
      </c>
      <c r="B168" s="11">
        <f t="shared" si="141"/>
        <v>96.086748078120166</v>
      </c>
      <c r="C168" s="11">
        <f t="shared" si="145"/>
        <v>83.776811334060341</v>
      </c>
      <c r="D168" s="11">
        <f t="shared" si="145"/>
        <v>82.52660532338669</v>
      </c>
      <c r="E168" s="11">
        <f t="shared" si="145"/>
        <v>87.836132747054634</v>
      </c>
      <c r="F168" s="11">
        <f t="shared" si="145"/>
        <v>80.451774167755275</v>
      </c>
      <c r="H168" s="39">
        <f t="shared" si="146"/>
        <v>-2.9967919961930378</v>
      </c>
      <c r="I168" s="39">
        <f t="shared" si="147"/>
        <v>-0.16960802858529966</v>
      </c>
      <c r="L168" s="10" t="str">
        <f t="shared" ref="L168:Q168" si="180">L23</f>
        <v>53 Skilled construction and building trades</v>
      </c>
      <c r="M168" s="11">
        <f t="shared" si="180"/>
        <v>94.938508680913088</v>
      </c>
      <c r="N168" s="11">
        <f t="shared" si="180"/>
        <v>82.158618147472751</v>
      </c>
      <c r="O168" s="11">
        <f t="shared" si="180"/>
        <v>80.412115604644541</v>
      </c>
      <c r="P168" s="11">
        <f t="shared" si="180"/>
        <v>85.592183037006023</v>
      </c>
      <c r="Q168" s="11">
        <f t="shared" si="180"/>
        <v>77.665580970630785</v>
      </c>
      <c r="S168" s="39">
        <f t="shared" si="149"/>
        <v>-3.2667416837359076</v>
      </c>
      <c r="T168" s="39">
        <f t="shared" si="150"/>
        <v>-0.23141628902362266</v>
      </c>
      <c r="W168" s="10" t="str">
        <f t="shared" ref="W168:AB168" si="181">W23</f>
        <v>53 Skilled construction and building trades</v>
      </c>
      <c r="X168" s="11">
        <f t="shared" si="181"/>
        <v>1.1482393972070346</v>
      </c>
      <c r="Y168" s="11">
        <f t="shared" si="181"/>
        <v>1.6181931865875876</v>
      </c>
      <c r="Z168" s="11">
        <f t="shared" si="181"/>
        <v>2.1144897187423326</v>
      </c>
      <c r="AA168" s="11">
        <f t="shared" si="181"/>
        <v>2.2439497100486494</v>
      </c>
      <c r="AB168" s="11">
        <f t="shared" si="181"/>
        <v>2.7861931971244025</v>
      </c>
      <c r="AD168" s="39">
        <f t="shared" si="152"/>
        <v>12.988599818052649</v>
      </c>
      <c r="AE168" s="39">
        <f t="shared" si="153"/>
        <v>1.8560999976970916</v>
      </c>
    </row>
    <row r="169" spans="1:31" x14ac:dyDescent="0.3">
      <c r="A169" s="10" t="str">
        <f t="shared" si="141"/>
        <v>54 Textiles, printing and other skilled trades</v>
      </c>
      <c r="B169" s="11">
        <f t="shared" si="141"/>
        <v>71.711869284133982</v>
      </c>
      <c r="C169" s="11">
        <f t="shared" si="145"/>
        <v>62.537850065291892</v>
      </c>
      <c r="D169" s="11">
        <f t="shared" si="145"/>
        <v>60.813130058863692</v>
      </c>
      <c r="E169" s="11">
        <f t="shared" si="145"/>
        <v>61.48888168063467</v>
      </c>
      <c r="F169" s="11">
        <f t="shared" si="145"/>
        <v>63.173205220636099</v>
      </c>
      <c r="H169" s="39">
        <f t="shared" si="146"/>
        <v>-3.2432521074577836</v>
      </c>
      <c r="I169" s="39">
        <f t="shared" si="147"/>
        <v>0.25415257248648793</v>
      </c>
      <c r="L169" s="10" t="str">
        <f t="shared" ref="L169:Q169" si="182">L24</f>
        <v>54 Textiles, printing and other skilled trades</v>
      </c>
      <c r="M169" s="11">
        <f t="shared" si="182"/>
        <v>45.093814009272613</v>
      </c>
      <c r="N169" s="11">
        <f t="shared" si="182"/>
        <v>37.085299573109808</v>
      </c>
      <c r="O169" s="11">
        <f t="shared" si="182"/>
        <v>34.312023025612852</v>
      </c>
      <c r="P169" s="11">
        <f t="shared" si="182"/>
        <v>34.575831888890768</v>
      </c>
      <c r="Q169" s="11">
        <f t="shared" si="182"/>
        <v>34.534018983479825</v>
      </c>
      <c r="S169" s="39">
        <f t="shared" si="149"/>
        <v>-5.3183383599858747</v>
      </c>
      <c r="T169" s="39">
        <f t="shared" si="150"/>
        <v>4.3003093106119827E-2</v>
      </c>
      <c r="W169" s="10" t="str">
        <f t="shared" ref="W169:AB169" si="183">W24</f>
        <v>54 Textiles, printing and other skilled trades</v>
      </c>
      <c r="X169" s="11">
        <f t="shared" si="183"/>
        <v>26.618055274861192</v>
      </c>
      <c r="Y169" s="11">
        <f t="shared" si="183"/>
        <v>25.452550492182009</v>
      </c>
      <c r="Z169" s="11">
        <f t="shared" si="183"/>
        <v>26.501107033250833</v>
      </c>
      <c r="AA169" s="11">
        <f t="shared" si="183"/>
        <v>26.91304979174387</v>
      </c>
      <c r="AB169" s="11">
        <f t="shared" si="183"/>
        <v>28.639186237156245</v>
      </c>
      <c r="AD169" s="39">
        <f t="shared" si="152"/>
        <v>-8.8026200189483816E-2</v>
      </c>
      <c r="AE169" s="39">
        <f t="shared" si="153"/>
        <v>0.51860292185286205</v>
      </c>
    </row>
    <row r="170" spans="1:31" x14ac:dyDescent="0.3">
      <c r="A170" s="10" t="str">
        <f t="shared" si="141"/>
        <v>61 Caring personal service occupations</v>
      </c>
      <c r="B170" s="11">
        <f t="shared" si="141"/>
        <v>211.95390549156167</v>
      </c>
      <c r="C170" s="11">
        <f t="shared" si="145"/>
        <v>231.55935715723243</v>
      </c>
      <c r="D170" s="11">
        <f t="shared" si="145"/>
        <v>223.65609032128737</v>
      </c>
      <c r="E170" s="11">
        <f t="shared" si="145"/>
        <v>243.80561243809041</v>
      </c>
      <c r="F170" s="11">
        <f t="shared" si="145"/>
        <v>274.63381510722382</v>
      </c>
      <c r="H170" s="39">
        <f t="shared" si="146"/>
        <v>1.080611621310168</v>
      </c>
      <c r="I170" s="39">
        <f t="shared" si="147"/>
        <v>1.3782722431169292</v>
      </c>
      <c r="L170" s="10" t="str">
        <f t="shared" ref="L170:Q170" si="184">L25</f>
        <v>61 Caring personal service occupations</v>
      </c>
      <c r="M170" s="11">
        <f t="shared" si="184"/>
        <v>33.0880539082833</v>
      </c>
      <c r="N170" s="11">
        <f t="shared" si="184"/>
        <v>32.869330404511643</v>
      </c>
      <c r="O170" s="11">
        <f t="shared" si="184"/>
        <v>31.261095982321685</v>
      </c>
      <c r="P170" s="11">
        <f t="shared" si="184"/>
        <v>38.939110102349943</v>
      </c>
      <c r="Q170" s="11">
        <f t="shared" si="184"/>
        <v>47.140816992865517</v>
      </c>
      <c r="S170" s="39">
        <f t="shared" si="149"/>
        <v>-1.1295308238648105</v>
      </c>
      <c r="T170" s="39">
        <f t="shared" si="150"/>
        <v>2.7762719651685641</v>
      </c>
      <c r="W170" s="10" t="str">
        <f t="shared" ref="W170:AB170" si="185">W25</f>
        <v>61 Caring personal service occupations</v>
      </c>
      <c r="X170" s="11">
        <f t="shared" si="185"/>
        <v>178.86585158327838</v>
      </c>
      <c r="Y170" s="11">
        <f t="shared" si="185"/>
        <v>198.69002675272088</v>
      </c>
      <c r="Z170" s="11">
        <f t="shared" si="185"/>
        <v>192.39499433896563</v>
      </c>
      <c r="AA170" s="11">
        <f t="shared" si="185"/>
        <v>204.86650233574051</v>
      </c>
      <c r="AB170" s="11">
        <f t="shared" si="185"/>
        <v>227.4929981143583</v>
      </c>
      <c r="AD170" s="39">
        <f t="shared" si="152"/>
        <v>1.4689734747895367</v>
      </c>
      <c r="AE170" s="39">
        <f t="shared" si="153"/>
        <v>1.1233894191915894</v>
      </c>
    </row>
    <row r="171" spans="1:31" x14ac:dyDescent="0.3">
      <c r="A171" s="10" t="str">
        <f t="shared" si="141"/>
        <v>62 Leisure, travel and related personal service occupations</v>
      </c>
      <c r="B171" s="11">
        <f t="shared" si="141"/>
        <v>65.78241893690182</v>
      </c>
      <c r="C171" s="11">
        <f t="shared" si="145"/>
        <v>72.529447377612058</v>
      </c>
      <c r="D171" s="11">
        <f t="shared" si="145"/>
        <v>72.441128106543133</v>
      </c>
      <c r="E171" s="11">
        <f t="shared" si="145"/>
        <v>74.304059156522669</v>
      </c>
      <c r="F171" s="11">
        <f t="shared" si="145"/>
        <v>75.857817785706203</v>
      </c>
      <c r="H171" s="39">
        <f t="shared" si="146"/>
        <v>1.9471462043492149</v>
      </c>
      <c r="I171" s="39">
        <f t="shared" si="147"/>
        <v>0.30771623498284661</v>
      </c>
      <c r="L171" s="10" t="str">
        <f t="shared" ref="L171:Q171" si="186">L26</f>
        <v>62 Leisure, travel and related personal service occupations</v>
      </c>
      <c r="M171" s="11">
        <f t="shared" si="186"/>
        <v>18.143895807079808</v>
      </c>
      <c r="N171" s="11">
        <f t="shared" si="186"/>
        <v>20.595246524032294</v>
      </c>
      <c r="O171" s="11">
        <f t="shared" si="186"/>
        <v>19.176630284405594</v>
      </c>
      <c r="P171" s="11">
        <f t="shared" si="186"/>
        <v>19.779620167113276</v>
      </c>
      <c r="Q171" s="11">
        <f t="shared" si="186"/>
        <v>21.552141512387593</v>
      </c>
      <c r="S171" s="39">
        <f t="shared" si="149"/>
        <v>1.1133153388267925</v>
      </c>
      <c r="T171" s="39">
        <f t="shared" si="150"/>
        <v>0.78159073604386897</v>
      </c>
      <c r="W171" s="10" t="str">
        <f t="shared" ref="W171:AB171" si="187">W26</f>
        <v>62 Leisure, travel and related personal service occupations</v>
      </c>
      <c r="X171" s="11">
        <f t="shared" si="187"/>
        <v>47.638523129821984</v>
      </c>
      <c r="Y171" s="11">
        <f t="shared" si="187"/>
        <v>51.934200853579803</v>
      </c>
      <c r="Z171" s="11">
        <f t="shared" si="187"/>
        <v>53.264497822137429</v>
      </c>
      <c r="AA171" s="11">
        <f t="shared" si="187"/>
        <v>54.524438989409234</v>
      </c>
      <c r="AB171" s="11">
        <f t="shared" si="187"/>
        <v>54.305676273318596</v>
      </c>
      <c r="AD171" s="39">
        <f t="shared" si="152"/>
        <v>2.2576739266691792</v>
      </c>
      <c r="AE171" s="39">
        <f t="shared" si="153"/>
        <v>0.12914151454728184</v>
      </c>
    </row>
    <row r="172" spans="1:31" x14ac:dyDescent="0.3">
      <c r="A172" s="10" t="str">
        <f t="shared" si="141"/>
        <v>63 Community and civil enforcement occupations</v>
      </c>
      <c r="B172" s="11">
        <f t="shared" si="141"/>
        <v>3.1420191309526011</v>
      </c>
      <c r="C172" s="11">
        <f t="shared" si="145"/>
        <v>2.6277196166134713</v>
      </c>
      <c r="D172" s="11">
        <f t="shared" si="145"/>
        <v>3.4150609686279489</v>
      </c>
      <c r="E172" s="11">
        <f t="shared" si="145"/>
        <v>2.7629223970092531</v>
      </c>
      <c r="F172" s="11">
        <f t="shared" si="145"/>
        <v>3.0103764029579554</v>
      </c>
      <c r="H172" s="39">
        <f t="shared" si="146"/>
        <v>1.6805595056316625</v>
      </c>
      <c r="I172" s="39">
        <f t="shared" si="147"/>
        <v>-0.83734275386647683</v>
      </c>
      <c r="L172" s="10" t="str">
        <f t="shared" ref="L172:Q172" si="188">L27</f>
        <v>63 Community and civil enforcement occupations</v>
      </c>
      <c r="M172" s="11">
        <f t="shared" si="188"/>
        <v>2.3631710668340999</v>
      </c>
      <c r="N172" s="11">
        <f t="shared" si="188"/>
        <v>1.7043154812023664</v>
      </c>
      <c r="O172" s="11">
        <f t="shared" si="188"/>
        <v>2.5797467639813974</v>
      </c>
      <c r="P172" s="11">
        <f t="shared" si="188"/>
        <v>1.6552121526362158</v>
      </c>
      <c r="Q172" s="11">
        <f t="shared" si="188"/>
        <v>1.8746580030195468</v>
      </c>
      <c r="S172" s="39">
        <f t="shared" si="149"/>
        <v>1.7692052819238357</v>
      </c>
      <c r="T172" s="39">
        <f t="shared" si="150"/>
        <v>-2.1059420197447887</v>
      </c>
      <c r="W172" s="10" t="str">
        <f t="shared" ref="W172:AB172" si="189">W27</f>
        <v>63 Community and civil enforcement occupations</v>
      </c>
      <c r="X172" s="11">
        <f t="shared" si="189"/>
        <v>0.77884806411849927</v>
      </c>
      <c r="Y172" s="11">
        <f t="shared" si="189"/>
        <v>0.92340413541110411</v>
      </c>
      <c r="Z172" s="11">
        <f t="shared" si="189"/>
        <v>0.83531420464655437</v>
      </c>
      <c r="AA172" s="11">
        <f t="shared" si="189"/>
        <v>1.1077102443730404</v>
      </c>
      <c r="AB172" s="11">
        <f t="shared" si="189"/>
        <v>1.1357183999384097</v>
      </c>
      <c r="AD172" s="39">
        <f t="shared" si="152"/>
        <v>1.4096828240019343</v>
      </c>
      <c r="AE172" s="39">
        <f t="shared" si="153"/>
        <v>2.0692020722804072</v>
      </c>
    </row>
    <row r="173" spans="1:31" x14ac:dyDescent="0.3">
      <c r="A173" s="10" t="str">
        <f t="shared" si="141"/>
        <v>71 Sales occupations</v>
      </c>
      <c r="B173" s="11">
        <f t="shared" si="141"/>
        <v>221.41596432763646</v>
      </c>
      <c r="C173" s="11">
        <f t="shared" si="145"/>
        <v>197.09489473335719</v>
      </c>
      <c r="D173" s="11">
        <f t="shared" si="145"/>
        <v>194.6954129401295</v>
      </c>
      <c r="E173" s="11">
        <f t="shared" si="145"/>
        <v>181.54863951453635</v>
      </c>
      <c r="F173" s="11">
        <f t="shared" si="145"/>
        <v>172.17020547805873</v>
      </c>
      <c r="H173" s="39">
        <f t="shared" si="146"/>
        <v>-2.5393378273740552</v>
      </c>
      <c r="I173" s="39">
        <f t="shared" si="147"/>
        <v>-0.81633506146870927</v>
      </c>
      <c r="L173" s="10" t="str">
        <f t="shared" ref="L173:Q173" si="190">L28</f>
        <v>71 Sales occupations</v>
      </c>
      <c r="M173" s="11">
        <f t="shared" si="190"/>
        <v>89.878297416237203</v>
      </c>
      <c r="N173" s="11">
        <f t="shared" si="190"/>
        <v>82.179341097915568</v>
      </c>
      <c r="O173" s="11">
        <f t="shared" si="190"/>
        <v>82.009454331550131</v>
      </c>
      <c r="P173" s="11">
        <f t="shared" si="190"/>
        <v>78.392618679585794</v>
      </c>
      <c r="Q173" s="11">
        <f t="shared" si="190"/>
        <v>76.992011819175545</v>
      </c>
      <c r="S173" s="39">
        <f t="shared" si="149"/>
        <v>-1.8157522514988589</v>
      </c>
      <c r="T173" s="39">
        <f t="shared" si="150"/>
        <v>-0.42000127375804164</v>
      </c>
      <c r="W173" s="10" t="str">
        <f t="shared" ref="W173:AB173" si="191">W28</f>
        <v>71 Sales occupations</v>
      </c>
      <c r="X173" s="11">
        <f t="shared" si="191"/>
        <v>131.53766691139955</v>
      </c>
      <c r="Y173" s="11">
        <f t="shared" si="191"/>
        <v>114.91555363544036</v>
      </c>
      <c r="Z173" s="11">
        <f t="shared" si="191"/>
        <v>112.68595860857951</v>
      </c>
      <c r="AA173" s="11">
        <f t="shared" si="191"/>
        <v>103.15602083495078</v>
      </c>
      <c r="AB173" s="11">
        <f t="shared" si="191"/>
        <v>95.178193658883259</v>
      </c>
      <c r="AD173" s="39">
        <f t="shared" si="152"/>
        <v>-3.046401286588496</v>
      </c>
      <c r="AE173" s="39">
        <f t="shared" si="153"/>
        <v>-1.1193808831911678</v>
      </c>
    </row>
    <row r="174" spans="1:31" x14ac:dyDescent="0.3">
      <c r="A174" s="10" t="str">
        <f t="shared" si="141"/>
        <v>72 Customer service occupations</v>
      </c>
      <c r="B174" s="11">
        <f t="shared" si="141"/>
        <v>44.973783490930849</v>
      </c>
      <c r="C174" s="11">
        <f t="shared" si="145"/>
        <v>49.133406789743383</v>
      </c>
      <c r="D174" s="11">
        <f t="shared" si="145"/>
        <v>49.860654752101922</v>
      </c>
      <c r="E174" s="11">
        <f t="shared" si="145"/>
        <v>63.89806431232028</v>
      </c>
      <c r="F174" s="11">
        <f t="shared" si="145"/>
        <v>73.642352461597412</v>
      </c>
      <c r="H174" s="39">
        <f t="shared" si="146"/>
        <v>2.0844775489070599</v>
      </c>
      <c r="I174" s="39">
        <f t="shared" si="147"/>
        <v>2.6340133659368936</v>
      </c>
      <c r="L174" s="10" t="str">
        <f t="shared" ref="L174:Q174" si="192">L29</f>
        <v>72 Customer service occupations</v>
      </c>
      <c r="M174" s="11">
        <f t="shared" si="192"/>
        <v>15.569716600312685</v>
      </c>
      <c r="N174" s="11">
        <f t="shared" si="192"/>
        <v>14.313488126381211</v>
      </c>
      <c r="O174" s="11">
        <f t="shared" si="192"/>
        <v>17.060222414159423</v>
      </c>
      <c r="P174" s="11">
        <f t="shared" si="192"/>
        <v>23.494242157225635</v>
      </c>
      <c r="Q174" s="11">
        <f t="shared" si="192"/>
        <v>27.642047859582874</v>
      </c>
      <c r="S174" s="39">
        <f t="shared" si="149"/>
        <v>1.8452541388371158</v>
      </c>
      <c r="T174" s="39">
        <f t="shared" si="150"/>
        <v>3.2695699296020342</v>
      </c>
      <c r="W174" s="10" t="str">
        <f t="shared" ref="W174:AB174" si="193">W29</f>
        <v>72 Customer service occupations</v>
      </c>
      <c r="X174" s="11">
        <f t="shared" si="193"/>
        <v>29.404066890618147</v>
      </c>
      <c r="Y174" s="11">
        <f t="shared" si="193"/>
        <v>34.819918663362174</v>
      </c>
      <c r="Z174" s="11">
        <f t="shared" si="193"/>
        <v>32.80043233794234</v>
      </c>
      <c r="AA174" s="11">
        <f t="shared" si="193"/>
        <v>40.403822155094566</v>
      </c>
      <c r="AB174" s="11">
        <f t="shared" si="193"/>
        <v>46.000304602014516</v>
      </c>
      <c r="AD174" s="39">
        <f t="shared" si="152"/>
        <v>2.2102459212916203</v>
      </c>
      <c r="AE174" s="39">
        <f t="shared" si="153"/>
        <v>2.2803194917755398</v>
      </c>
    </row>
    <row r="175" spans="1:31" x14ac:dyDescent="0.3">
      <c r="A175" s="10" t="str">
        <f t="shared" si="141"/>
        <v>81 Process, plant and machine operatives</v>
      </c>
      <c r="B175" s="11">
        <f t="shared" si="141"/>
        <v>77.455594000314903</v>
      </c>
      <c r="C175" s="11">
        <f t="shared" si="145"/>
        <v>74.82179228140339</v>
      </c>
      <c r="D175" s="11">
        <f t="shared" si="145"/>
        <v>66.18299631124377</v>
      </c>
      <c r="E175" s="11">
        <f t="shared" si="145"/>
        <v>82.419825636016697</v>
      </c>
      <c r="F175" s="11">
        <f t="shared" si="145"/>
        <v>82.126425762765933</v>
      </c>
      <c r="H175" s="39">
        <f t="shared" si="146"/>
        <v>-3.0966642453412629</v>
      </c>
      <c r="I175" s="39">
        <f t="shared" si="147"/>
        <v>1.4493105254052674</v>
      </c>
      <c r="L175" s="10" t="str">
        <f t="shared" ref="L175:Q175" si="194">L30</f>
        <v>81 Process, plant and machine operatives</v>
      </c>
      <c r="M175" s="11">
        <f t="shared" si="194"/>
        <v>60.463372382239214</v>
      </c>
      <c r="N175" s="11">
        <f t="shared" si="194"/>
        <v>56.923987756355125</v>
      </c>
      <c r="O175" s="11">
        <f t="shared" si="194"/>
        <v>51.196052439998553</v>
      </c>
      <c r="P175" s="11">
        <f t="shared" si="194"/>
        <v>63.047887629973665</v>
      </c>
      <c r="Q175" s="11">
        <f t="shared" si="194"/>
        <v>63.930909866862393</v>
      </c>
      <c r="S175" s="39">
        <f t="shared" si="149"/>
        <v>-3.2727542366754458</v>
      </c>
      <c r="T175" s="39">
        <f t="shared" si="150"/>
        <v>1.4919571285678446</v>
      </c>
      <c r="W175" s="10" t="str">
        <f t="shared" ref="W175:AB175" si="195">W30</f>
        <v>81 Process, plant and machine operatives</v>
      </c>
      <c r="X175" s="11">
        <f t="shared" si="195"/>
        <v>16.992221618075515</v>
      </c>
      <c r="Y175" s="11">
        <f t="shared" si="195"/>
        <v>17.897804525048603</v>
      </c>
      <c r="Z175" s="11">
        <f t="shared" si="195"/>
        <v>14.986943871245163</v>
      </c>
      <c r="AA175" s="11">
        <f t="shared" si="195"/>
        <v>19.371938006042956</v>
      </c>
      <c r="AB175" s="11">
        <f t="shared" si="195"/>
        <v>18.195515895903597</v>
      </c>
      <c r="AD175" s="39">
        <f t="shared" si="152"/>
        <v>-2.4802490638325736</v>
      </c>
      <c r="AE175" s="39">
        <f t="shared" si="153"/>
        <v>1.3017045008982375</v>
      </c>
    </row>
    <row r="176" spans="1:31" x14ac:dyDescent="0.3">
      <c r="A176" s="10" t="str">
        <f t="shared" si="141"/>
        <v>82 Transport and mobile machine drivers and operatives</v>
      </c>
      <c r="B176" s="11">
        <f t="shared" si="141"/>
        <v>113.32252578308525</v>
      </c>
      <c r="C176" s="11">
        <f t="shared" si="145"/>
        <v>130.3088609434655</v>
      </c>
      <c r="D176" s="11">
        <f t="shared" si="145"/>
        <v>115.43320624120283</v>
      </c>
      <c r="E176" s="11">
        <f t="shared" si="145"/>
        <v>128.63440898249067</v>
      </c>
      <c r="F176" s="11">
        <f t="shared" si="145"/>
        <v>132.52018950559264</v>
      </c>
      <c r="H176" s="39">
        <f t="shared" si="146"/>
        <v>0.36976390783216573</v>
      </c>
      <c r="I176" s="39">
        <f t="shared" si="147"/>
        <v>0.92453395931741955</v>
      </c>
      <c r="L176" s="10" t="str">
        <f t="shared" ref="L176:Q176" si="196">L31</f>
        <v>82 Transport and mobile machine drivers and operatives</v>
      </c>
      <c r="M176" s="11">
        <f t="shared" si="196"/>
        <v>103.90689337242313</v>
      </c>
      <c r="N176" s="11">
        <f t="shared" si="196"/>
        <v>120.46570974185121</v>
      </c>
      <c r="O176" s="11">
        <f t="shared" si="196"/>
        <v>105.82943203655184</v>
      </c>
      <c r="P176" s="11">
        <f t="shared" si="196"/>
        <v>114.29244355058685</v>
      </c>
      <c r="Q176" s="11">
        <f t="shared" si="196"/>
        <v>115.94516761857339</v>
      </c>
      <c r="S176" s="39">
        <f t="shared" si="149"/>
        <v>0.36734153550719295</v>
      </c>
      <c r="T176" s="39">
        <f t="shared" si="150"/>
        <v>0.61044714759745933</v>
      </c>
      <c r="W176" s="10" t="str">
        <f t="shared" ref="W176:AB176" si="197">W31</f>
        <v>82 Transport and mobile machine drivers and operatives</v>
      </c>
      <c r="X176" s="11">
        <f t="shared" si="197"/>
        <v>9.4156324106620737</v>
      </c>
      <c r="Y176" s="11">
        <f t="shared" si="197"/>
        <v>9.8431512016142282</v>
      </c>
      <c r="Z176" s="11">
        <f t="shared" si="197"/>
        <v>9.6037742046511489</v>
      </c>
      <c r="AA176" s="11">
        <f t="shared" si="197"/>
        <v>14.341965431903821</v>
      </c>
      <c r="AB176" s="11">
        <f t="shared" si="197"/>
        <v>16.575021887019471</v>
      </c>
      <c r="AD176" s="39">
        <f t="shared" si="152"/>
        <v>0.39648065586490588</v>
      </c>
      <c r="AE176" s="39">
        <f t="shared" si="153"/>
        <v>3.7052663675594344</v>
      </c>
    </row>
    <row r="177" spans="1:31" x14ac:dyDescent="0.3">
      <c r="A177" s="10" t="str">
        <f t="shared" si="141"/>
        <v>91 Elementary trades and related occupations</v>
      </c>
      <c r="B177" s="11">
        <f t="shared" si="141"/>
        <v>54.899703673527384</v>
      </c>
      <c r="C177" s="11">
        <f t="shared" si="145"/>
        <v>48.60471321310925</v>
      </c>
      <c r="D177" s="11">
        <f t="shared" si="145"/>
        <v>43.984729492292018</v>
      </c>
      <c r="E177" s="11">
        <f t="shared" si="145"/>
        <v>38.173991641678363</v>
      </c>
      <c r="F177" s="11">
        <f t="shared" si="145"/>
        <v>38.185707998463144</v>
      </c>
      <c r="H177" s="39">
        <f>IF(D$151-B$151 &lt;&gt; 0,(EXP(LN(D177/B177)/(D$151-B$151))-1)*100,0)</f>
        <v>-4.3364738225939892</v>
      </c>
      <c r="I177" s="39">
        <f t="shared" si="147"/>
        <v>-0.93811338318854354</v>
      </c>
      <c r="L177" s="10" t="str">
        <f t="shared" ref="L177:Q178" si="198">L32</f>
        <v>91 Elementary trades and related occupations</v>
      </c>
      <c r="M177" s="11">
        <f t="shared" si="198"/>
        <v>43.366012982997844</v>
      </c>
      <c r="N177" s="11">
        <f t="shared" si="198"/>
        <v>37.98537457238416</v>
      </c>
      <c r="O177" s="11">
        <f t="shared" si="198"/>
        <v>35.678478286759258</v>
      </c>
      <c r="P177" s="11">
        <f t="shared" si="198"/>
        <v>30.954258073266175</v>
      </c>
      <c r="Q177" s="11">
        <f t="shared" si="198"/>
        <v>31.193144452302363</v>
      </c>
      <c r="S177" s="39">
        <f t="shared" si="149"/>
        <v>-3.827398164637652</v>
      </c>
      <c r="T177" s="39">
        <f t="shared" si="150"/>
        <v>-0.89166300406297028</v>
      </c>
      <c r="W177" s="10" t="str">
        <f t="shared" ref="W177:AB178" si="199">W32</f>
        <v>91 Elementary trades and related occupations</v>
      </c>
      <c r="X177" s="11">
        <f t="shared" si="199"/>
        <v>11.533690690529463</v>
      </c>
      <c r="Y177" s="11">
        <f t="shared" si="199"/>
        <v>10.619338640725088</v>
      </c>
      <c r="Z177" s="11">
        <f t="shared" si="199"/>
        <v>8.3062512055327016</v>
      </c>
      <c r="AA177" s="11">
        <f t="shared" si="199"/>
        <v>7.2197335684121278</v>
      </c>
      <c r="AB177" s="11">
        <f t="shared" si="199"/>
        <v>6.9925635461606941</v>
      </c>
      <c r="AD177" s="39">
        <f t="shared" si="152"/>
        <v>-6.354405258662954</v>
      </c>
      <c r="AE177" s="39">
        <f t="shared" si="153"/>
        <v>-1.1411796113307227</v>
      </c>
    </row>
    <row r="178" spans="1:31" x14ac:dyDescent="0.3">
      <c r="A178" s="10" t="str">
        <f t="shared" si="141"/>
        <v>92 Elementary administration and service occupations</v>
      </c>
      <c r="B178" s="11">
        <f t="shared" si="141"/>
        <v>330.05657658426492</v>
      </c>
      <c r="C178" s="11">
        <f t="shared" si="145"/>
        <v>333.66231799159374</v>
      </c>
      <c r="D178" s="11">
        <f t="shared" si="145"/>
        <v>307.76629076952287</v>
      </c>
      <c r="E178" s="11">
        <f t="shared" si="145"/>
        <v>315.72982900298251</v>
      </c>
      <c r="F178" s="11">
        <f t="shared" si="145"/>
        <v>301.7472581531934</v>
      </c>
      <c r="H178" s="39">
        <f>IF(D$151-B$151 &lt;&gt; 0,(EXP(LN(D178/B178)/(D$151-B$151))-1)*100,0)</f>
        <v>-1.3887345692330855</v>
      </c>
      <c r="I178" s="39">
        <f t="shared" ref="I178" si="200">IF(F$151-D$151 &lt;&gt; 0,(EXP(LN(F178/D178)/(F$151-D$151))-1)*100,0)</f>
        <v>-0.13158618460941129</v>
      </c>
      <c r="L178" s="10" t="str">
        <f t="shared" si="198"/>
        <v>92 Elementary administration and service occupations</v>
      </c>
      <c r="M178" s="11">
        <f t="shared" si="198"/>
        <v>158.03699064490723</v>
      </c>
      <c r="N178" s="11">
        <f t="shared" si="198"/>
        <v>151.08869008064434</v>
      </c>
      <c r="O178" s="11">
        <f t="shared" si="198"/>
        <v>145.12374286389741</v>
      </c>
      <c r="P178" s="11">
        <f t="shared" si="198"/>
        <v>155.74520448137116</v>
      </c>
      <c r="Q178" s="11">
        <f t="shared" si="198"/>
        <v>149.6037252925739</v>
      </c>
      <c r="S178" s="39">
        <f t="shared" ref="S178" si="201">IF(O$151-M$151 &lt;&gt; 0,(EXP(LN(O178/M178)/(O$151-M$151))-1)*100,0)</f>
        <v>-1.6903966415334648</v>
      </c>
      <c r="T178" s="39">
        <f t="shared" ref="T178" si="202">IF(Q$151-O$151 &lt;&gt; 0,(EXP(LN(Q178/O178)/(Q$151-O$151))-1)*100,0)</f>
        <v>0.20289347999968843</v>
      </c>
      <c r="W178" s="10" t="str">
        <f t="shared" si="199"/>
        <v>92 Elementary administration and service occupations</v>
      </c>
      <c r="X178" s="11">
        <f t="shared" si="199"/>
        <v>172.01958593935893</v>
      </c>
      <c r="Y178" s="11">
        <f t="shared" si="199"/>
        <v>182.57362791094906</v>
      </c>
      <c r="Z178" s="11">
        <f t="shared" si="199"/>
        <v>162.64254790562455</v>
      </c>
      <c r="AA178" s="11">
        <f t="shared" si="199"/>
        <v>159.98462452161166</v>
      </c>
      <c r="AB178" s="11">
        <f t="shared" si="199"/>
        <v>152.14353286061984</v>
      </c>
      <c r="AD178" s="39">
        <f t="shared" ref="AD178" si="203">IF(Z$151-X$151 &lt;&gt; 0,(EXP(LN(Z178/X178)/(Z$151-X$151))-1)*100,0)</f>
        <v>-1.1148095647239731</v>
      </c>
      <c r="AE178" s="39">
        <f t="shared" ref="AE178" si="204">IF(AB$151-Z$151 &lt;&gt; 0,(EXP(LN(AB178/Z178)/(AB$151-Z$151))-1)*100,0)</f>
        <v>-0.44388168492177638</v>
      </c>
    </row>
    <row r="179" spans="1:31" x14ac:dyDescent="0.3">
      <c r="A179" s="10"/>
      <c r="B179" s="11"/>
      <c r="C179" s="11"/>
      <c r="D179" s="11"/>
      <c r="E179" s="11"/>
      <c r="F179" s="11"/>
      <c r="H179" s="39"/>
      <c r="I179" s="39"/>
      <c r="L179" s="10"/>
      <c r="M179" s="11"/>
      <c r="N179" s="11"/>
      <c r="O179" s="11"/>
      <c r="P179" s="11"/>
      <c r="Q179" s="11"/>
      <c r="S179" s="39"/>
      <c r="T179" s="39"/>
      <c r="W179" s="10"/>
      <c r="X179" s="11"/>
      <c r="Y179" s="11"/>
      <c r="Z179" s="11"/>
      <c r="AA179" s="11"/>
      <c r="AB179" s="11"/>
      <c r="AD179" s="39"/>
      <c r="AE179" s="39"/>
    </row>
    <row r="180" spans="1:31" x14ac:dyDescent="0.3">
      <c r="A180" s="231" t="str">
        <f t="shared" ref="A180:F180" si="205">A35</f>
        <v>All occupations</v>
      </c>
      <c r="B180" s="33">
        <f>B35</f>
        <v>3055.7789999995125</v>
      </c>
      <c r="C180" s="33">
        <f t="shared" si="205"/>
        <v>3207.1029999983175</v>
      </c>
      <c r="D180" s="33">
        <f t="shared" si="205"/>
        <v>3174.1919999984007</v>
      </c>
      <c r="E180" s="33">
        <f t="shared" si="205"/>
        <v>3280.252000000004</v>
      </c>
      <c r="F180" s="33">
        <f t="shared" si="205"/>
        <v>3444.2829999979003</v>
      </c>
      <c r="H180" s="42">
        <f t="shared" si="146"/>
        <v>0.76326935937192086</v>
      </c>
      <c r="I180" s="42">
        <f t="shared" si="147"/>
        <v>0.54590226783473028</v>
      </c>
      <c r="L180" s="231" t="str">
        <f t="shared" ref="L180:Q180" si="206">L35</f>
        <v>All occupations</v>
      </c>
      <c r="M180" s="33">
        <f t="shared" si="206"/>
        <v>1628.7059999994681</v>
      </c>
      <c r="N180" s="33">
        <f t="shared" si="206"/>
        <v>1659.0149999996897</v>
      </c>
      <c r="O180" s="33">
        <f t="shared" si="206"/>
        <v>1634.9039999990937</v>
      </c>
      <c r="P180" s="33">
        <f t="shared" si="206"/>
        <v>1692.0769999982244</v>
      </c>
      <c r="Q180" s="33">
        <f t="shared" si="206"/>
        <v>1768.6709999982768</v>
      </c>
      <c r="S180" s="42">
        <f t="shared" ref="S180" si="207">IF(O$151-M$151 &lt;&gt; 0,(EXP(LN(O180/M180)/(O$151-M$151))-1)*100,0)</f>
        <v>7.5993911122895774E-2</v>
      </c>
      <c r="T180" s="42">
        <f t="shared" ref="T180" si="208">IF(Q$151-O$151 &lt;&gt; 0,(EXP(LN(Q180/O180)/(Q$151-O$151))-1)*100,0)</f>
        <v>0.5256723680189257</v>
      </c>
      <c r="W180" s="231" t="str">
        <f t="shared" ref="W180:AB180" si="209">W35</f>
        <v>All occupations</v>
      </c>
      <c r="X180" s="33">
        <f t="shared" si="209"/>
        <v>1427.0730000000447</v>
      </c>
      <c r="Y180" s="33">
        <f t="shared" si="209"/>
        <v>1548.0879999986271</v>
      </c>
      <c r="Z180" s="33">
        <f t="shared" si="209"/>
        <v>1539.2879999993067</v>
      </c>
      <c r="AA180" s="33">
        <f t="shared" si="209"/>
        <v>1588.1750000017805</v>
      </c>
      <c r="AB180" s="33">
        <f t="shared" si="209"/>
        <v>1675.6119999996242</v>
      </c>
      <c r="AD180" s="42">
        <f t="shared" ref="AD180" si="210">IF(Z$151-X$151 &lt;&gt; 0,(EXP(LN(Z180/X180)/(Z$151-X$151))-1)*100,0)</f>
        <v>1.5254069226034339</v>
      </c>
      <c r="AE180" s="42">
        <f t="shared" ref="AE180" si="211">IF(AB$151-Z$151 &lt;&gt; 0,(EXP(LN(AB180/Z180)/(AB$151-Z$151))-1)*100,0)</f>
        <v>0.567326568490234</v>
      </c>
    </row>
    <row r="181" spans="1:31" x14ac:dyDescent="0.3">
      <c r="A181" s="10"/>
    </row>
    <row r="182" spans="1:31" x14ac:dyDescent="0.3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1" man="1"/>
  </rowBreaks>
  <colBreaks count="2" manualBreakCount="2">
    <brk id="10" max="179" man="1"/>
    <brk id="21" max="179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L103"/>
  <sheetViews>
    <sheetView showGridLines="0" zoomScale="85" zoomScaleNormal="85" workbookViewId="0"/>
  </sheetViews>
  <sheetFormatPr defaultRowHeight="12.45" x14ac:dyDescent="0.3"/>
  <cols>
    <col min="1" max="1" width="54.69140625" customWidth="1"/>
    <col min="2" max="6" width="11.69140625" customWidth="1"/>
    <col min="7" max="7" width="5.69140625" customWidth="1"/>
    <col min="8" max="12" width="11.69140625" customWidth="1"/>
  </cols>
  <sheetData>
    <row r="1" spans="1:12" ht="15.45" x14ac:dyDescent="0.4">
      <c r="A1" s="18" t="str">
        <f>CONCATENATE("Occupation Table 3  Employment Change by Occupation in Occupation Group (SOC 2020), ",B$5,"-",F$5,", ",Info!B5)</f>
        <v>Occupation Table 3  Employment Change by Occupation in Occupation Group (SOC 2020), 2015-2035, East</v>
      </c>
    </row>
    <row r="2" spans="1:12" ht="12.75" customHeight="1" x14ac:dyDescent="0.3">
      <c r="A2" s="181" t="s">
        <v>540</v>
      </c>
    </row>
    <row r="3" spans="1:12" ht="12.75" customHeight="1" x14ac:dyDescent="0.4">
      <c r="A3" s="18"/>
      <c r="L3" s="37" t="s">
        <v>19</v>
      </c>
    </row>
    <row r="4" spans="1:12" x14ac:dyDescent="0.3">
      <c r="A4" s="35"/>
      <c r="B4" s="27" t="s">
        <v>17</v>
      </c>
      <c r="C4" s="35"/>
      <c r="D4" s="35"/>
      <c r="E4" s="35"/>
      <c r="F4" s="35"/>
      <c r="G4" s="35"/>
      <c r="H4" s="27" t="s">
        <v>18</v>
      </c>
      <c r="I4" s="35"/>
      <c r="J4" s="35"/>
      <c r="K4" s="35"/>
      <c r="L4" s="35"/>
    </row>
    <row r="5" spans="1:12" x14ac:dyDescent="0.3">
      <c r="A5" s="23"/>
      <c r="B5" s="34">
        <f>'Occ T1'!B6</f>
        <v>2015</v>
      </c>
      <c r="C5" s="34">
        <f>'Occ T1'!C6</f>
        <v>2019</v>
      </c>
      <c r="D5" s="34">
        <f>'Occ T1'!D6</f>
        <v>2020</v>
      </c>
      <c r="E5" s="34">
        <f>'Occ T1'!E6</f>
        <v>2025</v>
      </c>
      <c r="F5" s="34">
        <f>'Occ T1'!F6</f>
        <v>2035</v>
      </c>
      <c r="H5" s="36" t="str">
        <f>CONCATENATE(B$5,"-",C$5)</f>
        <v>2015-2019</v>
      </c>
      <c r="I5" s="36" t="str">
        <f>CONCATENATE(C$5,"-",D$5)</f>
        <v>2019-2020</v>
      </c>
      <c r="J5" s="36" t="str">
        <f>CONCATENATE(D$5,"-",E$5)</f>
        <v>2020-2025</v>
      </c>
      <c r="K5" s="36" t="str">
        <f>CONCATENATE(E$5,"-",F$5)</f>
        <v>2025-2035</v>
      </c>
      <c r="L5" s="36" t="str">
        <f>CONCATENATE(D$5,"-",F$5)</f>
        <v>2020-2035</v>
      </c>
    </row>
    <row r="7" spans="1:12" s="29" customFormat="1" ht="12.9" x14ac:dyDescent="0.35">
      <c r="A7" s="29" t="str">
        <f>'Occ T1'!A8</f>
        <v>Managers, directors and senior officials</v>
      </c>
      <c r="B7" s="30">
        <f>'Occ T1'!B8</f>
        <v>317.29921203279753</v>
      </c>
      <c r="C7" s="30">
        <f>'Occ T1'!C8</f>
        <v>358.84616174802488</v>
      </c>
      <c r="D7" s="30">
        <f>'Occ T1'!D8</f>
        <v>364.87560410778576</v>
      </c>
      <c r="E7" s="30">
        <f>'Occ T1'!E8</f>
        <v>377.19167855722014</v>
      </c>
      <c r="F7" s="30">
        <f>'Occ T1'!F8</f>
        <v>426.0530763163315</v>
      </c>
      <c r="H7" s="30">
        <f>C7-B7</f>
        <v>41.546949715227356</v>
      </c>
      <c r="I7" s="30">
        <f>D7-C7</f>
        <v>6.0294423597608784</v>
      </c>
      <c r="J7" s="30">
        <f>E7-D7</f>
        <v>12.316074449434382</v>
      </c>
      <c r="K7" s="30">
        <f>F7-E7</f>
        <v>48.861397759111355</v>
      </c>
      <c r="L7" s="30">
        <f>F7-D7</f>
        <v>61.177472208545737</v>
      </c>
    </row>
    <row r="8" spans="1:12" s="29" customFormat="1" ht="12.9" x14ac:dyDescent="0.35">
      <c r="A8" s="10" t="str">
        <f>'Occ T2'!A8</f>
        <v>11 Corporate managers and directors</v>
      </c>
      <c r="B8" s="31">
        <f>'Occ T2'!B8</f>
        <v>215.07175900141254</v>
      </c>
      <c r="C8" s="31">
        <f>'Occ T2'!C8</f>
        <v>251.33188958578569</v>
      </c>
      <c r="D8" s="31">
        <f>'Occ T2'!D8</f>
        <v>256.42027451780478</v>
      </c>
      <c r="E8" s="31">
        <f>'Occ T2'!E8</f>
        <v>241.82674878761222</v>
      </c>
      <c r="F8" s="31">
        <f>'Occ T2'!F8</f>
        <v>268.37253864090906</v>
      </c>
      <c r="H8" s="30">
        <f t="shared" ref="H8:H9" si="0">C8-B8</f>
        <v>36.260130584373144</v>
      </c>
      <c r="I8" s="30">
        <f t="shared" ref="I8:I9" si="1">D8-C8</f>
        <v>5.0883849320190961</v>
      </c>
      <c r="J8" s="30">
        <f t="shared" ref="J8:J9" si="2">E8-D8</f>
        <v>-14.593525730192567</v>
      </c>
      <c r="K8" s="30">
        <f t="shared" ref="K8:K9" si="3">F8-E8</f>
        <v>26.545789853296839</v>
      </c>
      <c r="L8" s="30">
        <f t="shared" ref="L8:L49" si="4">F8-D8</f>
        <v>11.952264123104271</v>
      </c>
    </row>
    <row r="9" spans="1:12" s="29" customFormat="1" ht="12.9" x14ac:dyDescent="0.35">
      <c r="A9" s="10" t="str">
        <f>'Occ T2'!A9</f>
        <v>12 Other managers and proprietors</v>
      </c>
      <c r="B9" s="31">
        <f>'Occ T2'!B9</f>
        <v>102.22745303138501</v>
      </c>
      <c r="C9" s="31">
        <f>'Occ T2'!C9</f>
        <v>107.51427216223921</v>
      </c>
      <c r="D9" s="31">
        <f>'Occ T2'!D9</f>
        <v>108.45532958998095</v>
      </c>
      <c r="E9" s="31">
        <f>'Occ T2'!E9</f>
        <v>135.36492976960793</v>
      </c>
      <c r="F9" s="31">
        <f>'Occ T2'!F9</f>
        <v>157.68053767542241</v>
      </c>
      <c r="H9" s="30">
        <f t="shared" si="0"/>
        <v>5.2868191308541981</v>
      </c>
      <c r="I9" s="30">
        <f t="shared" si="1"/>
        <v>0.94105742774173962</v>
      </c>
      <c r="J9" s="30">
        <f t="shared" si="2"/>
        <v>26.909600179626977</v>
      </c>
      <c r="K9" s="30">
        <f t="shared" si="3"/>
        <v>22.315607905814488</v>
      </c>
      <c r="L9" s="30">
        <f t="shared" si="4"/>
        <v>49.225208085441466</v>
      </c>
    </row>
    <row r="10" spans="1:12" ht="12.9" x14ac:dyDescent="0.35">
      <c r="B10" s="31"/>
      <c r="C10" s="31"/>
      <c r="D10" s="31"/>
      <c r="E10" s="31"/>
      <c r="F10" s="31"/>
      <c r="H10" s="11"/>
      <c r="I10" s="30"/>
      <c r="J10" s="11"/>
      <c r="K10" s="11"/>
      <c r="L10" s="30"/>
    </row>
    <row r="11" spans="1:12" s="29" customFormat="1" ht="12.9" x14ac:dyDescent="0.35">
      <c r="A11" s="29" t="str">
        <f>'Occ T1'!A9</f>
        <v>Professional occupations</v>
      </c>
      <c r="B11" s="30">
        <f>'Occ T1'!B9</f>
        <v>586.3042977264812</v>
      </c>
      <c r="C11" s="30">
        <f>'Occ T1'!C9</f>
        <v>679.33227526654014</v>
      </c>
      <c r="D11" s="30">
        <f>'Occ T1'!D9</f>
        <v>704.81718555733551</v>
      </c>
      <c r="E11" s="30">
        <f>'Occ T1'!E9</f>
        <v>760.56664547867615</v>
      </c>
      <c r="F11" s="30">
        <f>'Occ T1'!F9</f>
        <v>851.32527131328266</v>
      </c>
      <c r="H11" s="30">
        <f>C11-B11</f>
        <v>93.027977540058941</v>
      </c>
      <c r="I11" s="30">
        <f t="shared" ref="I11:I49" si="5">D11-C11</f>
        <v>25.484910290795369</v>
      </c>
      <c r="J11" s="30">
        <f>E11-D11</f>
        <v>55.749459921340645</v>
      </c>
      <c r="K11" s="30">
        <f>F11-E11</f>
        <v>90.758625834606505</v>
      </c>
      <c r="L11" s="30">
        <f t="shared" si="4"/>
        <v>146.50808575594715</v>
      </c>
    </row>
    <row r="12" spans="1:12" ht="12.9" x14ac:dyDescent="0.35">
      <c r="A12" s="10" t="str">
        <f>'Occ T2'!A10</f>
        <v>21 Science, research, engineering and technology professionals</v>
      </c>
      <c r="B12" s="10">
        <f>'Occ T2'!B10</f>
        <v>186.41484950766176</v>
      </c>
      <c r="C12" s="10">
        <f>'Occ T2'!C10</f>
        <v>211.52119916310374</v>
      </c>
      <c r="D12" s="10">
        <f>'Occ T2'!D10</f>
        <v>219.28005434285362</v>
      </c>
      <c r="E12" s="10">
        <f>'Occ T2'!E10</f>
        <v>232.31387681230299</v>
      </c>
      <c r="F12" s="10">
        <f>'Occ T2'!F10</f>
        <v>259.05118497637233</v>
      </c>
      <c r="H12" s="11">
        <f t="shared" ref="H12:K14" si="6">C12-B12</f>
        <v>25.106349655441988</v>
      </c>
      <c r="I12" s="30">
        <f t="shared" si="5"/>
        <v>7.7588551797498724</v>
      </c>
      <c r="J12" s="11">
        <f t="shared" si="6"/>
        <v>13.033822469449376</v>
      </c>
      <c r="K12" s="11">
        <f t="shared" si="6"/>
        <v>26.737308164069333</v>
      </c>
      <c r="L12" s="30">
        <f t="shared" si="4"/>
        <v>39.771130633518709</v>
      </c>
    </row>
    <row r="13" spans="1:12" ht="12.9" x14ac:dyDescent="0.35">
      <c r="A13" s="10" t="str">
        <f>'Occ T2'!A11</f>
        <v>22 Health professionals</v>
      </c>
      <c r="B13" s="10">
        <f>'Occ T2'!B11</f>
        <v>101.29090452362664</v>
      </c>
      <c r="C13" s="10">
        <f>'Occ T2'!C11</f>
        <v>122.61083730173362</v>
      </c>
      <c r="D13" s="10">
        <f>'Occ T2'!D11</f>
        <v>119.29571542032333</v>
      </c>
      <c r="E13" s="10">
        <f>'Occ T2'!E11</f>
        <v>129.3840758209306</v>
      </c>
      <c r="F13" s="10">
        <f>'Occ T2'!F11</f>
        <v>145.28131543342394</v>
      </c>
      <c r="H13" s="11">
        <f t="shared" si="6"/>
        <v>21.319932778106988</v>
      </c>
      <c r="I13" s="30">
        <f t="shared" si="5"/>
        <v>-3.3151218814102918</v>
      </c>
      <c r="J13" s="11">
        <f t="shared" si="6"/>
        <v>10.088360400607272</v>
      </c>
      <c r="K13" s="11">
        <f t="shared" si="6"/>
        <v>15.897239612493337</v>
      </c>
      <c r="L13" s="30">
        <f t="shared" si="4"/>
        <v>25.985600013100608</v>
      </c>
    </row>
    <row r="14" spans="1:12" ht="12.9" x14ac:dyDescent="0.35">
      <c r="A14" s="10" t="str">
        <f>'Occ T2'!A12</f>
        <v>23 Teaching and other educational professionals</v>
      </c>
      <c r="B14" s="10">
        <f>'Occ T2'!B12</f>
        <v>128.56143721289453</v>
      </c>
      <c r="C14" s="10">
        <f>'Occ T2'!C12</f>
        <v>145.1957743366284</v>
      </c>
      <c r="D14" s="10">
        <f>'Occ T2'!D12</f>
        <v>150.97859691014554</v>
      </c>
      <c r="E14" s="10">
        <f>'Occ T2'!E12</f>
        <v>156.21158434273588</v>
      </c>
      <c r="F14" s="10">
        <f>'Occ T2'!F12</f>
        <v>169.79821578021685</v>
      </c>
      <c r="H14" s="11">
        <f t="shared" si="6"/>
        <v>16.634337123733872</v>
      </c>
      <c r="I14" s="30">
        <f t="shared" si="5"/>
        <v>5.7828225735171372</v>
      </c>
      <c r="J14" s="11">
        <f t="shared" si="6"/>
        <v>5.2329874325903347</v>
      </c>
      <c r="K14" s="11">
        <f t="shared" si="6"/>
        <v>13.586631437480975</v>
      </c>
      <c r="L14" s="30">
        <f t="shared" si="4"/>
        <v>18.819618870071309</v>
      </c>
    </row>
    <row r="15" spans="1:12" ht="12.9" x14ac:dyDescent="0.35">
      <c r="A15" s="10" t="str">
        <f>'Occ T2'!A13</f>
        <v>24 Business, media and public service professionals</v>
      </c>
      <c r="B15" s="10">
        <f>'Occ T2'!B13</f>
        <v>170.0371064822983</v>
      </c>
      <c r="C15" s="10">
        <f>'Occ T2'!C13</f>
        <v>200.00446446507434</v>
      </c>
      <c r="D15" s="10">
        <f>'Occ T2'!D13</f>
        <v>215.262818884013</v>
      </c>
      <c r="E15" s="10">
        <f>'Occ T2'!E13</f>
        <v>242.65710850270656</v>
      </c>
      <c r="F15" s="10">
        <f>'Occ T2'!F13</f>
        <v>277.19455512326959</v>
      </c>
      <c r="H15" s="11">
        <f t="shared" ref="H15" si="7">C15-B15</f>
        <v>29.967357982776036</v>
      </c>
      <c r="I15" s="30">
        <f t="shared" si="5"/>
        <v>15.258354418938666</v>
      </c>
      <c r="J15" s="11">
        <f t="shared" ref="J15" si="8">E15-D15</f>
        <v>27.394289618693563</v>
      </c>
      <c r="K15" s="11">
        <f t="shared" ref="K15" si="9">F15-E15</f>
        <v>34.537446620563031</v>
      </c>
      <c r="L15" s="30">
        <f t="shared" si="4"/>
        <v>61.931736239256594</v>
      </c>
    </row>
    <row r="16" spans="1:12" ht="12.9" x14ac:dyDescent="0.35">
      <c r="A16" s="10"/>
      <c r="B16" s="31"/>
      <c r="C16" s="31"/>
      <c r="D16" s="31"/>
      <c r="E16" s="31"/>
      <c r="F16" s="31"/>
      <c r="H16" s="11"/>
      <c r="I16" s="30"/>
      <c r="J16" s="11"/>
      <c r="K16" s="11"/>
      <c r="L16" s="30"/>
    </row>
    <row r="17" spans="1:12" s="29" customFormat="1" ht="12.9" x14ac:dyDescent="0.35">
      <c r="A17" s="29" t="str">
        <f>'Occ T1'!A10</f>
        <v>Associate professional occupations</v>
      </c>
      <c r="B17" s="30">
        <f>'Occ T1'!B10</f>
        <v>368.99148710427676</v>
      </c>
      <c r="C17" s="30">
        <f>'Occ T1'!C10</f>
        <v>398.19745908852406</v>
      </c>
      <c r="D17" s="30">
        <f>'Occ T1'!D10</f>
        <v>424.88656688403216</v>
      </c>
      <c r="E17" s="30">
        <f>'Occ T1'!E10</f>
        <v>416.55702449984153</v>
      </c>
      <c r="F17" s="30">
        <f>'Occ T1'!F10</f>
        <v>455.01327421440635</v>
      </c>
      <c r="H17" s="30">
        <f t="shared" ref="H17:K21" si="10">C17-B17</f>
        <v>29.205971984247299</v>
      </c>
      <c r="I17" s="30">
        <f t="shared" si="5"/>
        <v>26.689107795508107</v>
      </c>
      <c r="J17" s="30">
        <f t="shared" si="10"/>
        <v>-8.3295423841906313</v>
      </c>
      <c r="K17" s="30">
        <f t="shared" si="10"/>
        <v>38.456249714564819</v>
      </c>
      <c r="L17" s="30">
        <f t="shared" si="4"/>
        <v>30.126707330374188</v>
      </c>
    </row>
    <row r="18" spans="1:12" ht="12.9" x14ac:dyDescent="0.35">
      <c r="A18" s="10" t="str">
        <f>'Occ T2'!A14</f>
        <v>31 Science, engineering and technology associate professionals</v>
      </c>
      <c r="B18" s="10">
        <f>'Occ T2'!B14</f>
        <v>51.916227810861997</v>
      </c>
      <c r="C18" s="10">
        <f>'Occ T2'!C14</f>
        <v>60.866837475210005</v>
      </c>
      <c r="D18" s="10">
        <f>'Occ T2'!D14</f>
        <v>66.661989893571118</v>
      </c>
      <c r="E18" s="10">
        <f>'Occ T2'!E14</f>
        <v>59.279962103038798</v>
      </c>
      <c r="F18" s="10">
        <f>'Occ T2'!F14</f>
        <v>64.377093001295108</v>
      </c>
      <c r="H18" s="11">
        <f t="shared" si="10"/>
        <v>8.9506096643480078</v>
      </c>
      <c r="I18" s="30">
        <f t="shared" si="5"/>
        <v>5.7951524183611127</v>
      </c>
      <c r="J18" s="11">
        <f t="shared" si="10"/>
        <v>-7.3820277905323195</v>
      </c>
      <c r="K18" s="11">
        <f t="shared" si="10"/>
        <v>5.0971308982563102</v>
      </c>
      <c r="L18" s="30">
        <f t="shared" si="4"/>
        <v>-2.2848968922760093</v>
      </c>
    </row>
    <row r="19" spans="1:12" ht="12.9" x14ac:dyDescent="0.35">
      <c r="A19" s="10" t="str">
        <f>'Occ T2'!A15</f>
        <v>32 Health and social care associate professionals</v>
      </c>
      <c r="B19" s="10">
        <f>'Occ T2'!B15</f>
        <v>43.592593838917885</v>
      </c>
      <c r="C19" s="10">
        <f>'Occ T2'!C15</f>
        <v>51.784387361927934</v>
      </c>
      <c r="D19" s="10">
        <f>'Occ T2'!D15</f>
        <v>52.293649494333124</v>
      </c>
      <c r="E19" s="10">
        <f>'Occ T2'!E15</f>
        <v>53.263865114478065</v>
      </c>
      <c r="F19" s="10">
        <f>'Occ T2'!F15</f>
        <v>60.069127651335592</v>
      </c>
      <c r="H19" s="11">
        <f t="shared" si="10"/>
        <v>8.1917935230100483</v>
      </c>
      <c r="I19" s="30">
        <f t="shared" si="5"/>
        <v>0.50926213240519047</v>
      </c>
      <c r="J19" s="11">
        <f t="shared" si="10"/>
        <v>0.97021562014494123</v>
      </c>
      <c r="K19" s="11">
        <f t="shared" si="10"/>
        <v>6.8052625368575264</v>
      </c>
      <c r="L19" s="30">
        <f t="shared" si="4"/>
        <v>7.7754781570024676</v>
      </c>
    </row>
    <row r="20" spans="1:12" ht="12.9" x14ac:dyDescent="0.35">
      <c r="A20" s="10" t="str">
        <f>'Occ T2'!A16</f>
        <v>33 Protective service occupations</v>
      </c>
      <c r="B20" s="10">
        <f>'Occ T2'!B16</f>
        <v>30.017339672230531</v>
      </c>
      <c r="C20" s="10">
        <f>'Occ T2'!C16</f>
        <v>29.436057957041882</v>
      </c>
      <c r="D20" s="10">
        <f>'Occ T2'!D16</f>
        <v>31.864429233105461</v>
      </c>
      <c r="E20" s="10">
        <f>'Occ T2'!E16</f>
        <v>39.207054120304214</v>
      </c>
      <c r="F20" s="10">
        <f>'Occ T2'!F16</f>
        <v>47.091997779470525</v>
      </c>
      <c r="H20" s="11">
        <f t="shared" si="10"/>
        <v>-0.58128171518864846</v>
      </c>
      <c r="I20" s="30">
        <f t="shared" si="5"/>
        <v>2.4283712760635794</v>
      </c>
      <c r="J20" s="11">
        <f t="shared" si="10"/>
        <v>7.3426248871987525</v>
      </c>
      <c r="K20" s="11">
        <f t="shared" si="10"/>
        <v>7.8849436591663107</v>
      </c>
      <c r="L20" s="30">
        <f t="shared" si="4"/>
        <v>15.227568546365063</v>
      </c>
    </row>
    <row r="21" spans="1:12" ht="12.9" x14ac:dyDescent="0.35">
      <c r="A21" s="10" t="str">
        <f>'Occ T2'!A17</f>
        <v>34 Culture, media and sports occupations</v>
      </c>
      <c r="B21" s="10">
        <f>'Occ T2'!B17</f>
        <v>61.226797374406303</v>
      </c>
      <c r="C21" s="10">
        <f>'Occ T2'!C17</f>
        <v>60.405627510625095</v>
      </c>
      <c r="D21" s="10">
        <f>'Occ T2'!D17</f>
        <v>72.766048539117293</v>
      </c>
      <c r="E21" s="10">
        <f>'Occ T2'!E17</f>
        <v>69.154948490125918</v>
      </c>
      <c r="F21" s="10">
        <f>'Occ T2'!F17</f>
        <v>76.224056380442065</v>
      </c>
      <c r="H21" s="11">
        <f t="shared" si="10"/>
        <v>-0.82116986378120771</v>
      </c>
      <c r="I21" s="30">
        <f t="shared" si="5"/>
        <v>12.360421028492198</v>
      </c>
      <c r="J21" s="11">
        <f t="shared" si="10"/>
        <v>-3.6111000489913749</v>
      </c>
      <c r="K21" s="11">
        <f t="shared" si="10"/>
        <v>7.0691078903161468</v>
      </c>
      <c r="L21" s="30">
        <f t="shared" si="4"/>
        <v>3.4580078413247719</v>
      </c>
    </row>
    <row r="22" spans="1:12" ht="12.9" x14ac:dyDescent="0.35">
      <c r="A22" s="10" t="str">
        <f>'Occ T2'!A18</f>
        <v>35 Business and public service associate professionals</v>
      </c>
      <c r="B22" s="10">
        <f>'Occ T2'!B18</f>
        <v>182.23852840786006</v>
      </c>
      <c r="C22" s="10">
        <f>'Occ T2'!C18</f>
        <v>195.7045487837191</v>
      </c>
      <c r="D22" s="10">
        <f>'Occ T2'!D18</f>
        <v>201.30044972390519</v>
      </c>
      <c r="E22" s="10">
        <f>'Occ T2'!E18</f>
        <v>195.65119467189456</v>
      </c>
      <c r="F22" s="10">
        <f>'Occ T2'!F18</f>
        <v>207.25099940186306</v>
      </c>
      <c r="H22" s="11">
        <f t="shared" ref="H22" si="11">C22-B22</f>
        <v>13.466020375859046</v>
      </c>
      <c r="I22" s="30">
        <f t="shared" si="5"/>
        <v>5.595900940186084</v>
      </c>
      <c r="J22" s="11">
        <f t="shared" ref="J22" si="12">E22-D22</f>
        <v>-5.6492550520106306</v>
      </c>
      <c r="K22" s="11">
        <f t="shared" ref="K22" si="13">F22-E22</f>
        <v>11.599804729968497</v>
      </c>
      <c r="L22" s="30">
        <f t="shared" si="4"/>
        <v>5.9505496779578664</v>
      </c>
    </row>
    <row r="23" spans="1:12" ht="12.9" x14ac:dyDescent="0.35">
      <c r="A23" s="10"/>
      <c r="B23" s="31"/>
      <c r="C23" s="31"/>
      <c r="D23" s="31"/>
      <c r="E23" s="31"/>
      <c r="F23" s="31"/>
      <c r="H23" s="11"/>
      <c r="I23" s="30"/>
      <c r="J23" s="11"/>
      <c r="K23" s="11"/>
      <c r="L23" s="30"/>
    </row>
    <row r="24" spans="1:12" s="29" customFormat="1" ht="12.9" x14ac:dyDescent="0.35">
      <c r="A24" s="29" t="str">
        <f>'Occ T1'!A11</f>
        <v>Administrative and secretarial occupations</v>
      </c>
      <c r="B24" s="30">
        <f>'Occ T1'!B11</f>
        <v>335.25022176360835</v>
      </c>
      <c r="C24" s="30">
        <f>'Occ T1'!C11</f>
        <v>328.08114463886125</v>
      </c>
      <c r="D24" s="30">
        <f>'Occ T1'!D11</f>
        <v>330.71047944005625</v>
      </c>
      <c r="E24" s="30">
        <f>'Occ T1'!E11</f>
        <v>313.02846052458028</v>
      </c>
      <c r="F24" s="30">
        <f>'Occ T1'!F11</f>
        <v>280.35480319868844</v>
      </c>
      <c r="H24" s="30">
        <f t="shared" ref="H24:K26" si="14">C24-B24</f>
        <v>-7.1690771247471048</v>
      </c>
      <c r="I24" s="30">
        <f t="shared" si="5"/>
        <v>2.6293348011950002</v>
      </c>
      <c r="J24" s="30">
        <f t="shared" si="14"/>
        <v>-17.682018915475965</v>
      </c>
      <c r="K24" s="30">
        <f t="shared" si="14"/>
        <v>-32.673657325891838</v>
      </c>
      <c r="L24" s="30">
        <f t="shared" si="4"/>
        <v>-50.355676241367803</v>
      </c>
    </row>
    <row r="25" spans="1:12" ht="12.9" x14ac:dyDescent="0.35">
      <c r="A25" t="str">
        <f>'Occ T2'!A19</f>
        <v>41 Administrative occupations</v>
      </c>
      <c r="B25" s="31">
        <f>'Occ T2'!B19</f>
        <v>259.61010329935812</v>
      </c>
      <c r="C25" s="31">
        <f>'Occ T2'!C19</f>
        <v>256.31375667122313</v>
      </c>
      <c r="D25" s="31">
        <f>'Occ T2'!D19</f>
        <v>261.75573790944139</v>
      </c>
      <c r="E25" s="31">
        <f>'Occ T2'!E19</f>
        <v>241.46847811395256</v>
      </c>
      <c r="F25" s="31">
        <f>'Occ T2'!F19</f>
        <v>227.65142269680504</v>
      </c>
      <c r="H25" s="11">
        <f t="shared" si="14"/>
        <v>-3.2963466281349838</v>
      </c>
      <c r="I25" s="30">
        <f t="shared" si="5"/>
        <v>5.4419812382182613</v>
      </c>
      <c r="J25" s="11">
        <f t="shared" si="14"/>
        <v>-20.287259795488836</v>
      </c>
      <c r="K25" s="11">
        <f t="shared" si="14"/>
        <v>-13.817055417147515</v>
      </c>
      <c r="L25" s="30">
        <f t="shared" si="4"/>
        <v>-34.104315212636351</v>
      </c>
    </row>
    <row r="26" spans="1:12" ht="12.9" x14ac:dyDescent="0.35">
      <c r="A26" t="str">
        <f>'Occ T2'!A20</f>
        <v>42 Secretarial and related occupations</v>
      </c>
      <c r="B26" s="31">
        <f>'Occ T2'!B20</f>
        <v>75.640118464250264</v>
      </c>
      <c r="C26" s="31">
        <f>'Occ T2'!C20</f>
        <v>71.767387967638115</v>
      </c>
      <c r="D26" s="31">
        <f>'Occ T2'!D20</f>
        <v>68.954741530614868</v>
      </c>
      <c r="E26" s="31">
        <f>'Occ T2'!E20</f>
        <v>71.559982410627711</v>
      </c>
      <c r="F26" s="31">
        <f>'Occ T2'!F20</f>
        <v>52.703380501883423</v>
      </c>
      <c r="H26" s="11">
        <f t="shared" si="14"/>
        <v>-3.8727304966121494</v>
      </c>
      <c r="I26" s="30">
        <f t="shared" si="5"/>
        <v>-2.8126464370232469</v>
      </c>
      <c r="J26" s="11">
        <f t="shared" si="14"/>
        <v>2.6052408800128433</v>
      </c>
      <c r="K26" s="11">
        <f t="shared" si="14"/>
        <v>-18.856601908744288</v>
      </c>
      <c r="L26" s="30">
        <f t="shared" si="4"/>
        <v>-16.251361028731445</v>
      </c>
    </row>
    <row r="27" spans="1:12" ht="12.9" x14ac:dyDescent="0.35">
      <c r="B27" s="31"/>
      <c r="C27" s="31"/>
      <c r="D27" s="31"/>
      <c r="E27" s="31"/>
      <c r="F27" s="31"/>
      <c r="H27" s="11"/>
      <c r="I27" s="30"/>
      <c r="J27" s="11"/>
      <c r="K27" s="11"/>
      <c r="L27" s="30"/>
    </row>
    <row r="28" spans="1:12" s="29" customFormat="1" ht="12.9" x14ac:dyDescent="0.35">
      <c r="A28" s="29" t="str">
        <f>'Occ T1'!A12</f>
        <v>Skilled trades occupations</v>
      </c>
      <c r="B28" s="30">
        <f>'Occ T1'!B12</f>
        <v>324.93128995317278</v>
      </c>
      <c r="C28" s="30">
        <f>'Occ T1'!C12</f>
        <v>302.30344915223691</v>
      </c>
      <c r="D28" s="30">
        <f>'Occ T1'!D12</f>
        <v>271.46659410623909</v>
      </c>
      <c r="E28" s="30">
        <f>'Occ T1'!E12</f>
        <v>281.6308378580386</v>
      </c>
      <c r="F28" s="30">
        <f>'Occ T1'!F12</f>
        <v>277.64242629963269</v>
      </c>
      <c r="H28" s="30">
        <f t="shared" ref="H28:K30" si="15">C28-B28</f>
        <v>-22.627840800935871</v>
      </c>
      <c r="I28" s="30">
        <f t="shared" si="5"/>
        <v>-30.836855045997822</v>
      </c>
      <c r="J28" s="30">
        <f t="shared" si="15"/>
        <v>10.164243751799518</v>
      </c>
      <c r="K28" s="30">
        <f t="shared" si="15"/>
        <v>-3.9884115584059145</v>
      </c>
      <c r="L28" s="30">
        <f t="shared" si="4"/>
        <v>6.1758321933936031</v>
      </c>
    </row>
    <row r="29" spans="1:12" ht="12.9" x14ac:dyDescent="0.35">
      <c r="A29" s="10" t="str">
        <f>'Occ T2'!A21</f>
        <v>51 Skilled agricultural and related trades</v>
      </c>
      <c r="B29" s="10">
        <f>'Occ T2'!B21</f>
        <v>39.127265446710197</v>
      </c>
      <c r="C29" s="10">
        <f>'Occ T2'!C21</f>
        <v>41.901491038955442</v>
      </c>
      <c r="D29" s="10">
        <f>'Occ T2'!D21</f>
        <v>27.701459442035809</v>
      </c>
      <c r="E29" s="10">
        <f>'Occ T2'!E21</f>
        <v>29.4176763322601</v>
      </c>
      <c r="F29" s="10">
        <f>'Occ T2'!F21</f>
        <v>34.324848177096435</v>
      </c>
      <c r="H29" s="11">
        <f t="shared" si="15"/>
        <v>2.7742255922452443</v>
      </c>
      <c r="I29" s="30">
        <f t="shared" si="5"/>
        <v>-14.200031596919633</v>
      </c>
      <c r="J29" s="11">
        <f t="shared" si="15"/>
        <v>1.7162168902242918</v>
      </c>
      <c r="K29" s="11">
        <f t="shared" si="15"/>
        <v>4.9071718448363342</v>
      </c>
      <c r="L29" s="30">
        <f t="shared" si="4"/>
        <v>6.623388735060626</v>
      </c>
    </row>
    <row r="30" spans="1:12" ht="12.9" x14ac:dyDescent="0.35">
      <c r="A30" s="10" t="str">
        <f>'Occ T2'!A22</f>
        <v>52 Skilled metal, electrical and electronic trades</v>
      </c>
      <c r="B30" s="10">
        <f>'Occ T2'!B22</f>
        <v>118.00540714420841</v>
      </c>
      <c r="C30" s="10">
        <f>'Occ T2'!C22</f>
        <v>114.08729671392925</v>
      </c>
      <c r="D30" s="10">
        <f>'Occ T2'!D22</f>
        <v>100.42539928195286</v>
      </c>
      <c r="E30" s="10">
        <f>'Occ T2'!E22</f>
        <v>102.88814709808921</v>
      </c>
      <c r="F30" s="10">
        <f>'Occ T2'!F22</f>
        <v>99.69259873414488</v>
      </c>
      <c r="H30" s="11">
        <f t="shared" si="15"/>
        <v>-3.9181104302791567</v>
      </c>
      <c r="I30" s="30">
        <f t="shared" si="5"/>
        <v>-13.661897431976385</v>
      </c>
      <c r="J30" s="11">
        <f t="shared" si="15"/>
        <v>2.4627478161363427</v>
      </c>
      <c r="K30" s="11">
        <f t="shared" si="15"/>
        <v>-3.1955483639443258</v>
      </c>
      <c r="L30" s="30">
        <f t="shared" si="4"/>
        <v>-0.73280054780798309</v>
      </c>
    </row>
    <row r="31" spans="1:12" ht="12.9" x14ac:dyDescent="0.35">
      <c r="A31" s="10" t="str">
        <f>'Occ T2'!A23</f>
        <v>53 Skilled construction and building trades</v>
      </c>
      <c r="B31" s="10">
        <f>'Occ T2'!B23</f>
        <v>96.086748078120166</v>
      </c>
      <c r="C31" s="10">
        <f>'Occ T2'!C23</f>
        <v>83.776811334060341</v>
      </c>
      <c r="D31" s="10">
        <f>'Occ T2'!D23</f>
        <v>82.52660532338669</v>
      </c>
      <c r="E31" s="10">
        <f>'Occ T2'!E23</f>
        <v>87.836132747054634</v>
      </c>
      <c r="F31" s="10">
        <f>'Occ T2'!F23</f>
        <v>80.451774167755275</v>
      </c>
      <c r="H31" s="11">
        <f t="shared" ref="H31:H32" si="16">C31-B31</f>
        <v>-12.309936744059826</v>
      </c>
      <c r="I31" s="30">
        <f t="shared" si="5"/>
        <v>-1.2502060106736508</v>
      </c>
      <c r="J31" s="11">
        <f t="shared" ref="J31:J32" si="17">E31-D31</f>
        <v>5.3095274236679444</v>
      </c>
      <c r="K31" s="11">
        <f t="shared" ref="K31:K32" si="18">F31-E31</f>
        <v>-7.3843585792993593</v>
      </c>
      <c r="L31" s="30">
        <f t="shared" si="4"/>
        <v>-2.074831155631415</v>
      </c>
    </row>
    <row r="32" spans="1:12" ht="12.9" x14ac:dyDescent="0.35">
      <c r="A32" s="10" t="str">
        <f>'Occ T2'!A24</f>
        <v>54 Textiles, printing and other skilled trades</v>
      </c>
      <c r="B32" s="10">
        <f>'Occ T2'!B24</f>
        <v>71.711869284133982</v>
      </c>
      <c r="C32" s="10">
        <f>'Occ T2'!C24</f>
        <v>62.537850065291892</v>
      </c>
      <c r="D32" s="10">
        <f>'Occ T2'!D24</f>
        <v>60.813130058863692</v>
      </c>
      <c r="E32" s="10">
        <f>'Occ T2'!E24</f>
        <v>61.48888168063467</v>
      </c>
      <c r="F32" s="10">
        <f>'Occ T2'!F24</f>
        <v>63.173205220636099</v>
      </c>
      <c r="H32" s="11">
        <f t="shared" si="16"/>
        <v>-9.1740192188420906</v>
      </c>
      <c r="I32" s="30">
        <f t="shared" si="5"/>
        <v>-1.7247200064281998</v>
      </c>
      <c r="J32" s="11">
        <f t="shared" si="17"/>
        <v>0.67575162177097781</v>
      </c>
      <c r="K32" s="11">
        <f t="shared" si="18"/>
        <v>1.6843235400014294</v>
      </c>
      <c r="L32" s="30">
        <f t="shared" si="4"/>
        <v>2.3600751617724072</v>
      </c>
    </row>
    <row r="33" spans="1:12" ht="12.9" x14ac:dyDescent="0.35">
      <c r="A33" s="10"/>
      <c r="B33" s="31"/>
      <c r="C33" s="31"/>
      <c r="D33" s="31"/>
      <c r="E33" s="31"/>
      <c r="F33" s="31"/>
      <c r="H33" s="11"/>
      <c r="I33" s="30"/>
      <c r="J33" s="11"/>
      <c r="K33" s="11"/>
      <c r="L33" s="30"/>
    </row>
    <row r="34" spans="1:12" s="29" customFormat="1" ht="12.9" x14ac:dyDescent="0.35">
      <c r="A34" s="29" t="str">
        <f>'Occ T1'!A13</f>
        <v>Caring, leisure and other service occupations</v>
      </c>
      <c r="B34" s="30">
        <f>'Occ T1'!B13</f>
        <v>280.87834355941607</v>
      </c>
      <c r="C34" s="30">
        <f>'Occ T1'!C13</f>
        <v>306.71652415145797</v>
      </c>
      <c r="D34" s="30">
        <f>'Occ T1'!D13</f>
        <v>299.51227939645844</v>
      </c>
      <c r="E34" s="30">
        <f>'Occ T1'!E13</f>
        <v>320.87259399162235</v>
      </c>
      <c r="F34" s="30">
        <f>'Occ T1'!F13</f>
        <v>353.502009295888</v>
      </c>
      <c r="H34" s="30">
        <f t="shared" ref="H34:K36" si="19">C34-B34</f>
        <v>25.838180592041908</v>
      </c>
      <c r="I34" s="30">
        <f t="shared" si="5"/>
        <v>-7.2042447549995359</v>
      </c>
      <c r="J34" s="30">
        <f t="shared" si="19"/>
        <v>21.360314595163914</v>
      </c>
      <c r="K34" s="30">
        <f t="shared" si="19"/>
        <v>32.629415304265649</v>
      </c>
      <c r="L34" s="30">
        <f t="shared" si="4"/>
        <v>53.989729899429562</v>
      </c>
    </row>
    <row r="35" spans="1:12" ht="12.9" x14ac:dyDescent="0.35">
      <c r="A35" s="10" t="str">
        <f>'Occ T2'!A25</f>
        <v>61 Caring personal service occupations</v>
      </c>
      <c r="B35" s="10">
        <f>'Occ T2'!B25</f>
        <v>211.95390549156167</v>
      </c>
      <c r="C35" s="10">
        <f>'Occ T2'!C25</f>
        <v>231.55935715723243</v>
      </c>
      <c r="D35" s="10">
        <f>'Occ T2'!D25</f>
        <v>223.65609032128737</v>
      </c>
      <c r="E35" s="10">
        <f>'Occ T2'!E25</f>
        <v>243.80561243809041</v>
      </c>
      <c r="F35" s="10">
        <f>'Occ T2'!F25</f>
        <v>274.63381510722382</v>
      </c>
      <c r="G35" s="10"/>
      <c r="H35" s="11">
        <f t="shared" si="19"/>
        <v>19.605451665670756</v>
      </c>
      <c r="I35" s="30">
        <f t="shared" si="5"/>
        <v>-7.9032668359450611</v>
      </c>
      <c r="J35" s="11">
        <f t="shared" si="19"/>
        <v>20.149522116803041</v>
      </c>
      <c r="K35" s="11">
        <f t="shared" si="19"/>
        <v>30.828202669133418</v>
      </c>
      <c r="L35" s="30">
        <f t="shared" si="4"/>
        <v>50.977724785936459</v>
      </c>
    </row>
    <row r="36" spans="1:12" ht="12.9" x14ac:dyDescent="0.35">
      <c r="A36" s="10" t="str">
        <f>'Occ T2'!A26</f>
        <v>62 Leisure, travel and related personal service occupations</v>
      </c>
      <c r="B36" s="10">
        <f>'Occ T2'!B26</f>
        <v>65.78241893690182</v>
      </c>
      <c r="C36" s="10">
        <f>'Occ T2'!C26</f>
        <v>72.529447377612058</v>
      </c>
      <c r="D36" s="10">
        <f>'Occ T2'!D26</f>
        <v>72.441128106543133</v>
      </c>
      <c r="E36" s="10">
        <f>'Occ T2'!E26</f>
        <v>74.304059156522669</v>
      </c>
      <c r="F36" s="10">
        <f>'Occ T2'!F26</f>
        <v>75.857817785706203</v>
      </c>
      <c r="G36" s="10"/>
      <c r="H36" s="11">
        <f t="shared" si="19"/>
        <v>6.7470284407102383</v>
      </c>
      <c r="I36" s="30">
        <f t="shared" si="5"/>
        <v>-8.8319271068925786E-2</v>
      </c>
      <c r="J36" s="11">
        <f t="shared" si="19"/>
        <v>1.8629310499795366</v>
      </c>
      <c r="K36" s="11">
        <f t="shared" si="19"/>
        <v>1.5537586291835339</v>
      </c>
      <c r="L36" s="30">
        <f t="shared" si="4"/>
        <v>3.4166896791630705</v>
      </c>
    </row>
    <row r="37" spans="1:12" ht="12.9" x14ac:dyDescent="0.35">
      <c r="A37" s="10" t="str">
        <f>'Occ T2'!A27</f>
        <v>63 Community and civil enforcement occupations</v>
      </c>
      <c r="B37" s="10">
        <f>'Occ T2'!B27</f>
        <v>3.1420191309526011</v>
      </c>
      <c r="C37" s="10">
        <f>'Occ T2'!C27</f>
        <v>2.6277196166134713</v>
      </c>
      <c r="D37" s="10">
        <f>'Occ T2'!D27</f>
        <v>3.4150609686279489</v>
      </c>
      <c r="E37" s="10">
        <f>'Occ T2'!E27</f>
        <v>2.7629223970092531</v>
      </c>
      <c r="F37" s="10">
        <f>'Occ T2'!F27</f>
        <v>3.0103764029579554</v>
      </c>
      <c r="G37" s="10"/>
      <c r="H37" s="11">
        <f t="shared" ref="H37" si="20">C37-B37</f>
        <v>-0.51429951433912979</v>
      </c>
      <c r="I37" s="30">
        <f t="shared" ref="I37" si="21">D37-C37</f>
        <v>0.78734135201447764</v>
      </c>
      <c r="J37" s="11">
        <f t="shared" ref="J37" si="22">E37-D37</f>
        <v>-0.65213857161869582</v>
      </c>
      <c r="K37" s="11">
        <f>F37-E37</f>
        <v>0.24745400594870226</v>
      </c>
      <c r="L37" s="30">
        <f t="shared" ref="L37" si="23">F37-D37</f>
        <v>-0.40468456566999356</v>
      </c>
    </row>
    <row r="38" spans="1:12" ht="12.9" x14ac:dyDescent="0.35">
      <c r="I38" s="30"/>
      <c r="L38" s="30"/>
    </row>
    <row r="39" spans="1:12" s="29" customFormat="1" ht="12.9" x14ac:dyDescent="0.35">
      <c r="A39" s="29" t="str">
        <f>'Occ T1'!A14</f>
        <v>Sales and customer service occupations</v>
      </c>
      <c r="B39" s="30">
        <f>'Occ T1'!B14</f>
        <v>266.38974781856729</v>
      </c>
      <c r="C39" s="30">
        <f>'Occ T1'!C14</f>
        <v>246.22830152310058</v>
      </c>
      <c r="D39" s="30">
        <f>'Occ T1'!D14</f>
        <v>244.55606769223141</v>
      </c>
      <c r="E39" s="30">
        <f>'Occ T1'!E14</f>
        <v>245.44670382685663</v>
      </c>
      <c r="F39" s="30">
        <f>'Occ T1'!F14</f>
        <v>245.81255793965613</v>
      </c>
      <c r="H39" s="30">
        <f>C39-B39</f>
        <v>-20.161446295466703</v>
      </c>
      <c r="I39" s="30">
        <f t="shared" si="5"/>
        <v>-1.6722338308691747</v>
      </c>
      <c r="J39" s="30">
        <f>E39-D39</f>
        <v>0.8906361346252254</v>
      </c>
      <c r="K39" s="30">
        <f>F39-E39</f>
        <v>0.36585411279949653</v>
      </c>
      <c r="L39" s="30">
        <f t="shared" si="4"/>
        <v>1.2564902474247219</v>
      </c>
    </row>
    <row r="40" spans="1:12" s="29" customFormat="1" ht="12.9" x14ac:dyDescent="0.35">
      <c r="A40" s="125" t="str">
        <f>'Occ T2'!A28</f>
        <v>71 Sales occupations</v>
      </c>
      <c r="B40" s="125">
        <f>'Occ T2'!B28</f>
        <v>221.41596432763646</v>
      </c>
      <c r="C40" s="125">
        <f>'Occ T2'!C28</f>
        <v>197.09489473335719</v>
      </c>
      <c r="D40" s="125">
        <f>'Occ T2'!D28</f>
        <v>194.6954129401295</v>
      </c>
      <c r="E40" s="125">
        <f>'Occ T2'!E28</f>
        <v>181.54863951453635</v>
      </c>
      <c r="F40" s="125">
        <f>'Occ T2'!F28</f>
        <v>172.17020547805873</v>
      </c>
      <c r="G40"/>
      <c r="H40" s="11">
        <f t="shared" ref="H40" si="24">C40-B40</f>
        <v>-24.321069594279265</v>
      </c>
      <c r="I40" s="30">
        <f t="shared" si="5"/>
        <v>-2.3994817932276931</v>
      </c>
      <c r="J40" s="11">
        <f t="shared" ref="J40" si="25">E40-D40</f>
        <v>-13.146773425593153</v>
      </c>
      <c r="K40" s="11">
        <f t="shared" ref="K40" si="26">F40-E40</f>
        <v>-9.3784340364776142</v>
      </c>
      <c r="L40" s="30">
        <f t="shared" si="4"/>
        <v>-22.525207462070767</v>
      </c>
    </row>
    <row r="41" spans="1:12" s="29" customFormat="1" ht="12.9" x14ac:dyDescent="0.35">
      <c r="A41" s="125" t="str">
        <f>'Occ T2'!A29</f>
        <v>72 Customer service occupations</v>
      </c>
      <c r="B41" s="125">
        <f>'Occ T2'!B29</f>
        <v>44.973783490930849</v>
      </c>
      <c r="C41" s="125">
        <f>'Occ T2'!C29</f>
        <v>49.133406789743383</v>
      </c>
      <c r="D41" s="125">
        <f>'Occ T2'!D29</f>
        <v>49.860654752101922</v>
      </c>
      <c r="E41" s="125">
        <f>'Occ T2'!E29</f>
        <v>63.89806431232028</v>
      </c>
      <c r="F41" s="125">
        <f>'Occ T2'!F29</f>
        <v>73.642352461597412</v>
      </c>
      <c r="G41"/>
      <c r="H41" s="11">
        <f t="shared" ref="H41" si="27">C41-B41</f>
        <v>4.1596232988125337</v>
      </c>
      <c r="I41" s="30">
        <f t="shared" si="5"/>
        <v>0.72724796235853972</v>
      </c>
      <c r="J41" s="11">
        <f t="shared" ref="J41" si="28">E41-D41</f>
        <v>14.037409560218357</v>
      </c>
      <c r="K41" s="11">
        <f t="shared" ref="K41" si="29">F41-E41</f>
        <v>9.744288149277132</v>
      </c>
      <c r="L41" s="30">
        <f t="shared" si="4"/>
        <v>23.781697709495489</v>
      </c>
    </row>
    <row r="42" spans="1:12" ht="12.9" x14ac:dyDescent="0.35">
      <c r="B42" s="31"/>
      <c r="C42" s="31"/>
      <c r="D42" s="31"/>
      <c r="E42" s="31"/>
      <c r="F42" s="31"/>
      <c r="H42" s="11"/>
      <c r="I42" s="30"/>
      <c r="J42" s="11"/>
      <c r="K42" s="11"/>
      <c r="L42" s="30"/>
    </row>
    <row r="43" spans="1:12" s="29" customFormat="1" ht="12.9" x14ac:dyDescent="0.35">
      <c r="A43" s="29" t="str">
        <f>'Occ T1'!A15</f>
        <v>Process, plant and machine operatives</v>
      </c>
      <c r="B43" s="30">
        <f>'Occ T1'!B15</f>
        <v>190.77811978340014</v>
      </c>
      <c r="C43" s="30">
        <f>'Occ T1'!C15</f>
        <v>205.13065322486889</v>
      </c>
      <c r="D43" s="30">
        <f>'Occ T1'!D15</f>
        <v>181.61620255244659</v>
      </c>
      <c r="E43" s="30">
        <f>'Occ T1'!E15</f>
        <v>211.05423461850737</v>
      </c>
      <c r="F43" s="30">
        <f>'Occ T1'!F15</f>
        <v>214.64661526835857</v>
      </c>
      <c r="H43" s="30">
        <f t="shared" ref="H43:K45" si="30">C43-B43</f>
        <v>14.352533441468751</v>
      </c>
      <c r="I43" s="30">
        <f t="shared" si="5"/>
        <v>-23.514450672422299</v>
      </c>
      <c r="J43" s="30">
        <f t="shared" si="30"/>
        <v>29.438032066060771</v>
      </c>
      <c r="K43" s="30">
        <f t="shared" si="30"/>
        <v>3.5923806498512079</v>
      </c>
      <c r="L43" s="30">
        <f t="shared" si="4"/>
        <v>33.030412715911979</v>
      </c>
    </row>
    <row r="44" spans="1:12" ht="12.9" x14ac:dyDescent="0.35">
      <c r="A44" s="10" t="str">
        <f>'Occ T2'!A30</f>
        <v>81 Process, plant and machine operatives</v>
      </c>
      <c r="B44" s="10">
        <f>'Occ T2'!B30</f>
        <v>77.455594000314903</v>
      </c>
      <c r="C44" s="10">
        <f>'Occ T2'!C30</f>
        <v>74.82179228140339</v>
      </c>
      <c r="D44" s="10">
        <f>'Occ T2'!D30</f>
        <v>66.18299631124377</v>
      </c>
      <c r="E44" s="10">
        <f>'Occ T2'!E30</f>
        <v>82.419825636016697</v>
      </c>
      <c r="F44" s="10">
        <f>'Occ T2'!F30</f>
        <v>82.126425762765933</v>
      </c>
      <c r="H44" s="11">
        <f t="shared" si="30"/>
        <v>-2.6338017189115135</v>
      </c>
      <c r="I44" s="30">
        <f t="shared" si="5"/>
        <v>-8.6387959701596202</v>
      </c>
      <c r="J44" s="11">
        <f t="shared" si="30"/>
        <v>16.236829324772927</v>
      </c>
      <c r="K44" s="11">
        <f t="shared" si="30"/>
        <v>-0.29339987325076322</v>
      </c>
      <c r="L44" s="30">
        <f t="shared" si="4"/>
        <v>15.943429451522164</v>
      </c>
    </row>
    <row r="45" spans="1:12" ht="12.9" x14ac:dyDescent="0.35">
      <c r="A45" s="10" t="str">
        <f>'Occ T2'!A31</f>
        <v>82 Transport and mobile machine drivers and operatives</v>
      </c>
      <c r="B45" s="10">
        <f>'Occ T2'!B31</f>
        <v>113.32252578308525</v>
      </c>
      <c r="C45" s="10">
        <f>'Occ T2'!C31</f>
        <v>130.3088609434655</v>
      </c>
      <c r="D45" s="10">
        <f>'Occ T2'!D31</f>
        <v>115.43320624120283</v>
      </c>
      <c r="E45" s="10">
        <f>'Occ T2'!E31</f>
        <v>128.63440898249067</v>
      </c>
      <c r="F45" s="10">
        <f>'Occ T2'!F31</f>
        <v>132.52018950559264</v>
      </c>
      <c r="H45" s="11">
        <f t="shared" si="30"/>
        <v>16.98633516038025</v>
      </c>
      <c r="I45" s="30">
        <f t="shared" si="5"/>
        <v>-14.875654702262679</v>
      </c>
      <c r="J45" s="11">
        <f t="shared" si="30"/>
        <v>13.201202741287844</v>
      </c>
      <c r="K45" s="11">
        <f t="shared" si="30"/>
        <v>3.8857805231019711</v>
      </c>
      <c r="L45" s="30">
        <f t="shared" si="4"/>
        <v>17.086983264389815</v>
      </c>
    </row>
    <row r="46" spans="1:12" ht="12.9" x14ac:dyDescent="0.35">
      <c r="B46" s="31"/>
      <c r="C46" s="31"/>
      <c r="D46" s="31"/>
      <c r="E46" s="31"/>
      <c r="F46" s="31"/>
      <c r="H46" s="11"/>
      <c r="I46" s="30"/>
      <c r="J46" s="11"/>
      <c r="K46" s="11"/>
      <c r="L46" s="30"/>
    </row>
    <row r="47" spans="1:12" s="29" customFormat="1" ht="12.9" x14ac:dyDescent="0.35">
      <c r="A47" s="29" t="str">
        <f>'Occ T1'!A16</f>
        <v>Elementary occupations</v>
      </c>
      <c r="B47" s="30">
        <f>'Occ T1'!B16</f>
        <v>384.95628025779229</v>
      </c>
      <c r="C47" s="30">
        <f>'Occ T1'!C16</f>
        <v>382.26703120470302</v>
      </c>
      <c r="D47" s="30">
        <f>'Occ T1'!D16</f>
        <v>351.75102026181492</v>
      </c>
      <c r="E47" s="30">
        <f>'Occ T1'!E16</f>
        <v>353.90382064466087</v>
      </c>
      <c r="F47" s="30">
        <f>'Occ T1'!F16</f>
        <v>339.93296615165656</v>
      </c>
      <c r="H47" s="30">
        <f t="shared" ref="H47:K49" si="31">C47-B47</f>
        <v>-2.6892490530892701</v>
      </c>
      <c r="I47" s="30">
        <f t="shared" si="5"/>
        <v>-30.516010942888101</v>
      </c>
      <c r="J47" s="30">
        <f t="shared" si="31"/>
        <v>2.1528003828459532</v>
      </c>
      <c r="K47" s="30">
        <f t="shared" si="31"/>
        <v>-13.97085449300431</v>
      </c>
      <c r="L47" s="30">
        <f t="shared" si="4"/>
        <v>-11.818054110158357</v>
      </c>
    </row>
    <row r="48" spans="1:12" ht="12.9" x14ac:dyDescent="0.35">
      <c r="A48" s="10" t="str">
        <f>'Occ T2'!A32</f>
        <v>91 Elementary trades and related occupations</v>
      </c>
      <c r="B48" s="10">
        <f>'Occ T2'!B32</f>
        <v>54.899703673527384</v>
      </c>
      <c r="C48" s="10">
        <f>'Occ T2'!C32</f>
        <v>48.60471321310925</v>
      </c>
      <c r="D48" s="10">
        <f>'Occ T2'!D32</f>
        <v>43.984729492292018</v>
      </c>
      <c r="E48" s="10">
        <f>'Occ T2'!E32</f>
        <v>38.173991641678363</v>
      </c>
      <c r="F48" s="10">
        <f>'Occ T2'!F32</f>
        <v>38.185707998463144</v>
      </c>
      <c r="H48" s="11">
        <f>C48-B48</f>
        <v>-6.2949904604181341</v>
      </c>
      <c r="I48" s="30">
        <f t="shared" si="5"/>
        <v>-4.6199837208172312</v>
      </c>
      <c r="J48" s="11">
        <f t="shared" si="31"/>
        <v>-5.8107378506136556</v>
      </c>
      <c r="K48" s="11">
        <f t="shared" si="31"/>
        <v>1.1716356784781112E-2</v>
      </c>
      <c r="L48" s="30">
        <f t="shared" si="4"/>
        <v>-5.7990214938288744</v>
      </c>
    </row>
    <row r="49" spans="1:12" ht="12.9" x14ac:dyDescent="0.35">
      <c r="A49" s="10" t="str">
        <f>'Occ T2'!A33</f>
        <v>92 Elementary administration and service occupations</v>
      </c>
      <c r="B49" s="10">
        <f>'Occ T2'!B33</f>
        <v>330.05657658426492</v>
      </c>
      <c r="C49" s="10">
        <f>'Occ T2'!C33</f>
        <v>333.66231799159374</v>
      </c>
      <c r="D49" s="10">
        <f>'Occ T2'!D33</f>
        <v>307.76629076952287</v>
      </c>
      <c r="E49" s="10">
        <f>'Occ T2'!E33</f>
        <v>315.72982900298251</v>
      </c>
      <c r="F49" s="10">
        <f>'Occ T2'!F33</f>
        <v>301.7472581531934</v>
      </c>
      <c r="H49" s="11">
        <f t="shared" si="31"/>
        <v>3.6057414073288214</v>
      </c>
      <c r="I49" s="30">
        <f t="shared" si="5"/>
        <v>-25.89602722207087</v>
      </c>
      <c r="J49" s="11">
        <f t="shared" si="31"/>
        <v>7.9635382334596443</v>
      </c>
      <c r="K49" s="11">
        <f t="shared" si="31"/>
        <v>-13.982570849789113</v>
      </c>
      <c r="L49" s="30">
        <f t="shared" si="4"/>
        <v>-6.0190326163294685</v>
      </c>
    </row>
    <row r="50" spans="1:12" ht="12.9" x14ac:dyDescent="0.35">
      <c r="B50" s="31"/>
      <c r="C50" s="31"/>
      <c r="D50" s="31"/>
      <c r="E50" s="31"/>
      <c r="F50" s="31"/>
      <c r="H50" s="11"/>
      <c r="I50" s="30"/>
      <c r="J50" s="11"/>
      <c r="K50" s="11"/>
      <c r="L50" s="30"/>
    </row>
    <row r="51" spans="1:12" ht="12.9" x14ac:dyDescent="0.35">
      <c r="A51" s="38" t="str">
        <f>'Occ T1'!A18</f>
        <v>All occupations</v>
      </c>
      <c r="B51" s="33">
        <f>'Occ T1'!B18</f>
        <v>3055.7789999995121</v>
      </c>
      <c r="C51" s="33">
        <f>'Occ T1'!C18</f>
        <v>3207.102999998318</v>
      </c>
      <c r="D51" s="33">
        <f>'Occ T1'!D18</f>
        <v>3174.1919999984002</v>
      </c>
      <c r="E51" s="33">
        <f>'Occ T1'!E18</f>
        <v>3280.2520000000036</v>
      </c>
      <c r="F51" s="33">
        <f>'Occ T1'!F18</f>
        <v>3444.2829999979012</v>
      </c>
      <c r="G51" s="23"/>
      <c r="H51" s="33">
        <f>C51-B51</f>
        <v>151.3239999988059</v>
      </c>
      <c r="I51" s="205">
        <f>D51-C51</f>
        <v>-32.910999999917749</v>
      </c>
      <c r="J51" s="33">
        <f>E51-D51</f>
        <v>106.06000000160338</v>
      </c>
      <c r="K51" s="33">
        <f>F51-E51</f>
        <v>164.03099999789765</v>
      </c>
      <c r="L51" s="205">
        <f>F51-D51</f>
        <v>270.09099999950104</v>
      </c>
    </row>
    <row r="53" spans="1:12" ht="15.45" x14ac:dyDescent="0.4">
      <c r="A53" s="18" t="str">
        <f>CONCATENATE(A1," (Continued)")</f>
        <v>Occupation Table 3  Employment Change by Occupation in Occupation Group (SOC 2020), 2015-2035, East (Continued)</v>
      </c>
    </row>
    <row r="55" spans="1:12" x14ac:dyDescent="0.3">
      <c r="L55" s="15" t="s">
        <v>21</v>
      </c>
    </row>
    <row r="56" spans="1:12" x14ac:dyDescent="0.3">
      <c r="A56" s="35"/>
      <c r="B56" s="27" t="s">
        <v>14</v>
      </c>
      <c r="C56" s="27"/>
      <c r="D56" s="27"/>
      <c r="E56" s="27"/>
      <c r="F56" s="27"/>
      <c r="G56" s="27"/>
      <c r="H56" s="27" t="s">
        <v>463</v>
      </c>
      <c r="I56" s="27"/>
      <c r="J56" s="27"/>
      <c r="K56" s="27"/>
      <c r="L56" s="27"/>
    </row>
    <row r="57" spans="1:12" x14ac:dyDescent="0.3">
      <c r="A57" s="23"/>
      <c r="B57" s="36" t="str">
        <f>H5</f>
        <v>2015-2019</v>
      </c>
      <c r="C57" s="36" t="str">
        <f>I5</f>
        <v>2019-2020</v>
      </c>
      <c r="D57" s="36" t="str">
        <f>J5</f>
        <v>2020-2025</v>
      </c>
      <c r="E57" s="36" t="str">
        <f>K5</f>
        <v>2025-2035</v>
      </c>
      <c r="F57" s="36" t="str">
        <f>L5</f>
        <v>2020-2035</v>
      </c>
      <c r="G57" s="1"/>
      <c r="H57" s="41">
        <f>B5</f>
        <v>2015</v>
      </c>
      <c r="I57" s="41">
        <f>C5</f>
        <v>2019</v>
      </c>
      <c r="J57" s="41">
        <f>D5</f>
        <v>2020</v>
      </c>
      <c r="K57" s="41">
        <f>E5</f>
        <v>2025</v>
      </c>
      <c r="L57" s="41">
        <f>F5</f>
        <v>2035</v>
      </c>
    </row>
    <row r="59" spans="1:12" s="29" customFormat="1" ht="12.9" x14ac:dyDescent="0.35">
      <c r="A59" s="29" t="str">
        <f>A7</f>
        <v>Managers, directors and senior officials</v>
      </c>
      <c r="B59" s="43">
        <f>IF(AND(C$5-B$5 &lt;&gt; 0,C7 &lt;&gt; 0,B7 &lt;&gt; 0),(EXP(LN(C7/B7)/(C$5-B$5))-1)*100,0)</f>
        <v>3.124018459318223</v>
      </c>
      <c r="C59" s="43">
        <f>IF(AND(D$5-C$5 &lt;&gt; 0,D7 &lt;&gt; 0,C7 &lt;&gt; 0),(EXP(LN(D7/C7)/(D$5-C$5))-1)*100,0)</f>
        <v>1.6802304169536209</v>
      </c>
      <c r="D59" s="43">
        <f>IF(AND(E$5-D$5 &lt;&gt; 0,E7 &lt;&gt; 0,D7 &lt;&gt; 0),(EXP(LN(E7/D7)/(E$5-D$5))-1)*100,0)</f>
        <v>0.66614906020818765</v>
      </c>
      <c r="E59" s="43">
        <f>IF(AND(F$5-E$5 &lt;&gt; 0,F7 &lt;&gt; 0,E7 &lt;&gt; 0),(EXP(LN(F7/E7)/(F$5-E$5))-1)*100,0)</f>
        <v>1.2255535207871038</v>
      </c>
      <c r="F59" s="43">
        <f>IF(AND(F$5-D$5 &lt;&gt; 0,F7 &lt;&gt; 0,D7 &lt;&gt; 0),(EXP(LN(F7/D7)/(F$5-D$5))-1)*100,0)</f>
        <v>1.0387408147528587</v>
      </c>
      <c r="H59" s="43">
        <f>(B7/B$51)*100</f>
        <v>10.383578525569034</v>
      </c>
      <c r="I59" s="43">
        <f>(C7/C$51)*100</f>
        <v>11.189106235384804</v>
      </c>
      <c r="J59" s="43">
        <f>(D7/D$51)*100</f>
        <v>11.495070370915485</v>
      </c>
      <c r="K59" s="43">
        <f>(E7/E$51)*100</f>
        <v>11.498862848257382</v>
      </c>
      <c r="L59" s="43">
        <f>(F7/F$51)*100</f>
        <v>12.369862648237415</v>
      </c>
    </row>
    <row r="60" spans="1:12" s="29" customFormat="1" ht="12.9" x14ac:dyDescent="0.35">
      <c r="A60" s="29" t="str">
        <f>A8</f>
        <v>11 Corporate managers and directors</v>
      </c>
      <c r="B60" s="43">
        <f t="shared" ref="B60:E60" si="32">IF(AND(C$5-B$5 &lt;&gt; 0,C8 &lt;&gt; 0,B8 &lt;&gt; 0),(EXP(LN(C8/B8)/(C$5-B$5))-1)*100,0)</f>
        <v>3.9719172173037665</v>
      </c>
      <c r="C60" s="43">
        <f t="shared" si="32"/>
        <v>2.0245679688340124</v>
      </c>
      <c r="D60" s="43">
        <f t="shared" si="32"/>
        <v>-1.1650845091214057</v>
      </c>
      <c r="E60" s="43">
        <f t="shared" si="32"/>
        <v>1.046988255006398</v>
      </c>
      <c r="F60" s="43">
        <f>IF(AND(F$5-D$5 &lt;&gt; 0,F8 &lt;&gt; 0,D8 &lt;&gt; 0),(EXP(LN(F8/D8)/(F$5-D$5))-1)*100,0)</f>
        <v>0.3041836297678735</v>
      </c>
      <c r="H60" s="43">
        <f t="shared" ref="H60:L60" si="33">(B8/B$51)*100</f>
        <v>7.038197428591757</v>
      </c>
      <c r="I60" s="43">
        <f t="shared" si="33"/>
        <v>7.8367264657829043</v>
      </c>
      <c r="J60" s="43">
        <f t="shared" si="33"/>
        <v>8.0782849467812294</v>
      </c>
      <c r="K60" s="43">
        <f t="shared" si="33"/>
        <v>7.372200330572527</v>
      </c>
      <c r="L60" s="43">
        <f t="shared" si="33"/>
        <v>7.7918260096824969</v>
      </c>
    </row>
    <row r="61" spans="1:12" s="29" customFormat="1" ht="12.9" x14ac:dyDescent="0.35">
      <c r="A61" s="29" t="str">
        <f>A9</f>
        <v>12 Other managers and proprietors</v>
      </c>
      <c r="B61" s="43">
        <f t="shared" ref="B61:E61" si="34">IF(AND(C$5-B$5 &lt;&gt; 0,C9 &lt;&gt; 0,B9 &lt;&gt; 0),(EXP(LN(C9/B9)/(C$5-B$5))-1)*100,0)</f>
        <v>1.2685623629022036</v>
      </c>
      <c r="C61" s="43">
        <f>IF(AND(D$5-C$5 &lt;&gt; 0,D9 &lt;&gt; 0,C9 &lt;&gt; 0),(EXP(LN(D9/C9)/(D$5-C$5))-1)*100,0)</f>
        <v>0.87528605162454642</v>
      </c>
      <c r="D61" s="43">
        <f t="shared" si="34"/>
        <v>4.5324315580559826</v>
      </c>
      <c r="E61" s="43">
        <f t="shared" si="34"/>
        <v>1.5376699127564564</v>
      </c>
      <c r="F61" s="43">
        <f>IF(AND(F$5-D$5 &lt;&gt; 0,F9 &lt;&gt; 0,D9 &lt;&gt; 0),(EXP(LN(F9/D9)/(F$5-D$5))-1)*100,0)</f>
        <v>2.5262673128389146</v>
      </c>
      <c r="H61" s="43">
        <f t="shared" ref="H61:L61" si="35">(B9/B$51)*100</f>
        <v>3.3453810969772793</v>
      </c>
      <c r="I61" s="43">
        <f t="shared" si="35"/>
        <v>3.3523797696018995</v>
      </c>
      <c r="J61" s="43">
        <f t="shared" si="35"/>
        <v>3.4167854241342557</v>
      </c>
      <c r="K61" s="43">
        <f t="shared" si="35"/>
        <v>4.1266625176848537</v>
      </c>
      <c r="L61" s="43">
        <f t="shared" si="35"/>
        <v>4.5780366385549183</v>
      </c>
    </row>
    <row r="62" spans="1:12" ht="12.9" x14ac:dyDescent="0.35">
      <c r="B62" s="39"/>
      <c r="C62" s="43"/>
      <c r="D62" s="39"/>
      <c r="E62" s="39"/>
      <c r="F62" s="43"/>
      <c r="H62" s="39"/>
      <c r="I62" s="39"/>
      <c r="J62" s="39"/>
      <c r="K62" s="39"/>
      <c r="L62" s="39"/>
    </row>
    <row r="63" spans="1:12" s="29" customFormat="1" ht="12.9" x14ac:dyDescent="0.35">
      <c r="A63" s="29" t="str">
        <f>A11</f>
        <v>Professional occupations</v>
      </c>
      <c r="B63" s="43">
        <f t="shared" ref="B63:E67" si="36">IF(AND(C$5-B$5 &lt;&gt; 0,C11 &lt;&gt; 0,B11 &lt;&gt; 0),(EXP(LN(C11/B11)/(C$5-B$5))-1)*100,0)</f>
        <v>3.7504030933978028</v>
      </c>
      <c r="C63" s="43">
        <f t="shared" si="36"/>
        <v>3.7514646688612263</v>
      </c>
      <c r="D63" s="43">
        <f t="shared" si="36"/>
        <v>1.5341548363961399</v>
      </c>
      <c r="E63" s="43">
        <f t="shared" si="36"/>
        <v>1.1336833948083047</v>
      </c>
      <c r="F63" s="43">
        <f>IF(AND(F$5-D$5 &lt;&gt; 0,F11 &lt;&gt; 0,D11 &lt;&gt; 0),(EXP(LN(F11/D11)/(F$5-D$5))-1)*100,0)</f>
        <v>1.2669980623998933</v>
      </c>
      <c r="H63" s="43">
        <f>(B11/B$51)*100</f>
        <v>19.186737579078027</v>
      </c>
      <c r="I63" s="43">
        <f>(C11/C$51)*100</f>
        <v>21.182115924150128</v>
      </c>
      <c r="J63" s="43">
        <f>(D11/D$51)*100</f>
        <v>22.204617287098284</v>
      </c>
      <c r="K63" s="43">
        <f>(E11/E$51)*100</f>
        <v>23.186226103319967</v>
      </c>
      <c r="L63" s="43">
        <f>(F11/F$51)*100</f>
        <v>24.717053485843103</v>
      </c>
    </row>
    <row r="64" spans="1:12" ht="12.9" x14ac:dyDescent="0.35">
      <c r="A64" t="str">
        <f>A12</f>
        <v>21 Science, research, engineering and technology professionals</v>
      </c>
      <c r="B64" s="48">
        <f t="shared" si="36"/>
        <v>3.2091850502187214</v>
      </c>
      <c r="C64" s="43">
        <f t="shared" si="36"/>
        <v>3.66812178185838</v>
      </c>
      <c r="D64" s="48">
        <f t="shared" si="36"/>
        <v>1.1614869760490976</v>
      </c>
      <c r="E64" s="48">
        <f t="shared" si="36"/>
        <v>1.0953180924923256</v>
      </c>
      <c r="F64" s="43">
        <f>IF(AND(F$5-D$5 &lt;&gt; 0,F12 &lt;&gt; 0,D12 &lt;&gt; 0),(EXP(LN(F12/D12)/(F$5-D$5))-1)*100,0)</f>
        <v>1.1173695766667269</v>
      </c>
      <c r="H64" s="39">
        <f t="shared" ref="H64:L67" si="37">(B12/B$11)*100</f>
        <v>31.794897330707744</v>
      </c>
      <c r="I64" s="39">
        <f t="shared" si="37"/>
        <v>31.136633259491774</v>
      </c>
      <c r="J64" s="39">
        <f t="shared" si="37"/>
        <v>31.111621401435823</v>
      </c>
      <c r="K64" s="39">
        <f t="shared" si="37"/>
        <v>30.544841559031571</v>
      </c>
      <c r="L64" s="39">
        <f t="shared" si="37"/>
        <v>30.429166583619839</v>
      </c>
    </row>
    <row r="65" spans="1:12" ht="12.9" x14ac:dyDescent="0.35">
      <c r="A65" t="str">
        <f>A13</f>
        <v>22 Health professionals</v>
      </c>
      <c r="B65" s="48">
        <f t="shared" si="36"/>
        <v>4.8913324147453086</v>
      </c>
      <c r="C65" s="43">
        <f t="shared" si="36"/>
        <v>-2.7037755832725385</v>
      </c>
      <c r="D65" s="48">
        <f t="shared" si="36"/>
        <v>1.636849948441732</v>
      </c>
      <c r="E65" s="48">
        <f t="shared" si="36"/>
        <v>1.1656074371462877</v>
      </c>
      <c r="F65" s="43">
        <f>IF(AND(F$5-D$5 &lt;&gt; 0,F13 &lt;&gt; 0,D13 &lt;&gt; 0),(EXP(LN(F13/D13)/(F$5-D$5))-1)*100,0)</f>
        <v>1.3224450025044021</v>
      </c>
      <c r="H65" s="39">
        <f t="shared" si="37"/>
        <v>17.276166133593684</v>
      </c>
      <c r="I65" s="39">
        <f t="shared" si="37"/>
        <v>18.048728400785389</v>
      </c>
      <c r="J65" s="39">
        <f t="shared" si="37"/>
        <v>16.925767115906805</v>
      </c>
      <c r="K65" s="39">
        <f t="shared" si="37"/>
        <v>17.011536936319423</v>
      </c>
      <c r="L65" s="39">
        <f t="shared" si="37"/>
        <v>17.065312205440367</v>
      </c>
    </row>
    <row r="66" spans="1:12" ht="12.9" x14ac:dyDescent="0.35">
      <c r="A66" t="str">
        <f>A14</f>
        <v>23 Teaching and other educational professionals</v>
      </c>
      <c r="B66" s="48">
        <f t="shared" si="36"/>
        <v>3.0886410363357486</v>
      </c>
      <c r="C66" s="43">
        <f t="shared" si="36"/>
        <v>3.9827760828011316</v>
      </c>
      <c r="D66" s="48">
        <f t="shared" si="36"/>
        <v>0.68379353951866229</v>
      </c>
      <c r="E66" s="48">
        <f t="shared" si="36"/>
        <v>0.83748109416046379</v>
      </c>
      <c r="F66" s="43">
        <f>IF(AND(F$5-D$5 &lt;&gt; 0,F14 &lt;&gt; 0,D14 &lt;&gt; 0),(EXP(LN(F14/D14)/(F$5-D$5))-1)*100,0)</f>
        <v>0.78622586089196478</v>
      </c>
      <c r="H66" s="39">
        <f t="shared" si="37"/>
        <v>21.927425350866208</v>
      </c>
      <c r="I66" s="39">
        <f t="shared" si="37"/>
        <v>21.373307234616515</v>
      </c>
      <c r="J66" s="39">
        <f t="shared" si="37"/>
        <v>21.420958512916926</v>
      </c>
      <c r="K66" s="39">
        <f t="shared" si="37"/>
        <v>20.538842358044946</v>
      </c>
      <c r="L66" s="39">
        <f t="shared" si="37"/>
        <v>19.9451633237999</v>
      </c>
    </row>
    <row r="67" spans="1:12" ht="12.9" x14ac:dyDescent="0.35">
      <c r="A67" t="str">
        <f>A15</f>
        <v>24 Business, media and public service professionals</v>
      </c>
      <c r="B67" s="48">
        <f t="shared" si="36"/>
        <v>4.141540111299058</v>
      </c>
      <c r="C67" s="43">
        <f t="shared" si="36"/>
        <v>7.6290069122947779</v>
      </c>
      <c r="D67" s="48">
        <f t="shared" si="36"/>
        <v>2.4247232170426569</v>
      </c>
      <c r="E67" s="48">
        <f t="shared" si="36"/>
        <v>1.3395957899927424</v>
      </c>
      <c r="F67" s="43">
        <f>IF(AND(F$5-D$5 &lt;&gt; 0,F15 &lt;&gt; 0,D15 &lt;&gt; 0),(EXP(LN(F15/D15)/(F$5-D$5))-1)*100,0)</f>
        <v>1.7000215177650269</v>
      </c>
      <c r="H67" s="39">
        <f t="shared" si="37"/>
        <v>29.001511184832367</v>
      </c>
      <c r="I67" s="39">
        <f t="shared" si="37"/>
        <v>29.441331105106315</v>
      </c>
      <c r="J67" s="39">
        <f t="shared" si="37"/>
        <v>30.541652969740447</v>
      </c>
      <c r="K67" s="39">
        <f t="shared" si="37"/>
        <v>31.904779146604039</v>
      </c>
      <c r="L67" s="39">
        <f t="shared" si="37"/>
        <v>32.560357887139901</v>
      </c>
    </row>
    <row r="68" spans="1:12" ht="12.9" x14ac:dyDescent="0.35">
      <c r="B68" s="39"/>
      <c r="C68" s="43"/>
      <c r="D68" s="39"/>
      <c r="E68" s="39"/>
      <c r="F68" s="43"/>
      <c r="H68" s="39"/>
      <c r="I68" s="39"/>
      <c r="J68" s="39"/>
      <c r="K68" s="39"/>
      <c r="L68" s="39"/>
    </row>
    <row r="69" spans="1:12" s="29" customFormat="1" ht="12.9" x14ac:dyDescent="0.35">
      <c r="A69" s="29" t="str">
        <f t="shared" ref="A69:A74" si="38">A17</f>
        <v>Associate professional occupations</v>
      </c>
      <c r="B69" s="43">
        <f t="shared" ref="B69:E74" si="39">IF(AND(C$5-B$5 &lt;&gt; 0,C17 &lt;&gt; 0,B17 &lt;&gt; 0),(EXP(LN(C17/B17)/(C$5-B$5))-1)*100,0)</f>
        <v>1.9226095339023308</v>
      </c>
      <c r="C69" s="43">
        <f t="shared" si="39"/>
        <v>6.7024806879982579</v>
      </c>
      <c r="D69" s="43">
        <f t="shared" si="39"/>
        <v>-0.39519436459870549</v>
      </c>
      <c r="E69" s="43">
        <f t="shared" si="39"/>
        <v>0.88694249922163237</v>
      </c>
      <c r="F69" s="43">
        <f t="shared" ref="F69:F74" si="40">IF(AND(F$5-D$5 &lt;&gt; 0,F17 &lt;&gt; 0,D17 &lt;&gt; 0),(EXP(LN(F17/D17)/(F$5-D$5))-1)*100,0)</f>
        <v>0.45774018284301388</v>
      </c>
      <c r="H69" s="43">
        <f>(B17/B$51)*100</f>
        <v>12.075202005915207</v>
      </c>
      <c r="I69" s="43">
        <f>(C17/C$51)*100</f>
        <v>12.41611071077957</v>
      </c>
      <c r="J69" s="43">
        <f>(D17/D$51)*100</f>
        <v>13.385660567610474</v>
      </c>
      <c r="K69" s="43">
        <f>(E17/E$51)*100</f>
        <v>12.698933633752564</v>
      </c>
      <c r="L69" s="43">
        <f>(F17/F$51)*100</f>
        <v>13.210681997230878</v>
      </c>
    </row>
    <row r="70" spans="1:12" ht="12.9" x14ac:dyDescent="0.35">
      <c r="A70" t="str">
        <f t="shared" si="38"/>
        <v>31 Science, engineering and technology associate professionals</v>
      </c>
      <c r="B70" s="48">
        <f t="shared" si="39"/>
        <v>4.0565450152002969</v>
      </c>
      <c r="C70" s="43">
        <f t="shared" si="39"/>
        <v>9.5210342096734948</v>
      </c>
      <c r="D70" s="48">
        <f t="shared" si="39"/>
        <v>-2.3199375081135565</v>
      </c>
      <c r="E70" s="48">
        <f t="shared" si="39"/>
        <v>0.82827668106455477</v>
      </c>
      <c r="F70" s="43">
        <f t="shared" si="40"/>
        <v>-0.23224358115438992</v>
      </c>
      <c r="H70" s="39">
        <f t="shared" ref="H70:L74" si="41">(B18/B$17)*100</f>
        <v>14.069763023066844</v>
      </c>
      <c r="I70" s="39">
        <f t="shared" si="41"/>
        <v>15.2855916294731</v>
      </c>
      <c r="J70" s="39">
        <f t="shared" si="41"/>
        <v>15.689361605956757</v>
      </c>
      <c r="K70" s="39">
        <f t="shared" si="41"/>
        <v>14.230935650218846</v>
      </c>
      <c r="L70" s="39">
        <f t="shared" si="41"/>
        <v>14.148398881866475</v>
      </c>
    </row>
    <row r="71" spans="1:12" ht="12.9" x14ac:dyDescent="0.35">
      <c r="A71" t="str">
        <f t="shared" si="38"/>
        <v>32 Health and social care associate professionals</v>
      </c>
      <c r="B71" s="48">
        <f t="shared" si="39"/>
        <v>4.3990466722871879</v>
      </c>
      <c r="C71" s="43">
        <f t="shared" si="39"/>
        <v>0.98342793716161836</v>
      </c>
      <c r="D71" s="48">
        <f t="shared" si="39"/>
        <v>0.36834090022106469</v>
      </c>
      <c r="E71" s="48">
        <f t="shared" si="39"/>
        <v>1.209636413786197</v>
      </c>
      <c r="F71" s="43">
        <f t="shared" si="40"/>
        <v>0.92842394661138972</v>
      </c>
      <c r="H71" s="39">
        <f t="shared" si="41"/>
        <v>11.813983618163702</v>
      </c>
      <c r="I71" s="39">
        <f t="shared" si="41"/>
        <v>13.004700602676532</v>
      </c>
      <c r="J71" s="39">
        <f t="shared" si="41"/>
        <v>12.307673052089234</v>
      </c>
      <c r="K71" s="39">
        <f t="shared" si="41"/>
        <v>12.786692333044147</v>
      </c>
      <c r="L71" s="39">
        <f t="shared" si="41"/>
        <v>13.201620931839116</v>
      </c>
    </row>
    <row r="72" spans="1:12" ht="12.9" x14ac:dyDescent="0.35">
      <c r="A72" t="str">
        <f t="shared" si="38"/>
        <v>33 Protective service occupations</v>
      </c>
      <c r="B72" s="48">
        <f t="shared" si="39"/>
        <v>-0.48767746775056908</v>
      </c>
      <c r="C72" s="43">
        <f t="shared" si="39"/>
        <v>8.2496483721002036</v>
      </c>
      <c r="D72" s="48">
        <f t="shared" si="39"/>
        <v>4.2345302941747764</v>
      </c>
      <c r="E72" s="48">
        <f t="shared" si="39"/>
        <v>1.8493567027666025</v>
      </c>
      <c r="F72" s="43">
        <f t="shared" si="40"/>
        <v>2.638287682793039</v>
      </c>
      <c r="H72" s="39">
        <f t="shared" si="41"/>
        <v>8.1349680741408683</v>
      </c>
      <c r="I72" s="39">
        <f t="shared" si="41"/>
        <v>7.3923269185145388</v>
      </c>
      <c r="J72" s="39">
        <f t="shared" si="41"/>
        <v>7.4995143919912355</v>
      </c>
      <c r="K72" s="39">
        <f t="shared" si="41"/>
        <v>9.4121697185109241</v>
      </c>
      <c r="L72" s="39">
        <f t="shared" si="41"/>
        <v>10.349587681980537</v>
      </c>
    </row>
    <row r="73" spans="1:12" ht="12.9" x14ac:dyDescent="0.35">
      <c r="A73" t="str">
        <f t="shared" si="38"/>
        <v>34 Culture, media and sports occupations</v>
      </c>
      <c r="B73" s="48">
        <f t="shared" si="39"/>
        <v>-0.33699808178526691</v>
      </c>
      <c r="C73" s="43">
        <f t="shared" si="39"/>
        <v>20.462366732831395</v>
      </c>
      <c r="D73" s="48">
        <f t="shared" si="39"/>
        <v>-1.0128332054538003</v>
      </c>
      <c r="E73" s="48">
        <f t="shared" si="39"/>
        <v>0.97802668573145901</v>
      </c>
      <c r="F73" s="43">
        <f t="shared" si="40"/>
        <v>0.30999705484293649</v>
      </c>
      <c r="H73" s="39">
        <f t="shared" si="41"/>
        <v>16.593010818459248</v>
      </c>
      <c r="I73" s="39">
        <f t="shared" si="41"/>
        <v>15.169767192611893</v>
      </c>
      <c r="J73" s="39">
        <f t="shared" si="41"/>
        <v>17.1259941383315</v>
      </c>
      <c r="K73" s="39">
        <f t="shared" si="41"/>
        <v>16.601556191054513</v>
      </c>
      <c r="L73" s="39">
        <f t="shared" si="41"/>
        <v>16.752051137858583</v>
      </c>
    </row>
    <row r="74" spans="1:12" ht="12.9" x14ac:dyDescent="0.35">
      <c r="A74" t="str">
        <f t="shared" si="38"/>
        <v>35 Business and public service associate professionals</v>
      </c>
      <c r="B74" s="48">
        <f t="shared" si="39"/>
        <v>1.7982190406696352</v>
      </c>
      <c r="C74" s="43">
        <f t="shared" si="39"/>
        <v>2.8593617138507721</v>
      </c>
      <c r="D74" s="48">
        <f t="shared" si="39"/>
        <v>-0.56768478435637038</v>
      </c>
      <c r="E74" s="48">
        <f t="shared" si="39"/>
        <v>0.57763351968800336</v>
      </c>
      <c r="F74" s="43">
        <f t="shared" si="40"/>
        <v>0.19440237999988064</v>
      </c>
      <c r="H74" s="39">
        <f t="shared" si="41"/>
        <v>49.388274466169342</v>
      </c>
      <c r="I74" s="39">
        <f t="shared" si="41"/>
        <v>49.147613656723919</v>
      </c>
      <c r="J74" s="39">
        <f t="shared" si="41"/>
        <v>47.377456811631276</v>
      </c>
      <c r="K74" s="39">
        <f t="shared" si="41"/>
        <v>46.968646107171573</v>
      </c>
      <c r="L74" s="39">
        <f t="shared" si="41"/>
        <v>45.548341366455283</v>
      </c>
    </row>
    <row r="75" spans="1:12" ht="12.9" x14ac:dyDescent="0.35">
      <c r="A75" s="29"/>
      <c r="B75" s="39"/>
      <c r="C75" s="43"/>
      <c r="D75" s="39"/>
      <c r="E75" s="39"/>
      <c r="F75" s="43"/>
      <c r="H75" s="39"/>
      <c r="I75" s="39"/>
      <c r="J75" s="39"/>
      <c r="K75" s="39"/>
      <c r="L75" s="39"/>
    </row>
    <row r="76" spans="1:12" s="29" customFormat="1" ht="12.9" x14ac:dyDescent="0.35">
      <c r="A76" s="29" t="str">
        <f>A24</f>
        <v>Administrative and secretarial occupations</v>
      </c>
      <c r="B76" s="43">
        <f t="shared" ref="B76:E78" si="42">IF(AND(C$5-B$5 &lt;&gt; 0,C24 &lt;&gt; 0,B24 &lt;&gt; 0),(EXP(LN(C24/B24)/(C$5-B$5))-1)*100,0)</f>
        <v>-0.53894777883394251</v>
      </c>
      <c r="C76" s="43">
        <f t="shared" si="42"/>
        <v>0.80142819670092624</v>
      </c>
      <c r="D76" s="43">
        <f t="shared" si="42"/>
        <v>-1.0929671044513367</v>
      </c>
      <c r="E76" s="43">
        <f t="shared" si="42"/>
        <v>-1.0963276335700378</v>
      </c>
      <c r="F76" s="43">
        <f>IF(AND(F$5-D$5 &lt;&gt; 0,F24 &lt;&gt; 0,D24 &lt;&gt; 0),(EXP(LN(F24/D24)/(F$5-D$5))-1)*100,0)</f>
        <v>-1.0952074698839409</v>
      </c>
      <c r="H76" s="43">
        <f>(B24/B$51)*100</f>
        <v>10.971023158535415</v>
      </c>
      <c r="I76" s="43">
        <f>(C24/C$51)*100</f>
        <v>10.229828746972995</v>
      </c>
      <c r="J76" s="43">
        <f>(D24/D$51)*100</f>
        <v>10.418729536216553</v>
      </c>
      <c r="K76" s="43">
        <f>(E24/E$51)*100</f>
        <v>9.5428174580666347</v>
      </c>
      <c r="L76" s="43">
        <f>(F24/F$51)*100</f>
        <v>8.1397145123922527</v>
      </c>
    </row>
    <row r="77" spans="1:12" ht="12.9" x14ac:dyDescent="0.35">
      <c r="A77" t="str">
        <f>A25</f>
        <v>41 Administrative occupations</v>
      </c>
      <c r="B77" s="48">
        <f t="shared" si="42"/>
        <v>-0.31895517289198816</v>
      </c>
      <c r="C77" s="43">
        <f t="shared" si="42"/>
        <v>2.1231717364272207</v>
      </c>
      <c r="D77" s="48">
        <f t="shared" si="42"/>
        <v>-1.600510144239764</v>
      </c>
      <c r="E77" s="48">
        <f t="shared" si="42"/>
        <v>-0.58750070447628477</v>
      </c>
      <c r="F77" s="43">
        <f>IF(AND(F$5-D$5 &lt;&gt; 0,F25 &lt;&gt; 0,D25 &lt;&gt; 0),(EXP(LN(F25/D25)/(F$5-D$5))-1)*100,0)</f>
        <v>-0.92632400249459401</v>
      </c>
      <c r="H77" s="39">
        <f t="shared" ref="H77:L78" si="43">(B25/B$24)*100</f>
        <v>77.437712623621891</v>
      </c>
      <c r="I77" s="39">
        <f t="shared" si="43"/>
        <v>78.125110467217851</v>
      </c>
      <c r="J77" s="39">
        <f t="shared" si="43"/>
        <v>79.149514207301252</v>
      </c>
      <c r="K77" s="39">
        <f t="shared" si="43"/>
        <v>77.139464478499548</v>
      </c>
      <c r="L77" s="39">
        <f t="shared" si="43"/>
        <v>81.201185105242402</v>
      </c>
    </row>
    <row r="78" spans="1:12" ht="12.9" x14ac:dyDescent="0.35">
      <c r="A78" t="str">
        <f>A26</f>
        <v>42 Secretarial and related occupations</v>
      </c>
      <c r="B78" s="48">
        <f t="shared" si="42"/>
        <v>-1.3053218952650325</v>
      </c>
      <c r="C78" s="43">
        <f t="shared" si="42"/>
        <v>-3.9191149583032714</v>
      </c>
      <c r="D78" s="48">
        <f t="shared" si="42"/>
        <v>0.74447036924705223</v>
      </c>
      <c r="E78" s="48">
        <f t="shared" si="42"/>
        <v>-3.0122633068138671</v>
      </c>
      <c r="F78" s="43">
        <f>IF(AND(F$5-D$5 &lt;&gt; 0,F26 &lt;&gt; 0,D26 &lt;&gt; 0),(EXP(LN(F26/D26)/(F$5-D$5))-1)*100,0)</f>
        <v>-1.7758477550489871</v>
      </c>
      <c r="H78" s="39">
        <f t="shared" si="43"/>
        <v>22.562287376378119</v>
      </c>
      <c r="I78" s="39">
        <f t="shared" si="43"/>
        <v>21.874889532782145</v>
      </c>
      <c r="J78" s="39">
        <f t="shared" si="43"/>
        <v>20.850485792698755</v>
      </c>
      <c r="K78" s="39">
        <f t="shared" si="43"/>
        <v>22.860535521500459</v>
      </c>
      <c r="L78" s="39">
        <f t="shared" si="43"/>
        <v>18.798814894757609</v>
      </c>
    </row>
    <row r="79" spans="1:12" ht="12.9" x14ac:dyDescent="0.35">
      <c r="B79" s="39"/>
      <c r="C79" s="43"/>
      <c r="D79" s="39"/>
      <c r="E79" s="39"/>
      <c r="F79" s="43"/>
      <c r="H79" s="39"/>
      <c r="I79" s="39"/>
      <c r="J79" s="39"/>
      <c r="K79" s="39"/>
      <c r="L79" s="39"/>
    </row>
    <row r="80" spans="1:12" s="29" customFormat="1" ht="12.9" x14ac:dyDescent="0.35">
      <c r="A80" s="29" t="str">
        <f>A28</f>
        <v>Skilled trades occupations</v>
      </c>
      <c r="B80" s="43">
        <f t="shared" ref="B80:E84" si="44">IF(AND(C$5-B$5 &lt;&gt; 0,C28 &lt;&gt; 0,B28 &lt;&gt; 0),(EXP(LN(C28/B28)/(C$5-B$5))-1)*100,0)</f>
        <v>-1.7883761273370213</v>
      </c>
      <c r="C80" s="43">
        <f t="shared" si="44"/>
        <v>-10.200629576829179</v>
      </c>
      <c r="D80" s="43">
        <f t="shared" si="44"/>
        <v>0.73786969877687181</v>
      </c>
      <c r="E80" s="43">
        <f t="shared" si="44"/>
        <v>-0.14252911344996289</v>
      </c>
      <c r="F80" s="43">
        <f>IF(AND(F$5-D$5 &lt;&gt; 0,F28 &lt;&gt; 0,D28 &lt;&gt; 0),(EXP(LN(F28/D28)/(F$5-D$5))-1)*100,0)</f>
        <v>0.15007890322629169</v>
      </c>
      <c r="H80" s="43">
        <f>(B28/B$51)*100</f>
        <v>10.633337356962812</v>
      </c>
      <c r="I80" s="43">
        <f>(C28/C$51)*100</f>
        <v>9.4260598787252992</v>
      </c>
      <c r="J80" s="43">
        <f>(D28/D$51)*100</f>
        <v>8.552305408947408</v>
      </c>
      <c r="K80" s="43">
        <f>(E28/E$51)*100</f>
        <v>8.5856464033262778</v>
      </c>
      <c r="L80" s="43">
        <f>(F28/F$51)*100</f>
        <v>8.0609643951963843</v>
      </c>
    </row>
    <row r="81" spans="1:12" ht="12.9" x14ac:dyDescent="0.35">
      <c r="A81" t="str">
        <f>A29</f>
        <v>51 Skilled agricultural and related trades</v>
      </c>
      <c r="B81" s="48">
        <f t="shared" si="44"/>
        <v>1.7272946971365499</v>
      </c>
      <c r="C81" s="43">
        <f t="shared" si="44"/>
        <v>-33.889084242176473</v>
      </c>
      <c r="D81" s="48">
        <f t="shared" si="44"/>
        <v>1.2094682270315404</v>
      </c>
      <c r="E81" s="48">
        <f t="shared" si="44"/>
        <v>1.5546996263950286</v>
      </c>
      <c r="F81" s="43">
        <f>IF(AND(F$5-D$5 &lt;&gt; 0,F29 &lt;&gt; 0,D29 &lt;&gt; 0),(EXP(LN(F29/D29)/(F$5-D$5))-1)*100,0)</f>
        <v>1.4394918463066508</v>
      </c>
      <c r="H81" s="39">
        <f t="shared" ref="H81:L84" si="45">(B29/B$28)*100</f>
        <v>12.041704402290403</v>
      </c>
      <c r="I81" s="39">
        <f t="shared" si="45"/>
        <v>13.860738657286797</v>
      </c>
      <c r="J81" s="39">
        <f t="shared" si="45"/>
        <v>10.204371382504169</v>
      </c>
      <c r="K81" s="39">
        <f t="shared" si="45"/>
        <v>10.445474137703856</v>
      </c>
      <c r="L81" s="39">
        <f t="shared" si="45"/>
        <v>12.362969390007036</v>
      </c>
    </row>
    <row r="82" spans="1:12" ht="12.9" x14ac:dyDescent="0.35">
      <c r="A82" t="str">
        <f>A30</f>
        <v>52 Skilled metal, electrical and electronic trades</v>
      </c>
      <c r="B82" s="48">
        <f t="shared" si="44"/>
        <v>-0.84061021362822341</v>
      </c>
      <c r="C82" s="43">
        <f t="shared" si="44"/>
        <v>-11.974950608421564</v>
      </c>
      <c r="D82" s="48">
        <f t="shared" si="44"/>
        <v>0.48572165156819391</v>
      </c>
      <c r="E82" s="48">
        <f t="shared" si="44"/>
        <v>-0.31501287804104328</v>
      </c>
      <c r="F82" s="43">
        <f>IF(AND(F$5-D$5 &lt;&gt; 0,F30 &lt;&gt; 0,D30 &lt;&gt; 0),(EXP(LN(F30/D30)/(F$5-D$5))-1)*100,0)</f>
        <v>-4.8812864721137217E-2</v>
      </c>
      <c r="H82" s="39">
        <f t="shared" si="45"/>
        <v>36.31703402932191</v>
      </c>
      <c r="I82" s="39">
        <f t="shared" si="45"/>
        <v>37.739330144551566</v>
      </c>
      <c r="J82" s="39">
        <f t="shared" si="45"/>
        <v>36.993649112734346</v>
      </c>
      <c r="K82" s="39">
        <f t="shared" si="45"/>
        <v>36.532983348205619</v>
      </c>
      <c r="L82" s="39">
        <f t="shared" si="45"/>
        <v>35.906831698177236</v>
      </c>
    </row>
    <row r="83" spans="1:12" ht="12.9" x14ac:dyDescent="0.35">
      <c r="A83" t="str">
        <f>A31</f>
        <v>53 Skilled construction and building trades</v>
      </c>
      <c r="B83" s="48">
        <f t="shared" si="44"/>
        <v>-3.3693095410391116</v>
      </c>
      <c r="C83" s="43">
        <f t="shared" si="44"/>
        <v>-1.4923055565918442</v>
      </c>
      <c r="D83" s="48">
        <f t="shared" si="44"/>
        <v>1.254852432916409</v>
      </c>
      <c r="E83" s="48">
        <f t="shared" si="44"/>
        <v>-0.8743057668471943</v>
      </c>
      <c r="F83" s="43">
        <f>IF(AND(F$5-D$5 &lt;&gt; 0,F31 &lt;&gt; 0,D31 &lt;&gt; 0),(EXP(LN(F31/D31)/(F$5-D$5))-1)*100,0)</f>
        <v>-0.16960802858529966</v>
      </c>
      <c r="H83" s="39">
        <f t="shared" si="45"/>
        <v>29.571405109051714</v>
      </c>
      <c r="I83" s="39">
        <f t="shared" si="45"/>
        <v>27.712820204003428</v>
      </c>
      <c r="J83" s="39">
        <f t="shared" si="45"/>
        <v>30.40028022419941</v>
      </c>
      <c r="K83" s="39">
        <f t="shared" si="45"/>
        <v>31.188393080494297</v>
      </c>
      <c r="L83" s="39">
        <f t="shared" si="45"/>
        <v>28.976758069723623</v>
      </c>
    </row>
    <row r="84" spans="1:12" ht="12.9" x14ac:dyDescent="0.35">
      <c r="A84" t="str">
        <f>A32</f>
        <v>54 Textiles, printing and other skilled trades</v>
      </c>
      <c r="B84" s="48">
        <f t="shared" si="44"/>
        <v>-3.3642156622265995</v>
      </c>
      <c r="C84" s="43">
        <f t="shared" si="44"/>
        <v>-2.7578818341652767</v>
      </c>
      <c r="D84" s="48">
        <f t="shared" si="44"/>
        <v>0.22125745816372611</v>
      </c>
      <c r="E84" s="48">
        <f t="shared" si="44"/>
        <v>0.27060417830000461</v>
      </c>
      <c r="F84" s="43">
        <f>IF(AND(F$5-D$5 &lt;&gt; 0,F32 &lt;&gt; 0,D32 &lt;&gt; 0),(EXP(LN(F32/D32)/(F$5-D$5))-1)*100,0)</f>
        <v>0.25415257248648793</v>
      </c>
      <c r="H84" s="39">
        <f t="shared" si="45"/>
        <v>22.069856459335966</v>
      </c>
      <c r="I84" s="39">
        <f t="shared" si="45"/>
        <v>20.687110994158214</v>
      </c>
      <c r="J84" s="39">
        <f t="shared" si="45"/>
        <v>22.401699280562063</v>
      </c>
      <c r="K84" s="39">
        <f t="shared" si="45"/>
        <v>21.83314943359623</v>
      </c>
      <c r="L84" s="39">
        <f t="shared" si="45"/>
        <v>22.753440842092107</v>
      </c>
    </row>
    <row r="85" spans="1:12" ht="12.9" x14ac:dyDescent="0.35">
      <c r="A85" s="29"/>
      <c r="B85" s="39"/>
      <c r="C85" s="43"/>
      <c r="D85" s="39"/>
      <c r="E85" s="39"/>
      <c r="F85" s="43"/>
      <c r="H85" s="39"/>
      <c r="I85" s="39"/>
      <c r="J85" s="39"/>
      <c r="K85" s="39"/>
      <c r="L85" s="39"/>
    </row>
    <row r="86" spans="1:12" s="29" customFormat="1" ht="12.9" x14ac:dyDescent="0.35">
      <c r="A86" s="29" t="str">
        <f>A34</f>
        <v>Caring, leisure and other service occupations</v>
      </c>
      <c r="B86" s="43">
        <f t="shared" ref="B86:E89" si="46">IF(AND(C$5-B$5 &lt;&gt; 0,C34 &lt;&gt; 0,B34 &lt;&gt; 0),(EXP(LN(C34/B34)/(C$5-B$5))-1)*100,0)</f>
        <v>2.2244375429032681</v>
      </c>
      <c r="C86" s="43">
        <f t="shared" si="46"/>
        <v>-2.3488283766028961</v>
      </c>
      <c r="D86" s="43">
        <f t="shared" si="46"/>
        <v>1.3873095433326377</v>
      </c>
      <c r="E86" s="43">
        <f t="shared" si="46"/>
        <v>0.97315493927332408</v>
      </c>
      <c r="F86" s="43">
        <f>IF(AND(F$5-D$5 &lt;&gt; 0,F34 &lt;&gt; 0,D34 &lt;&gt; 0),(EXP(LN(F34/D34)/(F$5-D$5))-1)*100,0)</f>
        <v>1.1110181574021327</v>
      </c>
      <c r="H86" s="43">
        <f>(B34/B$51)*100</f>
        <v>9.1917099881719491</v>
      </c>
      <c r="I86" s="43">
        <f>(C34/C$51)*100</f>
        <v>9.5636630364418878</v>
      </c>
      <c r="J86" s="43">
        <f>(D34/D$51)*100</f>
        <v>9.4358589334422547</v>
      </c>
      <c r="K86" s="43">
        <f>(E34/E$51)*100</f>
        <v>9.7819494963076608</v>
      </c>
      <c r="L86" s="43">
        <f>(F34/F$51)*100</f>
        <v>10.26344261769731</v>
      </c>
    </row>
    <row r="87" spans="1:12" ht="12.9" x14ac:dyDescent="0.35">
      <c r="A87" t="str">
        <f>A35</f>
        <v>61 Caring personal service occupations</v>
      </c>
      <c r="B87" s="48">
        <f t="shared" si="46"/>
        <v>2.236324548253954</v>
      </c>
      <c r="C87" s="43">
        <f t="shared" si="46"/>
        <v>-3.4130630404966222</v>
      </c>
      <c r="D87" s="48">
        <f t="shared" si="46"/>
        <v>1.7402016371352191</v>
      </c>
      <c r="E87" s="48">
        <f t="shared" si="46"/>
        <v>1.1977906540141081</v>
      </c>
      <c r="F87" s="43">
        <f>IF(AND(F$5-D$5 &lt;&gt; 0,F35 &lt;&gt; 0,D35 &lt;&gt; 0),(EXP(LN(F35/D35)/(F$5-D$5))-1)*100,0)</f>
        <v>1.3782722431169292</v>
      </c>
      <c r="H87" s="39">
        <f t="shared" ref="H87:L89" si="47">(B35/B$34)*100</f>
        <v>75.461106330088299</v>
      </c>
      <c r="I87" s="39">
        <f t="shared" si="47"/>
        <v>75.496211949404909</v>
      </c>
      <c r="J87" s="39">
        <f t="shared" si="47"/>
        <v>74.673429340517373</v>
      </c>
      <c r="K87" s="39">
        <f t="shared" si="47"/>
        <v>75.98206172897892</v>
      </c>
      <c r="L87" s="39">
        <f t="shared" si="47"/>
        <v>77.689463676386069</v>
      </c>
    </row>
    <row r="88" spans="1:12" ht="12.9" x14ac:dyDescent="0.35">
      <c r="A88" t="str">
        <f>A36</f>
        <v>62 Leisure, travel and related personal service occupations</v>
      </c>
      <c r="B88" s="48">
        <f t="shared" si="46"/>
        <v>2.4710372477349196</v>
      </c>
      <c r="C88" s="43">
        <f t="shared" si="46"/>
        <v>-0.12177022473245369</v>
      </c>
      <c r="D88" s="48">
        <f t="shared" si="46"/>
        <v>0.50911915637152916</v>
      </c>
      <c r="E88" s="48">
        <f t="shared" si="46"/>
        <v>0.20716616612559413</v>
      </c>
      <c r="F88" s="43">
        <f>IF(AND(F$5-D$5 &lt;&gt; 0,F36 &lt;&gt; 0,D36 &lt;&gt; 0),(EXP(LN(F36/D36)/(F$5-D$5))-1)*100,0)</f>
        <v>0.30771623498284661</v>
      </c>
      <c r="H88" s="39">
        <f t="shared" si="47"/>
        <v>23.420253090102129</v>
      </c>
      <c r="I88" s="39">
        <f t="shared" si="47"/>
        <v>23.647062243635983</v>
      </c>
      <c r="J88" s="39">
        <f t="shared" si="47"/>
        <v>24.186363327913597</v>
      </c>
      <c r="K88" s="39">
        <f t="shared" si="47"/>
        <v>23.156873023086124</v>
      </c>
      <c r="L88" s="39">
        <f t="shared" si="47"/>
        <v>21.458949536609776</v>
      </c>
    </row>
    <row r="89" spans="1:12" ht="12.9" x14ac:dyDescent="0.35">
      <c r="A89" t="str">
        <f>A37</f>
        <v>63 Community and civil enforcement occupations</v>
      </c>
      <c r="B89" s="48">
        <f t="shared" si="46"/>
        <v>-4.3703536856110166</v>
      </c>
      <c r="C89" s="43">
        <f t="shared" si="46"/>
        <v>29.962913357901577</v>
      </c>
      <c r="D89" s="48">
        <f t="shared" si="46"/>
        <v>-4.1495745116374323</v>
      </c>
      <c r="E89" s="48">
        <f t="shared" si="46"/>
        <v>0.86145094310414727</v>
      </c>
      <c r="F89" s="43">
        <f>IF(AND(F$5-D$5 &lt;&gt; 0,F37 &lt;&gt; 0,D37 &lt;&gt; 0),(EXP(LN(F37/D37)/(F$5-D$5))-1)*100,0)</f>
        <v>-0.83734275386647683</v>
      </c>
      <c r="H89" s="39">
        <f t="shared" si="47"/>
        <v>1.1186405798095818</v>
      </c>
      <c r="I89" s="39">
        <f t="shared" si="47"/>
        <v>0.85672580695909684</v>
      </c>
      <c r="J89" s="39">
        <f t="shared" si="47"/>
        <v>1.1402073315690342</v>
      </c>
      <c r="K89" s="39">
        <f t="shared" si="47"/>
        <v>0.86106524793494521</v>
      </c>
      <c r="L89" s="39">
        <f t="shared" si="47"/>
        <v>0.85158678700414747</v>
      </c>
    </row>
    <row r="90" spans="1:12" ht="12.9" x14ac:dyDescent="0.35">
      <c r="B90" s="39"/>
      <c r="C90" s="43"/>
      <c r="D90" s="39"/>
      <c r="E90" s="39"/>
      <c r="F90" s="43"/>
      <c r="H90" s="39"/>
      <c r="I90" s="39"/>
      <c r="J90" s="39"/>
      <c r="K90" s="39"/>
      <c r="L90" s="39"/>
    </row>
    <row r="91" spans="1:12" s="29" customFormat="1" ht="12.9" x14ac:dyDescent="0.35">
      <c r="A91" s="29" t="str">
        <f>A39</f>
        <v>Sales and customer service occupations</v>
      </c>
      <c r="B91" s="43">
        <f t="shared" ref="B91:E93" si="48">IF(AND(C$5-B$5 &lt;&gt; 0,C39 &lt;&gt; 0,B39 &lt;&gt; 0),(EXP(LN(C39/B39)/(C$5-B$5))-1)*100,0)</f>
        <v>-1.9483027361495431</v>
      </c>
      <c r="C91" s="43">
        <f t="shared" si="48"/>
        <v>-0.67913957109121403</v>
      </c>
      <c r="D91" s="43">
        <f t="shared" si="48"/>
        <v>7.2731095662126322E-2</v>
      </c>
      <c r="E91" s="43">
        <f t="shared" si="48"/>
        <v>1.4895655163127408E-2</v>
      </c>
      <c r="F91" s="43">
        <f t="shared" ref="F91:F103" si="49">IF(AND(F$5-D$5 &lt;&gt; 0,F39 &lt;&gt; 0,D39 &lt;&gt; 0),(EXP(LN(F39/D39)/(F$5-D$5))-1)*100,0)</f>
        <v>3.4170420478374375E-2</v>
      </c>
      <c r="H91" s="43">
        <f>(B39/B$51)*100</f>
        <v>8.7175724363119791</v>
      </c>
      <c r="I91" s="43">
        <f>(C39/C$51)*100</f>
        <v>7.677592566351306</v>
      </c>
      <c r="J91" s="43">
        <f>(D39/D$51)*100</f>
        <v>7.704514020965167</v>
      </c>
      <c r="K91" s="43">
        <f>(E39/E$51)*100</f>
        <v>7.4825563349052562</v>
      </c>
      <c r="L91" s="43">
        <f>(F39/F$51)*100</f>
        <v>7.1368281276482186</v>
      </c>
    </row>
    <row r="92" spans="1:12" s="29" customFormat="1" ht="12.9" x14ac:dyDescent="0.35">
      <c r="A92" s="10" t="str">
        <f>A40</f>
        <v>71 Sales occupations</v>
      </c>
      <c r="B92" s="48">
        <f t="shared" si="48"/>
        <v>-2.867042777129758</v>
      </c>
      <c r="C92" s="43">
        <f t="shared" si="48"/>
        <v>-1.217424630137609</v>
      </c>
      <c r="D92" s="48">
        <f t="shared" si="48"/>
        <v>-1.38852478618261</v>
      </c>
      <c r="E92" s="48">
        <f t="shared" si="48"/>
        <v>-0.52899635878392859</v>
      </c>
      <c r="F92" s="43">
        <f t="shared" si="49"/>
        <v>-0.81633506146870927</v>
      </c>
      <c r="G92"/>
      <c r="H92" s="39">
        <f t="shared" ref="H92:L93" si="50">(B40/B$34)*100</f>
        <v>78.829845520218569</v>
      </c>
      <c r="I92" s="39">
        <f t="shared" si="50"/>
        <v>64.259627119414958</v>
      </c>
      <c r="J92" s="39">
        <f t="shared" si="50"/>
        <v>65.004150525132573</v>
      </c>
      <c r="K92" s="39">
        <f t="shared" si="50"/>
        <v>56.579665236002171</v>
      </c>
      <c r="L92" s="39">
        <f t="shared" si="50"/>
        <v>48.704166016196233</v>
      </c>
    </row>
    <row r="93" spans="1:12" s="29" customFormat="1" ht="12.9" x14ac:dyDescent="0.35">
      <c r="A93" t="str">
        <f>A41</f>
        <v>72 Customer service occupations</v>
      </c>
      <c r="B93" s="48">
        <f t="shared" si="48"/>
        <v>2.2361210024837153</v>
      </c>
      <c r="C93" s="43">
        <f t="shared" si="48"/>
        <v>1.4801496779383694</v>
      </c>
      <c r="D93" s="48">
        <f t="shared" si="48"/>
        <v>5.0862622086514708</v>
      </c>
      <c r="E93" s="48">
        <f t="shared" si="48"/>
        <v>1.4294323872947157</v>
      </c>
      <c r="F93" s="43">
        <f t="shared" si="49"/>
        <v>2.6340133659368936</v>
      </c>
      <c r="G93"/>
      <c r="H93" s="39">
        <f t="shared" si="50"/>
        <v>16.011837338900158</v>
      </c>
      <c r="I93" s="39">
        <f t="shared" si="50"/>
        <v>16.019158708736896</v>
      </c>
      <c r="J93" s="39">
        <f t="shared" si="50"/>
        <v>16.647282325978484</v>
      </c>
      <c r="K93" s="39">
        <f t="shared" si="50"/>
        <v>19.913842911117737</v>
      </c>
      <c r="L93" s="39">
        <f t="shared" si="50"/>
        <v>20.832230234922751</v>
      </c>
    </row>
    <row r="94" spans="1:12" ht="12.9" x14ac:dyDescent="0.35">
      <c r="C94" s="43"/>
      <c r="F94" s="43"/>
    </row>
    <row r="95" spans="1:12" s="29" customFormat="1" ht="12.9" x14ac:dyDescent="0.35">
      <c r="A95" s="29" t="str">
        <f>A43</f>
        <v>Process, plant and machine operatives</v>
      </c>
      <c r="B95" s="43">
        <f t="shared" ref="B95:E97" si="51">IF(AND(C$5-B$5 &lt;&gt; 0,C43 &lt;&gt; 0,B43 &lt;&gt; 0),(EXP(LN(C43/B43)/(C$5-B$5))-1)*100,0)</f>
        <v>1.8299427690021242</v>
      </c>
      <c r="C95" s="43">
        <f t="shared" si="51"/>
        <v>-11.463157896077691</v>
      </c>
      <c r="D95" s="43">
        <f t="shared" si="51"/>
        <v>3.0499762268154873</v>
      </c>
      <c r="E95" s="43">
        <f t="shared" si="51"/>
        <v>0.1689214055796695</v>
      </c>
      <c r="F95" s="43">
        <f t="shared" si="49"/>
        <v>1.1202101713344126</v>
      </c>
      <c r="H95" s="43">
        <f>(B43/B$51)*100</f>
        <v>6.2431910090170328</v>
      </c>
      <c r="I95" s="43">
        <f>(C43/C$51)*100</f>
        <v>6.3961354912822097</v>
      </c>
      <c r="J95" s="43">
        <f>(D43/D$51)*100</f>
        <v>5.7216514487005865</v>
      </c>
      <c r="K95" s="43">
        <f>(E43/E$51)*100</f>
        <v>6.4340859976156448</v>
      </c>
      <c r="L95" s="43">
        <f>(F43/F$51)*100</f>
        <v>6.2319680255219838</v>
      </c>
    </row>
    <row r="96" spans="1:12" ht="12.9" x14ac:dyDescent="0.35">
      <c r="A96" t="str">
        <f>A44</f>
        <v>81 Process, plant and machine operatives</v>
      </c>
      <c r="B96" s="48">
        <f t="shared" si="51"/>
        <v>-0.86116079149054503</v>
      </c>
      <c r="C96" s="43">
        <f t="shared" si="51"/>
        <v>-11.545828704115058</v>
      </c>
      <c r="D96" s="48">
        <f t="shared" si="51"/>
        <v>4.4857473104930934</v>
      </c>
      <c r="E96" s="48">
        <f t="shared" si="51"/>
        <v>-3.5655370101994599E-2</v>
      </c>
      <c r="F96" s="43">
        <f t="shared" si="49"/>
        <v>1.4493105254052674</v>
      </c>
      <c r="H96" s="39">
        <f t="shared" ref="H96:L97" si="52">(B44/B$43)*100</f>
        <v>40.599830886400426</v>
      </c>
      <c r="I96" s="39">
        <f t="shared" si="52"/>
        <v>36.475188425097073</v>
      </c>
      <c r="J96" s="39">
        <f t="shared" si="52"/>
        <v>36.441129910824799</v>
      </c>
      <c r="K96" s="39">
        <f t="shared" si="52"/>
        <v>39.051491094218157</v>
      </c>
      <c r="L96" s="39">
        <f t="shared" si="52"/>
        <v>38.261225624307492</v>
      </c>
    </row>
    <row r="97" spans="1:12" ht="12.9" x14ac:dyDescent="0.35">
      <c r="A97" t="str">
        <f>A45</f>
        <v>82 Transport and mobile machine drivers and operatives</v>
      </c>
      <c r="B97" s="48">
        <f t="shared" si="51"/>
        <v>3.553415003750704</v>
      </c>
      <c r="C97" s="43">
        <f t="shared" si="51"/>
        <v>-11.415689305055377</v>
      </c>
      <c r="D97" s="48">
        <f t="shared" si="51"/>
        <v>2.1892659116741875</v>
      </c>
      <c r="E97" s="48">
        <f t="shared" si="51"/>
        <v>0.29804994296043219</v>
      </c>
      <c r="F97" s="43">
        <f t="shared" si="49"/>
        <v>0.92453395931741955</v>
      </c>
      <c r="H97" s="39">
        <f t="shared" si="52"/>
        <v>59.400169113599574</v>
      </c>
      <c r="I97" s="39">
        <f t="shared" si="52"/>
        <v>63.524811574902927</v>
      </c>
      <c r="J97" s="39">
        <f t="shared" si="52"/>
        <v>63.558870089175201</v>
      </c>
      <c r="K97" s="39">
        <f t="shared" si="52"/>
        <v>60.948508905781843</v>
      </c>
      <c r="L97" s="39">
        <f t="shared" si="52"/>
        <v>61.738774375692508</v>
      </c>
    </row>
    <row r="98" spans="1:12" ht="12.9" x14ac:dyDescent="0.35">
      <c r="C98" s="43"/>
      <c r="F98" s="43"/>
    </row>
    <row r="99" spans="1:12" s="29" customFormat="1" ht="12.9" x14ac:dyDescent="0.35">
      <c r="A99" s="29" t="str">
        <f>A47</f>
        <v>Elementary occupations</v>
      </c>
      <c r="B99" s="43">
        <f t="shared" ref="B99:E101" si="53">IF(AND(C$5-B$5 &lt;&gt; 0,C47 &lt;&gt; 0,B47 &lt;&gt; 0),(EXP(LN(C47/B47)/(C$5-B$5))-1)*100,0)</f>
        <v>-0.17510578822541589</v>
      </c>
      <c r="C99" s="43">
        <f t="shared" si="53"/>
        <v>-7.9829042140301283</v>
      </c>
      <c r="D99" s="43">
        <f t="shared" si="53"/>
        <v>0.12210622107409197</v>
      </c>
      <c r="E99" s="43">
        <f t="shared" si="53"/>
        <v>-0.40195741313624467</v>
      </c>
      <c r="F99" s="43">
        <f t="shared" si="49"/>
        <v>-0.2275750326569681</v>
      </c>
      <c r="H99" s="43">
        <f>(B47/B$51)*100</f>
        <v>12.59764794043855</v>
      </c>
      <c r="I99" s="43">
        <f>(C47/C$51)*100</f>
        <v>11.919387409911796</v>
      </c>
      <c r="J99" s="43">
        <f>(D47/D$51)*100</f>
        <v>11.081592426103782</v>
      </c>
      <c r="K99" s="43">
        <f>(E47/E$51)*100</f>
        <v>10.788921724448624</v>
      </c>
      <c r="L99" s="43">
        <f>(F47/F$51)*100</f>
        <v>9.8694841902324431</v>
      </c>
    </row>
    <row r="100" spans="1:12" ht="12.9" x14ac:dyDescent="0.35">
      <c r="A100" t="str">
        <f>A48</f>
        <v>91 Elementary trades and related occupations</v>
      </c>
      <c r="B100" s="48">
        <f t="shared" si="53"/>
        <v>-2.998802408696033</v>
      </c>
      <c r="C100" s="43">
        <f t="shared" si="53"/>
        <v>-9.5052175301616018</v>
      </c>
      <c r="D100" s="48">
        <f t="shared" si="53"/>
        <v>-2.7939871663475779</v>
      </c>
      <c r="E100" s="48">
        <f t="shared" si="53"/>
        <v>3.0687749442037671E-3</v>
      </c>
      <c r="F100" s="43">
        <f t="shared" si="49"/>
        <v>-0.93811338318854354</v>
      </c>
      <c r="H100" s="39">
        <f t="shared" ref="H100:L101" si="54">(B48/B$47)*100</f>
        <v>14.261282771322211</v>
      </c>
      <c r="I100" s="39">
        <f t="shared" si="54"/>
        <v>12.714858788615111</v>
      </c>
      <c r="J100" s="39">
        <f t="shared" si="54"/>
        <v>12.504506585241277</v>
      </c>
      <c r="K100" s="39">
        <f t="shared" si="54"/>
        <v>10.786544087639895</v>
      </c>
      <c r="L100" s="39">
        <f t="shared" si="54"/>
        <v>11.233305328035499</v>
      </c>
    </row>
    <row r="101" spans="1:12" ht="12.9" x14ac:dyDescent="0.35">
      <c r="A101" t="str">
        <f>A49</f>
        <v>92 Elementary administration and service occupations</v>
      </c>
      <c r="B101" s="48">
        <f t="shared" si="53"/>
        <v>0.27200360058332596</v>
      </c>
      <c r="C101" s="43">
        <f t="shared" si="53"/>
        <v>-7.7611482704868395</v>
      </c>
      <c r="D101" s="48">
        <f t="shared" si="53"/>
        <v>0.51223099294084307</v>
      </c>
      <c r="E101" s="48">
        <f t="shared" si="53"/>
        <v>-0.45194666280393703</v>
      </c>
      <c r="F101" s="43">
        <f t="shared" si="49"/>
        <v>-0.13158618460941129</v>
      </c>
      <c r="H101" s="39">
        <f t="shared" si="54"/>
        <v>85.738717228677785</v>
      </c>
      <c r="I101" s="39">
        <f t="shared" si="54"/>
        <v>87.285141211384882</v>
      </c>
      <c r="J101" s="39">
        <f t="shared" si="54"/>
        <v>87.495493414758712</v>
      </c>
      <c r="K101" s="39">
        <f t="shared" si="54"/>
        <v>89.213455912360104</v>
      </c>
      <c r="L101" s="39">
        <f t="shared" si="54"/>
        <v>88.766694671964501</v>
      </c>
    </row>
    <row r="102" spans="1:12" ht="12.9" x14ac:dyDescent="0.35">
      <c r="A102" s="13"/>
      <c r="C102" s="43"/>
      <c r="F102" s="43"/>
    </row>
    <row r="103" spans="1:12" ht="12.9" x14ac:dyDescent="0.35">
      <c r="A103" s="38" t="str">
        <f t="shared" ref="A103" si="55">A51</f>
        <v>All occupations</v>
      </c>
      <c r="B103" s="49">
        <f>IF(AND(C$5-B$5 &lt;&gt; 0,C51 &lt;&gt; 0,B51 &lt;&gt; 0),(EXP(LN(C51/B51)/(C$5-B$5))-1)*100,0)</f>
        <v>1.2156670242623679</v>
      </c>
      <c r="C103" s="206">
        <f t="shared" ref="C103" si="56">IF(AND(D$5-C$5 &lt;&gt; 0,D51 &lt;&gt; 0,C51 &lt;&gt; 0),(EXP(LN(D51/C51)/(D$5-C$5))-1)*100,0)</f>
        <v>-1.0261909268250768</v>
      </c>
      <c r="D103" s="49">
        <f>IF(AND(E$5-D$5 &lt;&gt; 0,E51 &lt;&gt; 0,D51 &lt;&gt; 0),(EXP(LN(E51/D51)/(E$5-D$5))-1)*100,0)</f>
        <v>0.65950797804075201</v>
      </c>
      <c r="E103" s="49">
        <f>IF(AND(F$5-E$5 &lt;&gt; 0,F51 &lt;&gt; 0,E51 &lt;&gt; 0),(EXP(LN(F51/E51)/(F$5-E$5))-1)*100,0)</f>
        <v>0.48914750314457134</v>
      </c>
      <c r="F103" s="206">
        <f t="shared" si="49"/>
        <v>0.54590226783473028</v>
      </c>
      <c r="G103" s="23"/>
      <c r="H103" s="42">
        <f>(B51/B$51)*100</f>
        <v>100</v>
      </c>
      <c r="I103" s="42">
        <f>(C51/C$51)*100</f>
        <v>100</v>
      </c>
      <c r="J103" s="42">
        <f>(D51/D$51)*100</f>
        <v>100</v>
      </c>
      <c r="K103" s="42">
        <f>(E51/E$51)*100</f>
        <v>100</v>
      </c>
      <c r="L103" s="42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0"/>
  <dimension ref="A1:Y1312"/>
  <sheetViews>
    <sheetView showGridLines="0" zoomScale="85" zoomScaleNormal="85" workbookViewId="0"/>
  </sheetViews>
  <sheetFormatPr defaultRowHeight="12.45" x14ac:dyDescent="0.3"/>
  <cols>
    <col min="1" max="1" width="35.53515625" style="90" customWidth="1"/>
    <col min="2" max="4" width="5.69140625" style="90" bestFit="1" customWidth="1"/>
    <col min="5" max="5" width="5" style="90" customWidth="1"/>
    <col min="6" max="8" width="5.69140625" style="90" bestFit="1" customWidth="1"/>
    <col min="9" max="9" width="5" style="90" customWidth="1"/>
    <col min="10" max="12" width="5.69140625" style="90" bestFit="1" customWidth="1"/>
    <col min="13" max="13" width="5" style="90" customWidth="1"/>
    <col min="14" max="14" width="8.84375" style="90" customWidth="1"/>
    <col min="15" max="15" width="7.15234375" style="90" customWidth="1"/>
    <col min="16" max="16" width="2.84375" style="90" customWidth="1"/>
    <col min="17" max="17" width="7.4609375" style="90" customWidth="1"/>
    <col min="18" max="18" width="7.23046875" style="90" customWidth="1"/>
    <col min="19" max="19" width="2.69140625" style="90" customWidth="1"/>
    <col min="20" max="20" width="8.15234375" style="90" customWidth="1"/>
    <col min="21" max="21" width="7.4609375" style="90" customWidth="1"/>
    <col min="22" max="254" width="9.15234375" style="90"/>
    <col min="255" max="255" width="33.15234375" style="90" bestFit="1" customWidth="1"/>
    <col min="256" max="258" width="7.15234375" style="90" customWidth="1"/>
    <col min="259" max="259" width="5" style="90" customWidth="1"/>
    <col min="260" max="262" width="7.15234375" style="90" customWidth="1"/>
    <col min="263" max="263" width="5" style="90" customWidth="1"/>
    <col min="264" max="266" width="7.15234375" style="90" customWidth="1"/>
    <col min="267" max="510" width="9.15234375" style="90"/>
    <col min="511" max="511" width="33.15234375" style="90" bestFit="1" customWidth="1"/>
    <col min="512" max="514" width="7.15234375" style="90" customWidth="1"/>
    <col min="515" max="515" width="5" style="90" customWidth="1"/>
    <col min="516" max="518" width="7.15234375" style="90" customWidth="1"/>
    <col min="519" max="519" width="5" style="90" customWidth="1"/>
    <col min="520" max="522" width="7.15234375" style="90" customWidth="1"/>
    <col min="523" max="766" width="9.15234375" style="90"/>
    <col min="767" max="767" width="33.15234375" style="90" bestFit="1" customWidth="1"/>
    <col min="768" max="770" width="7.15234375" style="90" customWidth="1"/>
    <col min="771" max="771" width="5" style="90" customWidth="1"/>
    <col min="772" max="774" width="7.15234375" style="90" customWidth="1"/>
    <col min="775" max="775" width="5" style="90" customWidth="1"/>
    <col min="776" max="778" width="7.15234375" style="90" customWidth="1"/>
    <col min="779" max="1022" width="9.15234375" style="90"/>
    <col min="1023" max="1023" width="33.15234375" style="90" bestFit="1" customWidth="1"/>
    <col min="1024" max="1026" width="7.15234375" style="90" customWidth="1"/>
    <col min="1027" max="1027" width="5" style="90" customWidth="1"/>
    <col min="1028" max="1030" width="7.15234375" style="90" customWidth="1"/>
    <col min="1031" max="1031" width="5" style="90" customWidth="1"/>
    <col min="1032" max="1034" width="7.15234375" style="90" customWidth="1"/>
    <col min="1035" max="1278" width="9.15234375" style="90"/>
    <col min="1279" max="1279" width="33.15234375" style="90" bestFit="1" customWidth="1"/>
    <col min="1280" max="1282" width="7.15234375" style="90" customWidth="1"/>
    <col min="1283" max="1283" width="5" style="90" customWidth="1"/>
    <col min="1284" max="1286" width="7.15234375" style="90" customWidth="1"/>
    <col min="1287" max="1287" width="5" style="90" customWidth="1"/>
    <col min="1288" max="1290" width="7.15234375" style="90" customWidth="1"/>
    <col min="1291" max="1534" width="9.15234375" style="90"/>
    <col min="1535" max="1535" width="33.15234375" style="90" bestFit="1" customWidth="1"/>
    <col min="1536" max="1538" width="7.15234375" style="90" customWidth="1"/>
    <col min="1539" max="1539" width="5" style="90" customWidth="1"/>
    <col min="1540" max="1542" width="7.15234375" style="90" customWidth="1"/>
    <col min="1543" max="1543" width="5" style="90" customWidth="1"/>
    <col min="1544" max="1546" width="7.15234375" style="90" customWidth="1"/>
    <col min="1547" max="1790" width="9.15234375" style="90"/>
    <col min="1791" max="1791" width="33.15234375" style="90" bestFit="1" customWidth="1"/>
    <col min="1792" max="1794" width="7.15234375" style="90" customWidth="1"/>
    <col min="1795" max="1795" width="5" style="90" customWidth="1"/>
    <col min="1796" max="1798" width="7.15234375" style="90" customWidth="1"/>
    <col min="1799" max="1799" width="5" style="90" customWidth="1"/>
    <col min="1800" max="1802" width="7.15234375" style="90" customWidth="1"/>
    <col min="1803" max="2046" width="9.15234375" style="90"/>
    <col min="2047" max="2047" width="33.15234375" style="90" bestFit="1" customWidth="1"/>
    <col min="2048" max="2050" width="7.15234375" style="90" customWidth="1"/>
    <col min="2051" max="2051" width="5" style="90" customWidth="1"/>
    <col min="2052" max="2054" width="7.15234375" style="90" customWidth="1"/>
    <col min="2055" max="2055" width="5" style="90" customWidth="1"/>
    <col min="2056" max="2058" width="7.15234375" style="90" customWidth="1"/>
    <col min="2059" max="2302" width="9.15234375" style="90"/>
    <col min="2303" max="2303" width="33.15234375" style="90" bestFit="1" customWidth="1"/>
    <col min="2304" max="2306" width="7.15234375" style="90" customWidth="1"/>
    <col min="2307" max="2307" width="5" style="90" customWidth="1"/>
    <col min="2308" max="2310" width="7.15234375" style="90" customWidth="1"/>
    <col min="2311" max="2311" width="5" style="90" customWidth="1"/>
    <col min="2312" max="2314" width="7.15234375" style="90" customWidth="1"/>
    <col min="2315" max="2558" width="9.15234375" style="90"/>
    <col min="2559" max="2559" width="33.15234375" style="90" bestFit="1" customWidth="1"/>
    <col min="2560" max="2562" width="7.15234375" style="90" customWidth="1"/>
    <col min="2563" max="2563" width="5" style="90" customWidth="1"/>
    <col min="2564" max="2566" width="7.15234375" style="90" customWidth="1"/>
    <col min="2567" max="2567" width="5" style="90" customWidth="1"/>
    <col min="2568" max="2570" width="7.15234375" style="90" customWidth="1"/>
    <col min="2571" max="2814" width="9.15234375" style="90"/>
    <col min="2815" max="2815" width="33.15234375" style="90" bestFit="1" customWidth="1"/>
    <col min="2816" max="2818" width="7.15234375" style="90" customWidth="1"/>
    <col min="2819" max="2819" width="5" style="90" customWidth="1"/>
    <col min="2820" max="2822" width="7.15234375" style="90" customWidth="1"/>
    <col min="2823" max="2823" width="5" style="90" customWidth="1"/>
    <col min="2824" max="2826" width="7.15234375" style="90" customWidth="1"/>
    <col min="2827" max="3070" width="9.15234375" style="90"/>
    <col min="3071" max="3071" width="33.15234375" style="90" bestFit="1" customWidth="1"/>
    <col min="3072" max="3074" width="7.15234375" style="90" customWidth="1"/>
    <col min="3075" max="3075" width="5" style="90" customWidth="1"/>
    <col min="3076" max="3078" width="7.15234375" style="90" customWidth="1"/>
    <col min="3079" max="3079" width="5" style="90" customWidth="1"/>
    <col min="3080" max="3082" width="7.15234375" style="90" customWidth="1"/>
    <col min="3083" max="3326" width="9.15234375" style="90"/>
    <col min="3327" max="3327" width="33.15234375" style="90" bestFit="1" customWidth="1"/>
    <col min="3328" max="3330" width="7.15234375" style="90" customWidth="1"/>
    <col min="3331" max="3331" width="5" style="90" customWidth="1"/>
    <col min="3332" max="3334" width="7.15234375" style="90" customWidth="1"/>
    <col min="3335" max="3335" width="5" style="90" customWidth="1"/>
    <col min="3336" max="3338" width="7.15234375" style="90" customWidth="1"/>
    <col min="3339" max="3582" width="9.15234375" style="90"/>
    <col min="3583" max="3583" width="33.15234375" style="90" bestFit="1" customWidth="1"/>
    <col min="3584" max="3586" width="7.15234375" style="90" customWidth="1"/>
    <col min="3587" max="3587" width="5" style="90" customWidth="1"/>
    <col min="3588" max="3590" width="7.15234375" style="90" customWidth="1"/>
    <col min="3591" max="3591" width="5" style="90" customWidth="1"/>
    <col min="3592" max="3594" width="7.15234375" style="90" customWidth="1"/>
    <col min="3595" max="3838" width="9.15234375" style="90"/>
    <col min="3839" max="3839" width="33.15234375" style="90" bestFit="1" customWidth="1"/>
    <col min="3840" max="3842" width="7.15234375" style="90" customWidth="1"/>
    <col min="3843" max="3843" width="5" style="90" customWidth="1"/>
    <col min="3844" max="3846" width="7.15234375" style="90" customWidth="1"/>
    <col min="3847" max="3847" width="5" style="90" customWidth="1"/>
    <col min="3848" max="3850" width="7.15234375" style="90" customWidth="1"/>
    <col min="3851" max="4094" width="9.15234375" style="90"/>
    <col min="4095" max="4095" width="33.15234375" style="90" bestFit="1" customWidth="1"/>
    <col min="4096" max="4098" width="7.15234375" style="90" customWidth="1"/>
    <col min="4099" max="4099" width="5" style="90" customWidth="1"/>
    <col min="4100" max="4102" width="7.15234375" style="90" customWidth="1"/>
    <col min="4103" max="4103" width="5" style="90" customWidth="1"/>
    <col min="4104" max="4106" width="7.15234375" style="90" customWidth="1"/>
    <col min="4107" max="4350" width="9.15234375" style="90"/>
    <col min="4351" max="4351" width="33.15234375" style="90" bestFit="1" customWidth="1"/>
    <col min="4352" max="4354" width="7.15234375" style="90" customWidth="1"/>
    <col min="4355" max="4355" width="5" style="90" customWidth="1"/>
    <col min="4356" max="4358" width="7.15234375" style="90" customWidth="1"/>
    <col min="4359" max="4359" width="5" style="90" customWidth="1"/>
    <col min="4360" max="4362" width="7.15234375" style="90" customWidth="1"/>
    <col min="4363" max="4606" width="9.15234375" style="90"/>
    <col min="4607" max="4607" width="33.15234375" style="90" bestFit="1" customWidth="1"/>
    <col min="4608" max="4610" width="7.15234375" style="90" customWidth="1"/>
    <col min="4611" max="4611" width="5" style="90" customWidth="1"/>
    <col min="4612" max="4614" width="7.15234375" style="90" customWidth="1"/>
    <col min="4615" max="4615" width="5" style="90" customWidth="1"/>
    <col min="4616" max="4618" width="7.15234375" style="90" customWidth="1"/>
    <col min="4619" max="4862" width="9.15234375" style="90"/>
    <col min="4863" max="4863" width="33.15234375" style="90" bestFit="1" customWidth="1"/>
    <col min="4864" max="4866" width="7.15234375" style="90" customWidth="1"/>
    <col min="4867" max="4867" width="5" style="90" customWidth="1"/>
    <col min="4868" max="4870" width="7.15234375" style="90" customWidth="1"/>
    <col min="4871" max="4871" width="5" style="90" customWidth="1"/>
    <col min="4872" max="4874" width="7.15234375" style="90" customWidth="1"/>
    <col min="4875" max="5118" width="9.15234375" style="90"/>
    <col min="5119" max="5119" width="33.15234375" style="90" bestFit="1" customWidth="1"/>
    <col min="5120" max="5122" width="7.15234375" style="90" customWidth="1"/>
    <col min="5123" max="5123" width="5" style="90" customWidth="1"/>
    <col min="5124" max="5126" width="7.15234375" style="90" customWidth="1"/>
    <col min="5127" max="5127" width="5" style="90" customWidth="1"/>
    <col min="5128" max="5130" width="7.15234375" style="90" customWidth="1"/>
    <col min="5131" max="5374" width="9.15234375" style="90"/>
    <col min="5375" max="5375" width="33.15234375" style="90" bestFit="1" customWidth="1"/>
    <col min="5376" max="5378" width="7.15234375" style="90" customWidth="1"/>
    <col min="5379" max="5379" width="5" style="90" customWidth="1"/>
    <col min="5380" max="5382" width="7.15234375" style="90" customWidth="1"/>
    <col min="5383" max="5383" width="5" style="90" customWidth="1"/>
    <col min="5384" max="5386" width="7.15234375" style="90" customWidth="1"/>
    <col min="5387" max="5630" width="9.15234375" style="90"/>
    <col min="5631" max="5631" width="33.15234375" style="90" bestFit="1" customWidth="1"/>
    <col min="5632" max="5634" width="7.15234375" style="90" customWidth="1"/>
    <col min="5635" max="5635" width="5" style="90" customWidth="1"/>
    <col min="5636" max="5638" width="7.15234375" style="90" customWidth="1"/>
    <col min="5639" max="5639" width="5" style="90" customWidth="1"/>
    <col min="5640" max="5642" width="7.15234375" style="90" customWidth="1"/>
    <col min="5643" max="5886" width="9.15234375" style="90"/>
    <col min="5887" max="5887" width="33.15234375" style="90" bestFit="1" customWidth="1"/>
    <col min="5888" max="5890" width="7.15234375" style="90" customWidth="1"/>
    <col min="5891" max="5891" width="5" style="90" customWidth="1"/>
    <col min="5892" max="5894" width="7.15234375" style="90" customWidth="1"/>
    <col min="5895" max="5895" width="5" style="90" customWidth="1"/>
    <col min="5896" max="5898" width="7.15234375" style="90" customWidth="1"/>
    <col min="5899" max="6142" width="9.15234375" style="90"/>
    <col min="6143" max="6143" width="33.15234375" style="90" bestFit="1" customWidth="1"/>
    <col min="6144" max="6146" width="7.15234375" style="90" customWidth="1"/>
    <col min="6147" max="6147" width="5" style="90" customWidth="1"/>
    <col min="6148" max="6150" width="7.15234375" style="90" customWidth="1"/>
    <col min="6151" max="6151" width="5" style="90" customWidth="1"/>
    <col min="6152" max="6154" width="7.15234375" style="90" customWidth="1"/>
    <col min="6155" max="6398" width="9.15234375" style="90"/>
    <col min="6399" max="6399" width="33.15234375" style="90" bestFit="1" customWidth="1"/>
    <col min="6400" max="6402" width="7.15234375" style="90" customWidth="1"/>
    <col min="6403" max="6403" width="5" style="90" customWidth="1"/>
    <col min="6404" max="6406" width="7.15234375" style="90" customWidth="1"/>
    <col min="6407" max="6407" width="5" style="90" customWidth="1"/>
    <col min="6408" max="6410" width="7.15234375" style="90" customWidth="1"/>
    <col min="6411" max="6654" width="9.15234375" style="90"/>
    <col min="6655" max="6655" width="33.15234375" style="90" bestFit="1" customWidth="1"/>
    <col min="6656" max="6658" width="7.15234375" style="90" customWidth="1"/>
    <col min="6659" max="6659" width="5" style="90" customWidth="1"/>
    <col min="6660" max="6662" width="7.15234375" style="90" customWidth="1"/>
    <col min="6663" max="6663" width="5" style="90" customWidth="1"/>
    <col min="6664" max="6666" width="7.15234375" style="90" customWidth="1"/>
    <col min="6667" max="6910" width="9.15234375" style="90"/>
    <col min="6911" max="6911" width="33.15234375" style="90" bestFit="1" customWidth="1"/>
    <col min="6912" max="6914" width="7.15234375" style="90" customWidth="1"/>
    <col min="6915" max="6915" width="5" style="90" customWidth="1"/>
    <col min="6916" max="6918" width="7.15234375" style="90" customWidth="1"/>
    <col min="6919" max="6919" width="5" style="90" customWidth="1"/>
    <col min="6920" max="6922" width="7.15234375" style="90" customWidth="1"/>
    <col min="6923" max="7166" width="9.15234375" style="90"/>
    <col min="7167" max="7167" width="33.15234375" style="90" bestFit="1" customWidth="1"/>
    <col min="7168" max="7170" width="7.15234375" style="90" customWidth="1"/>
    <col min="7171" max="7171" width="5" style="90" customWidth="1"/>
    <col min="7172" max="7174" width="7.15234375" style="90" customWidth="1"/>
    <col min="7175" max="7175" width="5" style="90" customWidth="1"/>
    <col min="7176" max="7178" width="7.15234375" style="90" customWidth="1"/>
    <col min="7179" max="7422" width="9.15234375" style="90"/>
    <col min="7423" max="7423" width="33.15234375" style="90" bestFit="1" customWidth="1"/>
    <col min="7424" max="7426" width="7.15234375" style="90" customWidth="1"/>
    <col min="7427" max="7427" width="5" style="90" customWidth="1"/>
    <col min="7428" max="7430" width="7.15234375" style="90" customWidth="1"/>
    <col min="7431" max="7431" width="5" style="90" customWidth="1"/>
    <col min="7432" max="7434" width="7.15234375" style="90" customWidth="1"/>
    <col min="7435" max="7678" width="9.15234375" style="90"/>
    <col min="7679" max="7679" width="33.15234375" style="90" bestFit="1" customWidth="1"/>
    <col min="7680" max="7682" width="7.15234375" style="90" customWidth="1"/>
    <col min="7683" max="7683" width="5" style="90" customWidth="1"/>
    <col min="7684" max="7686" width="7.15234375" style="90" customWidth="1"/>
    <col min="7687" max="7687" width="5" style="90" customWidth="1"/>
    <col min="7688" max="7690" width="7.15234375" style="90" customWidth="1"/>
    <col min="7691" max="7934" width="9.15234375" style="90"/>
    <col min="7935" max="7935" width="33.15234375" style="90" bestFit="1" customWidth="1"/>
    <col min="7936" max="7938" width="7.15234375" style="90" customWidth="1"/>
    <col min="7939" max="7939" width="5" style="90" customWidth="1"/>
    <col min="7940" max="7942" width="7.15234375" style="90" customWidth="1"/>
    <col min="7943" max="7943" width="5" style="90" customWidth="1"/>
    <col min="7944" max="7946" width="7.15234375" style="90" customWidth="1"/>
    <col min="7947" max="8190" width="9.15234375" style="90"/>
    <col min="8191" max="8191" width="33.15234375" style="90" bestFit="1" customWidth="1"/>
    <col min="8192" max="8194" width="7.15234375" style="90" customWidth="1"/>
    <col min="8195" max="8195" width="5" style="90" customWidth="1"/>
    <col min="8196" max="8198" width="7.15234375" style="90" customWidth="1"/>
    <col min="8199" max="8199" width="5" style="90" customWidth="1"/>
    <col min="8200" max="8202" width="7.15234375" style="90" customWidth="1"/>
    <col min="8203" max="8446" width="9.15234375" style="90"/>
    <col min="8447" max="8447" width="33.15234375" style="90" bestFit="1" customWidth="1"/>
    <col min="8448" max="8450" width="7.15234375" style="90" customWidth="1"/>
    <col min="8451" max="8451" width="5" style="90" customWidth="1"/>
    <col min="8452" max="8454" width="7.15234375" style="90" customWidth="1"/>
    <col min="8455" max="8455" width="5" style="90" customWidth="1"/>
    <col min="8456" max="8458" width="7.15234375" style="90" customWidth="1"/>
    <col min="8459" max="8702" width="9.15234375" style="90"/>
    <col min="8703" max="8703" width="33.15234375" style="90" bestFit="1" customWidth="1"/>
    <col min="8704" max="8706" width="7.15234375" style="90" customWidth="1"/>
    <col min="8707" max="8707" width="5" style="90" customWidth="1"/>
    <col min="8708" max="8710" width="7.15234375" style="90" customWidth="1"/>
    <col min="8711" max="8711" width="5" style="90" customWidth="1"/>
    <col min="8712" max="8714" width="7.15234375" style="90" customWidth="1"/>
    <col min="8715" max="8958" width="9.15234375" style="90"/>
    <col min="8959" max="8959" width="33.15234375" style="90" bestFit="1" customWidth="1"/>
    <col min="8960" max="8962" width="7.15234375" style="90" customWidth="1"/>
    <col min="8963" max="8963" width="5" style="90" customWidth="1"/>
    <col min="8964" max="8966" width="7.15234375" style="90" customWidth="1"/>
    <col min="8967" max="8967" width="5" style="90" customWidth="1"/>
    <col min="8968" max="8970" width="7.15234375" style="90" customWidth="1"/>
    <col min="8971" max="9214" width="9.15234375" style="90"/>
    <col min="9215" max="9215" width="33.15234375" style="90" bestFit="1" customWidth="1"/>
    <col min="9216" max="9218" width="7.15234375" style="90" customWidth="1"/>
    <col min="9219" max="9219" width="5" style="90" customWidth="1"/>
    <col min="9220" max="9222" width="7.15234375" style="90" customWidth="1"/>
    <col min="9223" max="9223" width="5" style="90" customWidth="1"/>
    <col min="9224" max="9226" width="7.15234375" style="90" customWidth="1"/>
    <col min="9227" max="9470" width="9.15234375" style="90"/>
    <col min="9471" max="9471" width="33.15234375" style="90" bestFit="1" customWidth="1"/>
    <col min="9472" max="9474" width="7.15234375" style="90" customWidth="1"/>
    <col min="9475" max="9475" width="5" style="90" customWidth="1"/>
    <col min="9476" max="9478" width="7.15234375" style="90" customWidth="1"/>
    <col min="9479" max="9479" width="5" style="90" customWidth="1"/>
    <col min="9480" max="9482" width="7.15234375" style="90" customWidth="1"/>
    <col min="9483" max="9726" width="9.15234375" style="90"/>
    <col min="9727" max="9727" width="33.15234375" style="90" bestFit="1" customWidth="1"/>
    <col min="9728" max="9730" width="7.15234375" style="90" customWidth="1"/>
    <col min="9731" max="9731" width="5" style="90" customWidth="1"/>
    <col min="9732" max="9734" width="7.15234375" style="90" customWidth="1"/>
    <col min="9735" max="9735" width="5" style="90" customWidth="1"/>
    <col min="9736" max="9738" width="7.15234375" style="90" customWidth="1"/>
    <col min="9739" max="9982" width="9.15234375" style="90"/>
    <col min="9983" max="9983" width="33.15234375" style="90" bestFit="1" customWidth="1"/>
    <col min="9984" max="9986" width="7.15234375" style="90" customWidth="1"/>
    <col min="9987" max="9987" width="5" style="90" customWidth="1"/>
    <col min="9988" max="9990" width="7.15234375" style="90" customWidth="1"/>
    <col min="9991" max="9991" width="5" style="90" customWidth="1"/>
    <col min="9992" max="9994" width="7.15234375" style="90" customWidth="1"/>
    <col min="9995" max="10238" width="9.15234375" style="90"/>
    <col min="10239" max="10239" width="33.15234375" style="90" bestFit="1" customWidth="1"/>
    <col min="10240" max="10242" width="7.15234375" style="90" customWidth="1"/>
    <col min="10243" max="10243" width="5" style="90" customWidth="1"/>
    <col min="10244" max="10246" width="7.15234375" style="90" customWidth="1"/>
    <col min="10247" max="10247" width="5" style="90" customWidth="1"/>
    <col min="10248" max="10250" width="7.15234375" style="90" customWidth="1"/>
    <col min="10251" max="10494" width="9.15234375" style="90"/>
    <col min="10495" max="10495" width="33.15234375" style="90" bestFit="1" customWidth="1"/>
    <col min="10496" max="10498" width="7.15234375" style="90" customWidth="1"/>
    <col min="10499" max="10499" width="5" style="90" customWidth="1"/>
    <col min="10500" max="10502" width="7.15234375" style="90" customWidth="1"/>
    <col min="10503" max="10503" width="5" style="90" customWidth="1"/>
    <col min="10504" max="10506" width="7.15234375" style="90" customWidth="1"/>
    <col min="10507" max="10750" width="9.15234375" style="90"/>
    <col min="10751" max="10751" width="33.15234375" style="90" bestFit="1" customWidth="1"/>
    <col min="10752" max="10754" width="7.15234375" style="90" customWidth="1"/>
    <col min="10755" max="10755" width="5" style="90" customWidth="1"/>
    <col min="10756" max="10758" width="7.15234375" style="90" customWidth="1"/>
    <col min="10759" max="10759" width="5" style="90" customWidth="1"/>
    <col min="10760" max="10762" width="7.15234375" style="90" customWidth="1"/>
    <col min="10763" max="11006" width="9.15234375" style="90"/>
    <col min="11007" max="11007" width="33.15234375" style="90" bestFit="1" customWidth="1"/>
    <col min="11008" max="11010" width="7.15234375" style="90" customWidth="1"/>
    <col min="11011" max="11011" width="5" style="90" customWidth="1"/>
    <col min="11012" max="11014" width="7.15234375" style="90" customWidth="1"/>
    <col min="11015" max="11015" width="5" style="90" customWidth="1"/>
    <col min="11016" max="11018" width="7.15234375" style="90" customWidth="1"/>
    <col min="11019" max="11262" width="9.15234375" style="90"/>
    <col min="11263" max="11263" width="33.15234375" style="90" bestFit="1" customWidth="1"/>
    <col min="11264" max="11266" width="7.15234375" style="90" customWidth="1"/>
    <col min="11267" max="11267" width="5" style="90" customWidth="1"/>
    <col min="11268" max="11270" width="7.15234375" style="90" customWidth="1"/>
    <col min="11271" max="11271" width="5" style="90" customWidth="1"/>
    <col min="11272" max="11274" width="7.15234375" style="90" customWidth="1"/>
    <col min="11275" max="11518" width="9.15234375" style="90"/>
    <col min="11519" max="11519" width="33.15234375" style="90" bestFit="1" customWidth="1"/>
    <col min="11520" max="11522" width="7.15234375" style="90" customWidth="1"/>
    <col min="11523" max="11523" width="5" style="90" customWidth="1"/>
    <col min="11524" max="11526" width="7.15234375" style="90" customWidth="1"/>
    <col min="11527" max="11527" width="5" style="90" customWidth="1"/>
    <col min="11528" max="11530" width="7.15234375" style="90" customWidth="1"/>
    <col min="11531" max="11774" width="9.15234375" style="90"/>
    <col min="11775" max="11775" width="33.15234375" style="90" bestFit="1" customWidth="1"/>
    <col min="11776" max="11778" width="7.15234375" style="90" customWidth="1"/>
    <col min="11779" max="11779" width="5" style="90" customWidth="1"/>
    <col min="11780" max="11782" width="7.15234375" style="90" customWidth="1"/>
    <col min="11783" max="11783" width="5" style="90" customWidth="1"/>
    <col min="11784" max="11786" width="7.15234375" style="90" customWidth="1"/>
    <col min="11787" max="12030" width="9.15234375" style="90"/>
    <col min="12031" max="12031" width="33.15234375" style="90" bestFit="1" customWidth="1"/>
    <col min="12032" max="12034" width="7.15234375" style="90" customWidth="1"/>
    <col min="12035" max="12035" width="5" style="90" customWidth="1"/>
    <col min="12036" max="12038" width="7.15234375" style="90" customWidth="1"/>
    <col min="12039" max="12039" width="5" style="90" customWidth="1"/>
    <col min="12040" max="12042" width="7.15234375" style="90" customWidth="1"/>
    <col min="12043" max="12286" width="9.15234375" style="90"/>
    <col min="12287" max="12287" width="33.15234375" style="90" bestFit="1" customWidth="1"/>
    <col min="12288" max="12290" width="7.15234375" style="90" customWidth="1"/>
    <col min="12291" max="12291" width="5" style="90" customWidth="1"/>
    <col min="12292" max="12294" width="7.15234375" style="90" customWidth="1"/>
    <col min="12295" max="12295" width="5" style="90" customWidth="1"/>
    <col min="12296" max="12298" width="7.15234375" style="90" customWidth="1"/>
    <col min="12299" max="12542" width="9.15234375" style="90"/>
    <col min="12543" max="12543" width="33.15234375" style="90" bestFit="1" customWidth="1"/>
    <col min="12544" max="12546" width="7.15234375" style="90" customWidth="1"/>
    <col min="12547" max="12547" width="5" style="90" customWidth="1"/>
    <col min="12548" max="12550" width="7.15234375" style="90" customWidth="1"/>
    <col min="12551" max="12551" width="5" style="90" customWidth="1"/>
    <col min="12552" max="12554" width="7.15234375" style="90" customWidth="1"/>
    <col min="12555" max="12798" width="9.15234375" style="90"/>
    <col min="12799" max="12799" width="33.15234375" style="90" bestFit="1" customWidth="1"/>
    <col min="12800" max="12802" width="7.15234375" style="90" customWidth="1"/>
    <col min="12803" max="12803" width="5" style="90" customWidth="1"/>
    <col min="12804" max="12806" width="7.15234375" style="90" customWidth="1"/>
    <col min="12807" max="12807" width="5" style="90" customWidth="1"/>
    <col min="12808" max="12810" width="7.15234375" style="90" customWidth="1"/>
    <col min="12811" max="13054" width="9.15234375" style="90"/>
    <col min="13055" max="13055" width="33.15234375" style="90" bestFit="1" customWidth="1"/>
    <col min="13056" max="13058" width="7.15234375" style="90" customWidth="1"/>
    <col min="13059" max="13059" width="5" style="90" customWidth="1"/>
    <col min="13060" max="13062" width="7.15234375" style="90" customWidth="1"/>
    <col min="13063" max="13063" width="5" style="90" customWidth="1"/>
    <col min="13064" max="13066" width="7.15234375" style="90" customWidth="1"/>
    <col min="13067" max="13310" width="9.15234375" style="90"/>
    <col min="13311" max="13311" width="33.15234375" style="90" bestFit="1" customWidth="1"/>
    <col min="13312" max="13314" width="7.15234375" style="90" customWidth="1"/>
    <col min="13315" max="13315" width="5" style="90" customWidth="1"/>
    <col min="13316" max="13318" width="7.15234375" style="90" customWidth="1"/>
    <col min="13319" max="13319" width="5" style="90" customWidth="1"/>
    <col min="13320" max="13322" width="7.15234375" style="90" customWidth="1"/>
    <col min="13323" max="13566" width="9.15234375" style="90"/>
    <col min="13567" max="13567" width="33.15234375" style="90" bestFit="1" customWidth="1"/>
    <col min="13568" max="13570" width="7.15234375" style="90" customWidth="1"/>
    <col min="13571" max="13571" width="5" style="90" customWidth="1"/>
    <col min="13572" max="13574" width="7.15234375" style="90" customWidth="1"/>
    <col min="13575" max="13575" width="5" style="90" customWidth="1"/>
    <col min="13576" max="13578" width="7.15234375" style="90" customWidth="1"/>
    <col min="13579" max="13822" width="9.15234375" style="90"/>
    <col min="13823" max="13823" width="33.15234375" style="90" bestFit="1" customWidth="1"/>
    <col min="13824" max="13826" width="7.15234375" style="90" customWidth="1"/>
    <col min="13827" max="13827" width="5" style="90" customWidth="1"/>
    <col min="13828" max="13830" width="7.15234375" style="90" customWidth="1"/>
    <col min="13831" max="13831" width="5" style="90" customWidth="1"/>
    <col min="13832" max="13834" width="7.15234375" style="90" customWidth="1"/>
    <col min="13835" max="14078" width="9.15234375" style="90"/>
    <col min="14079" max="14079" width="33.15234375" style="90" bestFit="1" customWidth="1"/>
    <col min="14080" max="14082" width="7.15234375" style="90" customWidth="1"/>
    <col min="14083" max="14083" width="5" style="90" customWidth="1"/>
    <col min="14084" max="14086" width="7.15234375" style="90" customWidth="1"/>
    <col min="14087" max="14087" width="5" style="90" customWidth="1"/>
    <col min="14088" max="14090" width="7.15234375" style="90" customWidth="1"/>
    <col min="14091" max="14334" width="9.15234375" style="90"/>
    <col min="14335" max="14335" width="33.15234375" style="90" bestFit="1" customWidth="1"/>
    <col min="14336" max="14338" width="7.15234375" style="90" customWidth="1"/>
    <col min="14339" max="14339" width="5" style="90" customWidth="1"/>
    <col min="14340" max="14342" width="7.15234375" style="90" customWidth="1"/>
    <col min="14343" max="14343" width="5" style="90" customWidth="1"/>
    <col min="14344" max="14346" width="7.15234375" style="90" customWidth="1"/>
    <col min="14347" max="14590" width="9.15234375" style="90"/>
    <col min="14591" max="14591" width="33.15234375" style="90" bestFit="1" customWidth="1"/>
    <col min="14592" max="14594" width="7.15234375" style="90" customWidth="1"/>
    <col min="14595" max="14595" width="5" style="90" customWidth="1"/>
    <col min="14596" max="14598" width="7.15234375" style="90" customWidth="1"/>
    <col min="14599" max="14599" width="5" style="90" customWidth="1"/>
    <col min="14600" max="14602" width="7.15234375" style="90" customWidth="1"/>
    <col min="14603" max="14846" width="9.15234375" style="90"/>
    <col min="14847" max="14847" width="33.15234375" style="90" bestFit="1" customWidth="1"/>
    <col min="14848" max="14850" width="7.15234375" style="90" customWidth="1"/>
    <col min="14851" max="14851" width="5" style="90" customWidth="1"/>
    <col min="14852" max="14854" width="7.15234375" style="90" customWidth="1"/>
    <col min="14855" max="14855" width="5" style="90" customWidth="1"/>
    <col min="14856" max="14858" width="7.15234375" style="90" customWidth="1"/>
    <col min="14859" max="15102" width="9.15234375" style="90"/>
    <col min="15103" max="15103" width="33.15234375" style="90" bestFit="1" customWidth="1"/>
    <col min="15104" max="15106" width="7.15234375" style="90" customWidth="1"/>
    <col min="15107" max="15107" width="5" style="90" customWidth="1"/>
    <col min="15108" max="15110" width="7.15234375" style="90" customWidth="1"/>
    <col min="15111" max="15111" width="5" style="90" customWidth="1"/>
    <col min="15112" max="15114" width="7.15234375" style="90" customWidth="1"/>
    <col min="15115" max="15358" width="9.15234375" style="90"/>
    <col min="15359" max="15359" width="33.15234375" style="90" bestFit="1" customWidth="1"/>
    <col min="15360" max="15362" width="7.15234375" style="90" customWidth="1"/>
    <col min="15363" max="15363" width="5" style="90" customWidth="1"/>
    <col min="15364" max="15366" width="7.15234375" style="90" customWidth="1"/>
    <col min="15367" max="15367" width="5" style="90" customWidth="1"/>
    <col min="15368" max="15370" width="7.15234375" style="90" customWidth="1"/>
    <col min="15371" max="15614" width="9.15234375" style="90"/>
    <col min="15615" max="15615" width="33.15234375" style="90" bestFit="1" customWidth="1"/>
    <col min="15616" max="15618" width="7.15234375" style="90" customWidth="1"/>
    <col min="15619" max="15619" width="5" style="90" customWidth="1"/>
    <col min="15620" max="15622" width="7.15234375" style="90" customWidth="1"/>
    <col min="15623" max="15623" width="5" style="90" customWidth="1"/>
    <col min="15624" max="15626" width="7.15234375" style="90" customWidth="1"/>
    <col min="15627" max="15870" width="9.15234375" style="90"/>
    <col min="15871" max="15871" width="33.15234375" style="90" bestFit="1" customWidth="1"/>
    <col min="15872" max="15874" width="7.15234375" style="90" customWidth="1"/>
    <col min="15875" max="15875" width="5" style="90" customWidth="1"/>
    <col min="15876" max="15878" width="7.15234375" style="90" customWidth="1"/>
    <col min="15879" max="15879" width="5" style="90" customWidth="1"/>
    <col min="15880" max="15882" width="7.15234375" style="90" customWidth="1"/>
    <col min="15883" max="16126" width="9.15234375" style="90"/>
    <col min="16127" max="16127" width="33.15234375" style="90" bestFit="1" customWidth="1"/>
    <col min="16128" max="16130" width="7.15234375" style="90" customWidth="1"/>
    <col min="16131" max="16131" width="5" style="90" customWidth="1"/>
    <col min="16132" max="16134" width="7.15234375" style="90" customWidth="1"/>
    <col min="16135" max="16135" width="5" style="90" customWidth="1"/>
    <col min="16136" max="16138" width="7.15234375" style="90" customWidth="1"/>
    <col min="16139" max="16384" width="9.15234375" style="90"/>
  </cols>
  <sheetData>
    <row r="1" spans="1:25" ht="15.45" x14ac:dyDescent="0.4">
      <c r="A1" s="18" t="str">
        <f>CONCATENATE("Occupation Table 4  Occuptation composition (SOC2020) by gender, ",B$6,"-",J$6,", ",Info!B5)</f>
        <v>Occupation Table 4  Occuptation composition (SOC2020) by gender, 2015-2035, East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5" x14ac:dyDescent="0.3">
      <c r="A2" s="181" t="s">
        <v>539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5" ht="12.9" x14ac:dyDescent="0.35">
      <c r="B3" s="121"/>
      <c r="D3" s="121"/>
      <c r="F3" s="121"/>
      <c r="H3" s="121"/>
      <c r="J3" s="121"/>
      <c r="K3" s="236"/>
      <c r="L3" s="248"/>
      <c r="M3" s="236"/>
    </row>
    <row r="4" spans="1:25" x14ac:dyDescent="0.3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35</v>
      </c>
      <c r="M4" s="236"/>
      <c r="N4" s="91"/>
      <c r="O4" s="91"/>
      <c r="P4" s="91"/>
      <c r="Q4" s="91"/>
      <c r="R4" s="91"/>
      <c r="S4" s="91"/>
      <c r="T4" s="91" t="s">
        <v>380</v>
      </c>
      <c r="U4" s="91"/>
    </row>
    <row r="5" spans="1:25" x14ac:dyDescent="0.3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5" ht="14.25" customHeight="1" x14ac:dyDescent="0.35">
      <c r="A6" s="241" t="s">
        <v>0</v>
      </c>
      <c r="B6" s="373">
        <v>2015</v>
      </c>
      <c r="C6" s="374"/>
      <c r="D6" s="374"/>
      <c r="E6" s="325"/>
      <c r="F6" s="373">
        <v>2020</v>
      </c>
      <c r="G6" s="374"/>
      <c r="H6" s="374"/>
      <c r="I6" s="325"/>
      <c r="J6" s="373">
        <v>2035</v>
      </c>
      <c r="K6" s="374"/>
      <c r="L6" s="374"/>
      <c r="M6" s="324"/>
      <c r="N6" s="374" t="s">
        <v>99</v>
      </c>
      <c r="O6" s="374"/>
      <c r="P6" s="326"/>
      <c r="Q6" s="374" t="s">
        <v>98</v>
      </c>
      <c r="R6" s="374"/>
      <c r="S6" s="326"/>
      <c r="T6" s="374" t="s">
        <v>32</v>
      </c>
      <c r="U6" s="374"/>
    </row>
    <row r="7" spans="1:25" ht="15" customHeight="1" x14ac:dyDescent="0.3">
      <c r="A7" s="252"/>
      <c r="B7" s="245" t="s">
        <v>352</v>
      </c>
      <c r="C7" s="245" t="s">
        <v>353</v>
      </c>
      <c r="D7" s="245" t="s">
        <v>32</v>
      </c>
      <c r="E7" s="245"/>
      <c r="F7" s="245" t="s">
        <v>352</v>
      </c>
      <c r="G7" s="245" t="s">
        <v>353</v>
      </c>
      <c r="H7" s="245" t="s">
        <v>32</v>
      </c>
      <c r="I7" s="245"/>
      <c r="J7" s="245" t="s">
        <v>352</v>
      </c>
      <c r="K7" s="245" t="s">
        <v>353</v>
      </c>
      <c r="L7" s="245" t="s">
        <v>32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79"/>
      <c r="T7" s="321" t="str">
        <f>CONCATENATE(B6,"-",RIGHT(F6,2))</f>
        <v>2015-20</v>
      </c>
      <c r="U7" s="321" t="str">
        <f>CONCATENATE(F6,"-",RIGHT(J6,2))</f>
        <v>2020-35</v>
      </c>
    </row>
    <row r="8" spans="1:25" x14ac:dyDescent="0.3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5" x14ac:dyDescent="0.3">
      <c r="A9" s="329" t="str">
        <f>name!D4</f>
        <v>11 Corporate managers and directors</v>
      </c>
      <c r="B9" s="330">
        <v>62.898311682966295</v>
      </c>
      <c r="C9" s="330">
        <v>152.17344731844599</v>
      </c>
      <c r="D9" s="330">
        <f>SUM(B9:C9)</f>
        <v>215.07175900141229</v>
      </c>
      <c r="E9" s="331"/>
      <c r="F9" s="330">
        <v>83.435331918849499</v>
      </c>
      <c r="G9" s="330">
        <v>172.98494259895583</v>
      </c>
      <c r="H9" s="330">
        <f>SUM(F9:G9)</f>
        <v>256.4202745178053</v>
      </c>
      <c r="I9" s="331"/>
      <c r="J9" s="330">
        <v>100.28993677055635</v>
      </c>
      <c r="K9" s="330">
        <v>168.08260187035154</v>
      </c>
      <c r="L9" s="330">
        <f>SUM(J9:K9)</f>
        <v>268.37253864090792</v>
      </c>
      <c r="M9" s="236"/>
      <c r="N9" s="328">
        <f>IF(B9&gt;0,(EXP(LN(F9/B9)/($F$6-$B$6))-1)*100,0)</f>
        <v>5.8137734014130249</v>
      </c>
      <c r="O9" s="328">
        <f>IF(F9&gt;0,(EXP(LN(J9/F9)/($J$6-$F$6))-1)*100,0)</f>
        <v>1.2341771770020049</v>
      </c>
      <c r="P9" s="328"/>
      <c r="Q9" s="328">
        <f>IF(C9&gt;0,(EXP(LN(G9/C9)/($F$6-$B$6))-1)*100,0)</f>
        <v>2.5968163488600204</v>
      </c>
      <c r="R9" s="328">
        <f>IF(G9&gt;0,(EXP(LN(K9/G9)/($J$6-$F$6))-1)*100,0)</f>
        <v>-0.19147656488724962</v>
      </c>
      <c r="S9" s="327"/>
      <c r="T9" s="328">
        <f>IF(D9&gt;0,(EXP(LN(H9/D9)/($F$6-$B$6))-1)*100,0)</f>
        <v>3.5794963005087554</v>
      </c>
      <c r="U9" s="328">
        <f>IF(H9&gt;0,(EXP(LN(L9/H9)/($J$6-$F$6))-1)*100,0)</f>
        <v>0.30418362976782909</v>
      </c>
      <c r="W9" s="93"/>
      <c r="X9" s="93"/>
      <c r="Y9" s="93"/>
    </row>
    <row r="10" spans="1:25" x14ac:dyDescent="0.3">
      <c r="A10" s="329" t="str">
        <f>name!D5</f>
        <v>12 Other managers and proprietors</v>
      </c>
      <c r="B10" s="330">
        <v>40.824400642860688</v>
      </c>
      <c r="C10" s="330">
        <v>61.403052388524266</v>
      </c>
      <c r="D10" s="330">
        <f t="shared" ref="D10:D34" si="0">SUM(B10:C10)</f>
        <v>102.22745303138495</v>
      </c>
      <c r="E10" s="331"/>
      <c r="F10" s="330">
        <v>46.624951645745739</v>
      </c>
      <c r="G10" s="330">
        <v>61.830377944235373</v>
      </c>
      <c r="H10" s="330">
        <f t="shared" ref="H10:H34" si="1">SUM(F10:G10)</f>
        <v>108.45532958998112</v>
      </c>
      <c r="I10" s="331"/>
      <c r="J10" s="330">
        <v>66.337253129716359</v>
      </c>
      <c r="K10" s="330">
        <v>91.343284545706183</v>
      </c>
      <c r="L10" s="330">
        <f t="shared" ref="L10:L34" si="2">SUM(J10:K10)</f>
        <v>157.68053767542256</v>
      </c>
      <c r="M10" s="236"/>
      <c r="N10" s="328">
        <f t="shared" ref="N10:N36" si="3">IF(B10&gt;0,(EXP(LN(F10/B10)/($F$6-$B$6))-1)*100,0)</f>
        <v>2.6927337909475657</v>
      </c>
      <c r="O10" s="328">
        <f t="shared" ref="O10:O36" si="4">IF(F10&gt;0,(EXP(LN(J10/F10)/($J$6-$F$6))-1)*100,0)</f>
        <v>2.3786203379396742</v>
      </c>
      <c r="P10" s="328"/>
      <c r="Q10" s="328">
        <f t="shared" ref="Q10:Q36" si="5">IF(C10&gt;0,(EXP(LN(G10/C10)/($F$6-$B$6))-1)*100,0)</f>
        <v>0.13880122188003607</v>
      </c>
      <c r="R10" s="328">
        <f t="shared" ref="R10:R36" si="6">IF(G10&gt;0,(EXP(LN(K10/G10)/($J$6-$F$6))-1)*100,0)</f>
        <v>2.6356683801950442</v>
      </c>
      <c r="S10" s="327"/>
      <c r="T10" s="328">
        <f t="shared" ref="T10:T36" si="7">IF(D10&gt;0,(EXP(LN(H10/D10)/($F$6-$B$6))-1)*100,0)</f>
        <v>1.1897846321343275</v>
      </c>
      <c r="U10" s="328">
        <f t="shared" ref="U10:U36" si="8">IF(H10&gt;0,(EXP(LN(L10/H10)/($J$6-$F$6))-1)*100,0)</f>
        <v>2.5262673128388924</v>
      </c>
    </row>
    <row r="11" spans="1:25" x14ac:dyDescent="0.3">
      <c r="A11" s="329" t="str">
        <f>name!D6</f>
        <v>21 Science, research, engineering and technology professionals</v>
      </c>
      <c r="B11" s="330">
        <v>36.393075287226146</v>
      </c>
      <c r="C11" s="330">
        <v>150.02177422043576</v>
      </c>
      <c r="D11" s="330">
        <f t="shared" si="0"/>
        <v>186.4148495076619</v>
      </c>
      <c r="E11" s="331"/>
      <c r="F11" s="330">
        <v>48.553363120021771</v>
      </c>
      <c r="G11" s="330">
        <v>170.72669122283156</v>
      </c>
      <c r="H11" s="330">
        <f t="shared" si="1"/>
        <v>219.28005434285333</v>
      </c>
      <c r="I11" s="331"/>
      <c r="J11" s="330">
        <v>69.054862024796279</v>
      </c>
      <c r="K11" s="330">
        <v>189.99632295157582</v>
      </c>
      <c r="L11" s="330">
        <f t="shared" si="2"/>
        <v>259.0511849763721</v>
      </c>
      <c r="M11" s="236"/>
      <c r="N11" s="328">
        <f t="shared" si="3"/>
        <v>5.9351564445334404</v>
      </c>
      <c r="O11" s="328">
        <f t="shared" si="4"/>
        <v>2.3760407092544789</v>
      </c>
      <c r="P11" s="328"/>
      <c r="Q11" s="328">
        <f t="shared" si="5"/>
        <v>2.6193891718954587</v>
      </c>
      <c r="R11" s="328">
        <f t="shared" si="6"/>
        <v>0.71548570954067525</v>
      </c>
      <c r="S11" s="327"/>
      <c r="T11" s="328">
        <f t="shared" si="7"/>
        <v>3.3008095717166563</v>
      </c>
      <c r="U11" s="328">
        <f t="shared" si="8"/>
        <v>1.1173695766667269</v>
      </c>
    </row>
    <row r="12" spans="1:25" x14ac:dyDescent="0.3">
      <c r="A12" s="329" t="str">
        <f>name!D7</f>
        <v>22 Health professionals</v>
      </c>
      <c r="B12" s="330">
        <v>72.515427892403807</v>
      </c>
      <c r="C12" s="330">
        <v>28.77547663122294</v>
      </c>
      <c r="D12" s="330">
        <f t="shared" si="0"/>
        <v>101.29090452362675</v>
      </c>
      <c r="E12" s="331"/>
      <c r="F12" s="330">
        <v>87.440561764701499</v>
      </c>
      <c r="G12" s="330">
        <v>31.855153655621528</v>
      </c>
      <c r="H12" s="330">
        <f t="shared" si="1"/>
        <v>119.29571542032303</v>
      </c>
      <c r="I12" s="331"/>
      <c r="J12" s="330">
        <v>106.12705570352759</v>
      </c>
      <c r="K12" s="330">
        <v>39.154259729896829</v>
      </c>
      <c r="L12" s="330">
        <f t="shared" si="2"/>
        <v>145.28131543342442</v>
      </c>
      <c r="M12" s="236"/>
      <c r="N12" s="328">
        <f t="shared" si="3"/>
        <v>3.8141386674132027</v>
      </c>
      <c r="O12" s="328">
        <f t="shared" si="4"/>
        <v>1.2995567635723848</v>
      </c>
      <c r="P12" s="328"/>
      <c r="Q12" s="328">
        <f t="shared" si="5"/>
        <v>2.0543299563780648</v>
      </c>
      <c r="R12" s="328">
        <f t="shared" si="6"/>
        <v>1.3849024287609701</v>
      </c>
      <c r="S12" s="327"/>
      <c r="T12" s="328">
        <f t="shared" si="7"/>
        <v>3.3263002992038659</v>
      </c>
      <c r="U12" s="328">
        <f t="shared" si="8"/>
        <v>1.3224450025044465</v>
      </c>
    </row>
    <row r="13" spans="1:25" x14ac:dyDescent="0.3">
      <c r="A13" s="329" t="str">
        <f>name!D8</f>
        <v>23 Teaching and other educational professionals</v>
      </c>
      <c r="B13" s="330">
        <v>82.864012504982583</v>
      </c>
      <c r="C13" s="330">
        <v>45.697424707911964</v>
      </c>
      <c r="D13" s="330">
        <f t="shared" si="0"/>
        <v>128.56143721289453</v>
      </c>
      <c r="E13" s="331"/>
      <c r="F13" s="330">
        <v>102.36443166291744</v>
      </c>
      <c r="G13" s="330">
        <v>48.614165247228179</v>
      </c>
      <c r="H13" s="330">
        <f t="shared" si="1"/>
        <v>150.97859691014563</v>
      </c>
      <c r="I13" s="331"/>
      <c r="J13" s="330">
        <v>113.77872548866561</v>
      </c>
      <c r="K13" s="330">
        <v>56.019490291550916</v>
      </c>
      <c r="L13" s="330">
        <f t="shared" si="2"/>
        <v>169.79821578021654</v>
      </c>
      <c r="M13" s="236"/>
      <c r="N13" s="328">
        <f t="shared" si="3"/>
        <v>4.31736874232862</v>
      </c>
      <c r="O13" s="328">
        <f t="shared" si="4"/>
        <v>0.70726440049677652</v>
      </c>
      <c r="P13" s="328"/>
      <c r="Q13" s="328">
        <f t="shared" si="5"/>
        <v>1.2451484238062305</v>
      </c>
      <c r="R13" s="328">
        <f t="shared" si="6"/>
        <v>0.94971286570770808</v>
      </c>
      <c r="S13" s="327"/>
      <c r="T13" s="328">
        <f t="shared" si="7"/>
        <v>3.2668508354085635</v>
      </c>
      <c r="U13" s="328">
        <f t="shared" si="8"/>
        <v>0.78622586089194257</v>
      </c>
    </row>
    <row r="14" spans="1:25" x14ac:dyDescent="0.3">
      <c r="A14" s="329" t="str">
        <f>name!D9</f>
        <v>24 Business, media and public service professionals</v>
      </c>
      <c r="B14" s="330">
        <v>67.256178942276037</v>
      </c>
      <c r="C14" s="330">
        <v>102.7809275400225</v>
      </c>
      <c r="D14" s="330">
        <f t="shared" si="0"/>
        <v>170.03710648229855</v>
      </c>
      <c r="E14" s="331"/>
      <c r="F14" s="330">
        <v>92.744082328855939</v>
      </c>
      <c r="G14" s="330">
        <v>122.51873655515763</v>
      </c>
      <c r="H14" s="330">
        <f t="shared" si="1"/>
        <v>215.26281888401357</v>
      </c>
      <c r="I14" s="331"/>
      <c r="J14" s="330">
        <v>122.81997977069315</v>
      </c>
      <c r="K14" s="330">
        <v>154.37457535257701</v>
      </c>
      <c r="L14" s="330">
        <f t="shared" si="2"/>
        <v>277.19455512327016</v>
      </c>
      <c r="M14" s="236"/>
      <c r="N14" s="328">
        <f t="shared" si="3"/>
        <v>6.6377083995325714</v>
      </c>
      <c r="O14" s="328">
        <f t="shared" si="4"/>
        <v>1.890146702380302</v>
      </c>
      <c r="P14" s="328"/>
      <c r="Q14" s="328">
        <f t="shared" si="5"/>
        <v>3.5757282143707103</v>
      </c>
      <c r="R14" s="328">
        <f t="shared" si="6"/>
        <v>1.5527178954659604</v>
      </c>
      <c r="S14" s="327"/>
      <c r="T14" s="328">
        <f t="shared" si="7"/>
        <v>4.8298739097846433</v>
      </c>
      <c r="U14" s="328">
        <f t="shared" si="8"/>
        <v>1.7000215177650047</v>
      </c>
    </row>
    <row r="15" spans="1:25" x14ac:dyDescent="0.3">
      <c r="A15" s="329" t="str">
        <f>name!D10</f>
        <v>31 Science, engineering and technology associate professionals</v>
      </c>
      <c r="B15" s="330">
        <v>14.623054682603126</v>
      </c>
      <c r="C15" s="330">
        <v>37.293173128258822</v>
      </c>
      <c r="D15" s="330">
        <f t="shared" si="0"/>
        <v>51.916227810861947</v>
      </c>
      <c r="E15" s="331"/>
      <c r="F15" s="330">
        <v>18.939979489123175</v>
      </c>
      <c r="G15" s="330">
        <v>47.722010404448028</v>
      </c>
      <c r="H15" s="330">
        <f t="shared" si="1"/>
        <v>66.661989893571203</v>
      </c>
      <c r="I15" s="331"/>
      <c r="J15" s="330">
        <v>23.268203374077732</v>
      </c>
      <c r="K15" s="330">
        <v>41.108889627217472</v>
      </c>
      <c r="L15" s="330">
        <f t="shared" si="2"/>
        <v>64.377093001295208</v>
      </c>
      <c r="M15" s="236"/>
      <c r="N15" s="328">
        <f t="shared" si="3"/>
        <v>5.3096768394918392</v>
      </c>
      <c r="O15" s="328">
        <f t="shared" si="4"/>
        <v>1.3815413652310093</v>
      </c>
      <c r="P15" s="328"/>
      <c r="Q15" s="328">
        <f t="shared" si="5"/>
        <v>5.055278583344891</v>
      </c>
      <c r="R15" s="328">
        <f t="shared" si="6"/>
        <v>-0.98952720611780176</v>
      </c>
      <c r="S15" s="327"/>
      <c r="T15" s="328">
        <f t="shared" si="7"/>
        <v>5.1271833935540689</v>
      </c>
      <c r="U15" s="328">
        <f t="shared" si="8"/>
        <v>-0.23224358115438992</v>
      </c>
    </row>
    <row r="16" spans="1:25" x14ac:dyDescent="0.3">
      <c r="A16" s="329" t="str">
        <f>name!D11</f>
        <v>32 Health and social care associate professionals</v>
      </c>
      <c r="B16" s="330">
        <v>34.62643398641918</v>
      </c>
      <c r="C16" s="330">
        <v>8.9661598524987358</v>
      </c>
      <c r="D16" s="330">
        <f t="shared" si="0"/>
        <v>43.592593838917914</v>
      </c>
      <c r="E16" s="331"/>
      <c r="F16" s="330">
        <v>43.061640998917738</v>
      </c>
      <c r="G16" s="330">
        <v>9.2320084954154122</v>
      </c>
      <c r="H16" s="330">
        <f t="shared" si="1"/>
        <v>52.293649494333152</v>
      </c>
      <c r="I16" s="331"/>
      <c r="J16" s="330">
        <v>51.103464927099857</v>
      </c>
      <c r="K16" s="330">
        <v>8.9656627242357771</v>
      </c>
      <c r="L16" s="330">
        <f t="shared" si="2"/>
        <v>60.069127651335634</v>
      </c>
      <c r="M16" s="236"/>
      <c r="N16" s="328">
        <f t="shared" si="3"/>
        <v>4.4567625690002499</v>
      </c>
      <c r="O16" s="328">
        <f t="shared" si="4"/>
        <v>1.1480042392827627</v>
      </c>
      <c r="P16" s="328"/>
      <c r="Q16" s="328">
        <f t="shared" si="5"/>
        <v>0.5860939623936412</v>
      </c>
      <c r="R16" s="328">
        <f t="shared" si="6"/>
        <v>-0.19497369318987046</v>
      </c>
      <c r="S16" s="327"/>
      <c r="T16" s="328">
        <f t="shared" si="7"/>
        <v>3.7068034208610712</v>
      </c>
      <c r="U16" s="328">
        <f t="shared" si="8"/>
        <v>0.92842394661138972</v>
      </c>
    </row>
    <row r="17" spans="1:21" x14ac:dyDescent="0.3">
      <c r="A17" s="329" t="str">
        <f>name!D12</f>
        <v>33 Protective service occupations</v>
      </c>
      <c r="B17" s="330">
        <v>7.7229137912423065</v>
      </c>
      <c r="C17" s="330">
        <v>22.294425880988165</v>
      </c>
      <c r="D17" s="330">
        <f t="shared" si="0"/>
        <v>30.01733967223047</v>
      </c>
      <c r="E17" s="331"/>
      <c r="F17" s="330">
        <v>9.4564711397405965</v>
      </c>
      <c r="G17" s="330">
        <v>22.407958093364833</v>
      </c>
      <c r="H17" s="330">
        <f t="shared" si="1"/>
        <v>31.86442923310543</v>
      </c>
      <c r="I17" s="331"/>
      <c r="J17" s="330">
        <v>17.886936838439279</v>
      </c>
      <c r="K17" s="330">
        <v>29.205060941031356</v>
      </c>
      <c r="L17" s="330">
        <f t="shared" si="2"/>
        <v>47.091997779470631</v>
      </c>
      <c r="M17" s="236"/>
      <c r="N17" s="328">
        <f t="shared" si="3"/>
        <v>4.1332883555208255</v>
      </c>
      <c r="O17" s="328">
        <f t="shared" si="4"/>
        <v>4.3407109259614218</v>
      </c>
      <c r="P17" s="328"/>
      <c r="Q17" s="328">
        <f t="shared" si="5"/>
        <v>0.10164124103659855</v>
      </c>
      <c r="R17" s="328">
        <f t="shared" si="6"/>
        <v>1.7818613613375112</v>
      </c>
      <c r="S17" s="327"/>
      <c r="T17" s="328">
        <f t="shared" si="7"/>
        <v>1.2014625222531716</v>
      </c>
      <c r="U17" s="328">
        <f t="shared" si="8"/>
        <v>2.6382876827930613</v>
      </c>
    </row>
    <row r="18" spans="1:21" x14ac:dyDescent="0.3">
      <c r="A18" s="329" t="str">
        <f>name!D13</f>
        <v>34 Culture, media and sports occupations</v>
      </c>
      <c r="B18" s="330">
        <v>27.637620806687028</v>
      </c>
      <c r="C18" s="330">
        <v>33.589176567719448</v>
      </c>
      <c r="D18" s="330">
        <f t="shared" si="0"/>
        <v>61.226797374406473</v>
      </c>
      <c r="E18" s="331"/>
      <c r="F18" s="330">
        <v>33.913143251572542</v>
      </c>
      <c r="G18" s="330">
        <v>38.852905287544729</v>
      </c>
      <c r="H18" s="330">
        <f t="shared" si="1"/>
        <v>72.766048539117264</v>
      </c>
      <c r="I18" s="331"/>
      <c r="J18" s="330">
        <v>34.411191407758238</v>
      </c>
      <c r="K18" s="330">
        <v>41.812864972684039</v>
      </c>
      <c r="L18" s="330">
        <f t="shared" si="2"/>
        <v>76.224056380442278</v>
      </c>
      <c r="M18" s="236"/>
      <c r="N18" s="328">
        <f t="shared" si="3"/>
        <v>4.1773912998298135</v>
      </c>
      <c r="O18" s="328">
        <f t="shared" si="4"/>
        <v>9.7241898023159301E-2</v>
      </c>
      <c r="P18" s="328"/>
      <c r="Q18" s="328">
        <f t="shared" si="5"/>
        <v>2.954380196683748</v>
      </c>
      <c r="R18" s="328">
        <f t="shared" si="6"/>
        <v>0.49067462083389746</v>
      </c>
      <c r="S18" s="327"/>
      <c r="T18" s="328">
        <f t="shared" si="7"/>
        <v>3.5136088124310572</v>
      </c>
      <c r="U18" s="328">
        <f t="shared" si="8"/>
        <v>0.3099970548429587</v>
      </c>
    </row>
    <row r="19" spans="1:21" x14ac:dyDescent="0.3">
      <c r="A19" s="329" t="str">
        <f>name!D14</f>
        <v>35 Business and public service associate professionals</v>
      </c>
      <c r="B19" s="330">
        <v>82.83891058228474</v>
      </c>
      <c r="C19" s="330">
        <v>99.399617825575248</v>
      </c>
      <c r="D19" s="330">
        <f t="shared" si="0"/>
        <v>182.23852840785997</v>
      </c>
      <c r="E19" s="331"/>
      <c r="F19" s="330">
        <v>94.405055647780898</v>
      </c>
      <c r="G19" s="330">
        <v>106.89539407612497</v>
      </c>
      <c r="H19" s="330">
        <f t="shared" si="1"/>
        <v>201.30044972390587</v>
      </c>
      <c r="I19" s="331"/>
      <c r="J19" s="330">
        <v>105.9516048045441</v>
      </c>
      <c r="K19" s="330">
        <v>101.29939459731952</v>
      </c>
      <c r="L19" s="330">
        <f t="shared" si="2"/>
        <v>207.25099940186362</v>
      </c>
      <c r="M19" s="236"/>
      <c r="N19" s="328">
        <f t="shared" si="3"/>
        <v>2.6483977352868449</v>
      </c>
      <c r="O19" s="328">
        <f t="shared" si="4"/>
        <v>0.77221837209531241</v>
      </c>
      <c r="P19" s="328"/>
      <c r="Q19" s="328">
        <f t="shared" si="5"/>
        <v>1.4646719595476254</v>
      </c>
      <c r="R19" s="328">
        <f t="shared" si="6"/>
        <v>-0.35782690763983549</v>
      </c>
      <c r="S19" s="327"/>
      <c r="T19" s="328">
        <f t="shared" si="7"/>
        <v>2.0095681633257589</v>
      </c>
      <c r="U19" s="328">
        <f t="shared" si="8"/>
        <v>0.19440237999985843</v>
      </c>
    </row>
    <row r="20" spans="1:21" x14ac:dyDescent="0.3">
      <c r="A20" s="329" t="str">
        <f>name!D15</f>
        <v>41 Administrative occupations</v>
      </c>
      <c r="B20" s="330">
        <v>191.61782063185575</v>
      </c>
      <c r="C20" s="330">
        <v>67.992282667501698</v>
      </c>
      <c r="D20" s="330">
        <f t="shared" si="0"/>
        <v>259.61010329935743</v>
      </c>
      <c r="E20" s="331"/>
      <c r="F20" s="330">
        <v>187.07151613261439</v>
      </c>
      <c r="G20" s="330">
        <v>74.684221776827158</v>
      </c>
      <c r="H20" s="330">
        <f t="shared" si="1"/>
        <v>261.75573790944156</v>
      </c>
      <c r="I20" s="331"/>
      <c r="J20" s="330">
        <v>150.27792600806833</v>
      </c>
      <c r="K20" s="330">
        <v>77.373496688736495</v>
      </c>
      <c r="L20" s="330">
        <f t="shared" si="2"/>
        <v>227.65142269680484</v>
      </c>
      <c r="M20" s="236"/>
      <c r="N20" s="328">
        <f t="shared" si="3"/>
        <v>-0.47908645855871956</v>
      </c>
      <c r="O20" s="328">
        <f t="shared" si="4"/>
        <v>-1.4494236605404609</v>
      </c>
      <c r="P20" s="328"/>
      <c r="Q20" s="328">
        <f t="shared" si="5"/>
        <v>1.8952285194892227</v>
      </c>
      <c r="R20" s="328">
        <f t="shared" si="6"/>
        <v>0.23611466787465396</v>
      </c>
      <c r="S20" s="327"/>
      <c r="T20" s="328">
        <f t="shared" si="7"/>
        <v>0.16475292984039491</v>
      </c>
      <c r="U20" s="328">
        <f t="shared" si="8"/>
        <v>-0.92632400249460511</v>
      </c>
    </row>
    <row r="21" spans="1:21" x14ac:dyDescent="0.3">
      <c r="A21" s="329" t="str">
        <f>name!D16</f>
        <v>42 Secretarial and related occupations</v>
      </c>
      <c r="B21" s="330">
        <v>71.264685310383143</v>
      </c>
      <c r="C21" s="330">
        <v>4.3754331538671893</v>
      </c>
      <c r="D21" s="330">
        <f t="shared" si="0"/>
        <v>75.640118464250335</v>
      </c>
      <c r="E21" s="331"/>
      <c r="F21" s="330">
        <v>65.729205345420411</v>
      </c>
      <c r="G21" s="330">
        <v>3.2255361851943984</v>
      </c>
      <c r="H21" s="330">
        <f t="shared" si="1"/>
        <v>68.954741530614811</v>
      </c>
      <c r="I21" s="331"/>
      <c r="J21" s="330">
        <v>47.682272491742147</v>
      </c>
      <c r="K21" s="330">
        <v>5.0211080101412691</v>
      </c>
      <c r="L21" s="330">
        <f t="shared" si="2"/>
        <v>52.703380501883416</v>
      </c>
      <c r="M21" s="236"/>
      <c r="N21" s="328">
        <f t="shared" si="3"/>
        <v>-1.6041454133110311</v>
      </c>
      <c r="O21" s="328">
        <f t="shared" si="4"/>
        <v>-2.1171579044743649</v>
      </c>
      <c r="P21" s="328"/>
      <c r="Q21" s="328">
        <f t="shared" si="5"/>
        <v>-5.9159133943160747</v>
      </c>
      <c r="R21" s="328">
        <f t="shared" si="6"/>
        <v>2.9942967009615629</v>
      </c>
      <c r="S21" s="327"/>
      <c r="T21" s="328">
        <f t="shared" si="7"/>
        <v>-1.8337079873401718</v>
      </c>
      <c r="U21" s="328">
        <f t="shared" si="8"/>
        <v>-1.775847755048976</v>
      </c>
    </row>
    <row r="22" spans="1:21" x14ac:dyDescent="0.3">
      <c r="A22" s="329" t="str">
        <f>name!D17</f>
        <v>51 Skilled agricultural and related trades</v>
      </c>
      <c r="B22" s="330">
        <v>5.8562087840332033</v>
      </c>
      <c r="C22" s="330">
        <v>33.271056662677012</v>
      </c>
      <c r="D22" s="330">
        <f t="shared" si="0"/>
        <v>39.127265446710211</v>
      </c>
      <c r="E22" s="331"/>
      <c r="F22" s="330">
        <v>6.698724782327198</v>
      </c>
      <c r="G22" s="330">
        <v>21.00273465970858</v>
      </c>
      <c r="H22" s="330">
        <f t="shared" si="1"/>
        <v>27.701459442035777</v>
      </c>
      <c r="I22" s="331"/>
      <c r="J22" s="330">
        <v>9.6339306670091354</v>
      </c>
      <c r="K22" s="330">
        <v>24.690917510087264</v>
      </c>
      <c r="L22" s="330">
        <f t="shared" si="2"/>
        <v>34.324848177096399</v>
      </c>
      <c r="M22" s="236"/>
      <c r="N22" s="328">
        <f t="shared" si="3"/>
        <v>2.7247556040430387</v>
      </c>
      <c r="O22" s="328">
        <f t="shared" si="4"/>
        <v>2.4520750005974756</v>
      </c>
      <c r="P22" s="328"/>
      <c r="Q22" s="328">
        <f t="shared" si="5"/>
        <v>-8.7901271399836176</v>
      </c>
      <c r="R22" s="328">
        <f t="shared" si="6"/>
        <v>1.084389425261012</v>
      </c>
      <c r="S22" s="327"/>
      <c r="T22" s="328">
        <f t="shared" si="7"/>
        <v>-6.6735748192099598</v>
      </c>
      <c r="U22" s="328">
        <f t="shared" si="8"/>
        <v>1.4394918463066508</v>
      </c>
    </row>
    <row r="23" spans="1:21" x14ac:dyDescent="0.3">
      <c r="A23" s="329" t="str">
        <f>name!D18</f>
        <v>52 Skilled metal, electrical and electronic trades</v>
      </c>
      <c r="B23" s="330">
        <v>2.1815625618899395</v>
      </c>
      <c r="C23" s="330">
        <v>115.8238445823182</v>
      </c>
      <c r="D23" s="330">
        <f t="shared" si="0"/>
        <v>118.00540714420814</v>
      </c>
      <c r="E23" s="331"/>
      <c r="F23" s="330">
        <v>2.7132295193997065</v>
      </c>
      <c r="G23" s="330">
        <v>97.712169762553089</v>
      </c>
      <c r="H23" s="330">
        <f t="shared" si="1"/>
        <v>100.42539928195279</v>
      </c>
      <c r="I23" s="331"/>
      <c r="J23" s="330">
        <v>7.5437519204329604</v>
      </c>
      <c r="K23" s="330">
        <v>92.148846813711899</v>
      </c>
      <c r="L23" s="330">
        <f t="shared" si="2"/>
        <v>99.692598734144866</v>
      </c>
      <c r="M23" s="236"/>
      <c r="N23" s="328">
        <f t="shared" si="3"/>
        <v>4.4584969003254704</v>
      </c>
      <c r="O23" s="328">
        <f t="shared" si="4"/>
        <v>7.054942932133379</v>
      </c>
      <c r="P23" s="328"/>
      <c r="Q23" s="328">
        <f t="shared" si="5"/>
        <v>-3.3437067238296647</v>
      </c>
      <c r="R23" s="328">
        <f t="shared" si="6"/>
        <v>-0.39004363968344613</v>
      </c>
      <c r="S23" s="327"/>
      <c r="T23" s="328">
        <f t="shared" si="7"/>
        <v>-3.174815791736596</v>
      </c>
      <c r="U23" s="328">
        <f t="shared" si="8"/>
        <v>-4.8812864721137217E-2</v>
      </c>
    </row>
    <row r="24" spans="1:21" x14ac:dyDescent="0.3">
      <c r="A24" s="329" t="str">
        <f>name!D19</f>
        <v>53 Skilled construction and building trades</v>
      </c>
      <c r="B24" s="330">
        <v>1.1482393972070346</v>
      </c>
      <c r="C24" s="330">
        <v>94.938508680913088</v>
      </c>
      <c r="D24" s="330">
        <f t="shared" si="0"/>
        <v>96.086748078120124</v>
      </c>
      <c r="E24" s="331"/>
      <c r="F24" s="330">
        <v>2.1144897187423326</v>
      </c>
      <c r="G24" s="330">
        <v>80.412115604644541</v>
      </c>
      <c r="H24" s="330">
        <f t="shared" si="1"/>
        <v>82.526605323386875</v>
      </c>
      <c r="I24" s="331"/>
      <c r="J24" s="330">
        <v>2.7861931971244025</v>
      </c>
      <c r="K24" s="330">
        <v>77.665580970630785</v>
      </c>
      <c r="L24" s="330">
        <f t="shared" si="2"/>
        <v>80.45177416775519</v>
      </c>
      <c r="M24" s="236"/>
      <c r="N24" s="328">
        <f t="shared" si="3"/>
        <v>12.988599818052649</v>
      </c>
      <c r="O24" s="328">
        <f t="shared" si="4"/>
        <v>1.8560999976970916</v>
      </c>
      <c r="P24" s="328"/>
      <c r="Q24" s="328">
        <f t="shared" si="5"/>
        <v>-3.2667416837359076</v>
      </c>
      <c r="R24" s="328">
        <f t="shared" si="6"/>
        <v>-0.23141628902362266</v>
      </c>
      <c r="S24" s="327"/>
      <c r="T24" s="328">
        <f t="shared" si="7"/>
        <v>-2.9967919961929823</v>
      </c>
      <c r="U24" s="328">
        <f t="shared" si="8"/>
        <v>-0.16960802858532187</v>
      </c>
    </row>
    <row r="25" spans="1:21" x14ac:dyDescent="0.3">
      <c r="A25" s="329" t="str">
        <f>name!D20</f>
        <v>54 Textiles, printing and other skilled trades</v>
      </c>
      <c r="B25" s="330">
        <v>26.618055274861192</v>
      </c>
      <c r="C25" s="330">
        <v>45.093814009272613</v>
      </c>
      <c r="D25" s="330">
        <f t="shared" si="0"/>
        <v>71.711869284133797</v>
      </c>
      <c r="E25" s="331"/>
      <c r="F25" s="330">
        <v>26.501107033250833</v>
      </c>
      <c r="G25" s="330">
        <v>34.312023025612852</v>
      </c>
      <c r="H25" s="330">
        <f t="shared" si="1"/>
        <v>60.813130058863685</v>
      </c>
      <c r="I25" s="331"/>
      <c r="J25" s="330">
        <v>28.639186237156245</v>
      </c>
      <c r="K25" s="330">
        <v>34.534018983479825</v>
      </c>
      <c r="L25" s="330">
        <f t="shared" si="2"/>
        <v>63.173205220636071</v>
      </c>
      <c r="M25" s="236"/>
      <c r="N25" s="328">
        <f t="shared" si="3"/>
        <v>-8.8026200189483816E-2</v>
      </c>
      <c r="O25" s="328">
        <f t="shared" si="4"/>
        <v>0.51860292185286205</v>
      </c>
      <c r="P25" s="328"/>
      <c r="Q25" s="328">
        <f t="shared" si="5"/>
        <v>-5.3183383599858747</v>
      </c>
      <c r="R25" s="328">
        <f t="shared" si="6"/>
        <v>4.3003093106119827E-2</v>
      </c>
      <c r="S25" s="327"/>
      <c r="T25" s="328">
        <f t="shared" si="7"/>
        <v>-3.2432521074577392</v>
      </c>
      <c r="U25" s="328">
        <f t="shared" si="8"/>
        <v>0.25415257248648793</v>
      </c>
    </row>
    <row r="26" spans="1:21" x14ac:dyDescent="0.3">
      <c r="A26" s="329" t="str">
        <f>name!D21</f>
        <v>61 Caring personal service occupations</v>
      </c>
      <c r="B26" s="330">
        <v>178.86585158327838</v>
      </c>
      <c r="C26" s="330">
        <v>33.0880539082833</v>
      </c>
      <c r="D26" s="330">
        <f t="shared" si="0"/>
        <v>211.95390549156167</v>
      </c>
      <c r="E26" s="331"/>
      <c r="F26" s="330">
        <v>192.39499433896563</v>
      </c>
      <c r="G26" s="330">
        <v>31.261095982321685</v>
      </c>
      <c r="H26" s="330">
        <f t="shared" si="1"/>
        <v>223.65609032128731</v>
      </c>
      <c r="I26" s="331"/>
      <c r="J26" s="330">
        <v>227.4929981143583</v>
      </c>
      <c r="K26" s="330">
        <v>47.140816992865517</v>
      </c>
      <c r="L26" s="330">
        <f t="shared" si="2"/>
        <v>274.63381510722382</v>
      </c>
      <c r="M26" s="236"/>
      <c r="N26" s="328">
        <f t="shared" si="3"/>
        <v>1.4689734747895367</v>
      </c>
      <c r="O26" s="328">
        <f t="shared" si="4"/>
        <v>1.1233894191915894</v>
      </c>
      <c r="P26" s="328"/>
      <c r="Q26" s="328">
        <f t="shared" si="5"/>
        <v>-1.1295308238648105</v>
      </c>
      <c r="R26" s="328">
        <f t="shared" si="6"/>
        <v>2.7762719651685641</v>
      </c>
      <c r="S26" s="327"/>
      <c r="T26" s="328">
        <f t="shared" si="7"/>
        <v>1.080611621310168</v>
      </c>
      <c r="U26" s="328">
        <f t="shared" si="8"/>
        <v>1.3782722431169292</v>
      </c>
    </row>
    <row r="27" spans="1:21" x14ac:dyDescent="0.3">
      <c r="A27" s="329" t="str">
        <f>name!D22</f>
        <v>62 Leisure, travel and related personal service occupations</v>
      </c>
      <c r="B27" s="330">
        <v>47.638523129821984</v>
      </c>
      <c r="C27" s="330">
        <v>18.143895807079808</v>
      </c>
      <c r="D27" s="330">
        <f t="shared" si="0"/>
        <v>65.782418936901792</v>
      </c>
      <c r="E27" s="331"/>
      <c r="F27" s="330">
        <v>53.264497822137429</v>
      </c>
      <c r="G27" s="330">
        <v>19.176630284405594</v>
      </c>
      <c r="H27" s="330">
        <f t="shared" si="1"/>
        <v>72.441128106543019</v>
      </c>
      <c r="I27" s="331"/>
      <c r="J27" s="330">
        <v>54.305676273318596</v>
      </c>
      <c r="K27" s="330">
        <v>21.552141512387593</v>
      </c>
      <c r="L27" s="330">
        <f t="shared" si="2"/>
        <v>75.857817785706189</v>
      </c>
      <c r="M27" s="236"/>
      <c r="N27" s="328">
        <f t="shared" si="3"/>
        <v>2.2576739266691792</v>
      </c>
      <c r="O27" s="328">
        <f t="shared" si="4"/>
        <v>0.12914151454728184</v>
      </c>
      <c r="P27" s="328"/>
      <c r="Q27" s="328">
        <f t="shared" si="5"/>
        <v>1.1133153388267925</v>
      </c>
      <c r="R27" s="328">
        <f t="shared" si="6"/>
        <v>0.78159073604386897</v>
      </c>
      <c r="S27" s="327"/>
      <c r="T27" s="328">
        <f t="shared" si="7"/>
        <v>1.9471462043491927</v>
      </c>
      <c r="U27" s="328">
        <f t="shared" si="8"/>
        <v>0.30771623498284661</v>
      </c>
    </row>
    <row r="28" spans="1:21" x14ac:dyDescent="0.3">
      <c r="A28" s="329" t="str">
        <f>name!D23</f>
        <v>63 Community and civil enforcement occupations</v>
      </c>
      <c r="B28" s="330">
        <v>0.77884806411849927</v>
      </c>
      <c r="C28" s="330">
        <v>2.3631710668340999</v>
      </c>
      <c r="D28" s="330">
        <f t="shared" si="0"/>
        <v>3.1420191309525993</v>
      </c>
      <c r="E28" s="331"/>
      <c r="F28" s="330">
        <v>0.83531420464655437</v>
      </c>
      <c r="G28" s="330">
        <v>2.5797467639813974</v>
      </c>
      <c r="H28" s="330">
        <f t="shared" si="1"/>
        <v>3.4150609686279516</v>
      </c>
      <c r="I28" s="331"/>
      <c r="J28" s="330">
        <v>1.1357183999384097</v>
      </c>
      <c r="K28" s="330">
        <v>1.8746580030195468</v>
      </c>
      <c r="L28" s="330">
        <f>SUM(J28:K28)</f>
        <v>3.0103764029579567</v>
      </c>
      <c r="M28" s="236"/>
      <c r="N28" s="328">
        <f t="shared" si="3"/>
        <v>1.4096828240019343</v>
      </c>
      <c r="O28" s="328">
        <f t="shared" si="4"/>
        <v>2.0692020722804072</v>
      </c>
      <c r="P28" s="328"/>
      <c r="Q28" s="328">
        <f t="shared" si="5"/>
        <v>1.7692052819238357</v>
      </c>
      <c r="R28" s="328">
        <f t="shared" si="6"/>
        <v>-2.1059420197447887</v>
      </c>
      <c r="S28" s="327"/>
      <c r="T28" s="328">
        <f t="shared" si="7"/>
        <v>1.6805595056316847</v>
      </c>
      <c r="U28" s="328">
        <f t="shared" si="8"/>
        <v>-0.83734275386647683</v>
      </c>
    </row>
    <row r="29" spans="1:21" x14ac:dyDescent="0.3">
      <c r="A29" s="329" t="str">
        <f>name!D24</f>
        <v>71 Sales occupations</v>
      </c>
      <c r="B29" s="330">
        <v>131.53766691139955</v>
      </c>
      <c r="C29" s="330">
        <v>89.878297416237203</v>
      </c>
      <c r="D29" s="330">
        <f t="shared" si="0"/>
        <v>221.41596432763674</v>
      </c>
      <c r="E29" s="331"/>
      <c r="F29" s="330">
        <v>112.68595860857951</v>
      </c>
      <c r="G29" s="330">
        <v>82.009454331550131</v>
      </c>
      <c r="H29" s="330">
        <f t="shared" si="1"/>
        <v>194.69541294012964</v>
      </c>
      <c r="I29" s="331"/>
      <c r="J29" s="330">
        <v>95.178193658883259</v>
      </c>
      <c r="K29" s="330">
        <v>76.992011819175545</v>
      </c>
      <c r="L29" s="330">
        <f t="shared" si="2"/>
        <v>172.17020547805879</v>
      </c>
      <c r="M29" s="236"/>
      <c r="N29" s="328">
        <f t="shared" si="3"/>
        <v>-3.046401286588496</v>
      </c>
      <c r="O29" s="328">
        <f t="shared" si="4"/>
        <v>-1.1193808831911678</v>
      </c>
      <c r="P29" s="328"/>
      <c r="Q29" s="328">
        <f t="shared" si="5"/>
        <v>-1.8157522514988589</v>
      </c>
      <c r="R29" s="328">
        <f t="shared" si="6"/>
        <v>-0.42000127375804164</v>
      </c>
      <c r="S29" s="327"/>
      <c r="T29" s="328">
        <f t="shared" si="7"/>
        <v>-2.5393378273740663</v>
      </c>
      <c r="U29" s="328">
        <f t="shared" si="8"/>
        <v>-0.81633506146870927</v>
      </c>
    </row>
    <row r="30" spans="1:21" x14ac:dyDescent="0.3">
      <c r="A30" s="329" t="str">
        <f>name!D25</f>
        <v>72 Customer service occupations</v>
      </c>
      <c r="B30" s="330">
        <v>29.404066890618147</v>
      </c>
      <c r="C30" s="330">
        <v>15.569716600312685</v>
      </c>
      <c r="D30" s="330">
        <f t="shared" si="0"/>
        <v>44.973783490930828</v>
      </c>
      <c r="E30" s="331"/>
      <c r="F30" s="330">
        <v>32.80043233794234</v>
      </c>
      <c r="G30" s="330">
        <v>17.060222414159423</v>
      </c>
      <c r="H30" s="330">
        <f t="shared" si="1"/>
        <v>49.860654752101766</v>
      </c>
      <c r="I30" s="331"/>
      <c r="J30" s="330">
        <v>46.000304602014516</v>
      </c>
      <c r="K30" s="330">
        <v>27.642047859582874</v>
      </c>
      <c r="L30" s="330">
        <f t="shared" si="2"/>
        <v>73.642352461597397</v>
      </c>
      <c r="M30" s="236"/>
      <c r="N30" s="328">
        <f t="shared" si="3"/>
        <v>2.2102459212916203</v>
      </c>
      <c r="O30" s="328">
        <f t="shared" si="4"/>
        <v>2.2803194917755398</v>
      </c>
      <c r="P30" s="328"/>
      <c r="Q30" s="328">
        <f t="shared" si="5"/>
        <v>1.8452541388371158</v>
      </c>
      <c r="R30" s="328">
        <f t="shared" si="6"/>
        <v>3.2695699296020342</v>
      </c>
      <c r="S30" s="327"/>
      <c r="T30" s="328">
        <f t="shared" si="7"/>
        <v>2.0844775489070155</v>
      </c>
      <c r="U30" s="328">
        <f t="shared" si="8"/>
        <v>2.6340133659369158</v>
      </c>
    </row>
    <row r="31" spans="1:21" x14ac:dyDescent="0.3">
      <c r="A31" s="329" t="str">
        <f>name!D26</f>
        <v>81 Process, plant and machine operatives</v>
      </c>
      <c r="B31" s="330">
        <v>16.992221618075515</v>
      </c>
      <c r="C31" s="330">
        <v>60.463372382239214</v>
      </c>
      <c r="D31" s="330">
        <f t="shared" si="0"/>
        <v>77.455594000314733</v>
      </c>
      <c r="E31" s="331"/>
      <c r="F31" s="330">
        <v>14.986943871245163</v>
      </c>
      <c r="G31" s="330">
        <v>51.196052439998553</v>
      </c>
      <c r="H31" s="330">
        <f t="shared" si="1"/>
        <v>66.182996311243713</v>
      </c>
      <c r="I31" s="331"/>
      <c r="J31" s="330">
        <v>18.195515895903597</v>
      </c>
      <c r="K31" s="330">
        <v>63.930909866862393</v>
      </c>
      <c r="L31" s="330">
        <f t="shared" si="2"/>
        <v>82.12642576276599</v>
      </c>
      <c r="M31" s="236"/>
      <c r="N31" s="328">
        <f t="shared" si="3"/>
        <v>-2.4802490638325736</v>
      </c>
      <c r="O31" s="328">
        <f t="shared" si="4"/>
        <v>1.3017045008982375</v>
      </c>
      <c r="P31" s="328"/>
      <c r="Q31" s="328">
        <f t="shared" si="5"/>
        <v>-3.2727542366754458</v>
      </c>
      <c r="R31" s="328">
        <f t="shared" si="6"/>
        <v>1.4919571285678446</v>
      </c>
      <c r="S31" s="327"/>
      <c r="T31" s="328">
        <f t="shared" si="7"/>
        <v>-3.0966642453412407</v>
      </c>
      <c r="U31" s="328">
        <f t="shared" si="8"/>
        <v>1.4493105254052896</v>
      </c>
    </row>
    <row r="32" spans="1:21" x14ac:dyDescent="0.3">
      <c r="A32" s="329" t="str">
        <f>name!D27</f>
        <v>82 Transport and mobile machine drivers and operatives</v>
      </c>
      <c r="B32" s="330">
        <v>9.4156324106620737</v>
      </c>
      <c r="C32" s="330">
        <v>103.90689337242313</v>
      </c>
      <c r="D32" s="330">
        <f t="shared" si="0"/>
        <v>113.3225257830852</v>
      </c>
      <c r="E32" s="331"/>
      <c r="F32" s="330">
        <v>9.6037742046511489</v>
      </c>
      <c r="G32" s="330">
        <v>105.82943203655184</v>
      </c>
      <c r="H32" s="330">
        <f t="shared" si="1"/>
        <v>115.43320624120298</v>
      </c>
      <c r="I32" s="331"/>
      <c r="J32" s="330">
        <v>16.575021887019471</v>
      </c>
      <c r="K32" s="330">
        <v>115.94516761857339</v>
      </c>
      <c r="L32" s="330">
        <f t="shared" si="2"/>
        <v>132.52018950559287</v>
      </c>
      <c r="M32" s="236"/>
      <c r="N32" s="328">
        <f t="shared" si="3"/>
        <v>0.39648065586490588</v>
      </c>
      <c r="O32" s="328">
        <f t="shared" si="4"/>
        <v>3.7052663675594344</v>
      </c>
      <c r="P32" s="328"/>
      <c r="Q32" s="328">
        <f t="shared" si="5"/>
        <v>0.36734153550719295</v>
      </c>
      <c r="R32" s="328">
        <f t="shared" si="6"/>
        <v>0.61044714759745933</v>
      </c>
      <c r="S32" s="327"/>
      <c r="T32" s="328">
        <f t="shared" si="7"/>
        <v>0.36976390783221014</v>
      </c>
      <c r="U32" s="328">
        <f t="shared" si="8"/>
        <v>0.92453395931741955</v>
      </c>
    </row>
    <row r="33" spans="1:21" x14ac:dyDescent="0.3">
      <c r="A33" s="329" t="str">
        <f>name!D28</f>
        <v>91 Elementary trades and related occupations</v>
      </c>
      <c r="B33" s="330">
        <v>11.533690690529463</v>
      </c>
      <c r="C33" s="330">
        <v>43.366012982997844</v>
      </c>
      <c r="D33" s="330">
        <f t="shared" si="0"/>
        <v>54.899703673527306</v>
      </c>
      <c r="E33" s="331"/>
      <c r="F33" s="330">
        <v>8.3062512055327016</v>
      </c>
      <c r="G33" s="330">
        <v>35.678478286759258</v>
      </c>
      <c r="H33" s="330">
        <f t="shared" si="1"/>
        <v>43.984729492291962</v>
      </c>
      <c r="I33" s="331"/>
      <c r="J33" s="330">
        <v>6.9925635461606941</v>
      </c>
      <c r="K33" s="330">
        <v>31.193144452302363</v>
      </c>
      <c r="L33" s="330">
        <f t="shared" si="2"/>
        <v>38.185707998463059</v>
      </c>
      <c r="M33" s="236"/>
      <c r="N33" s="328">
        <f t="shared" si="3"/>
        <v>-6.354405258662954</v>
      </c>
      <c r="O33" s="328">
        <f t="shared" si="4"/>
        <v>-1.1411796113307227</v>
      </c>
      <c r="P33" s="328"/>
      <c r="Q33" s="328">
        <f t="shared" si="5"/>
        <v>-3.827398164637652</v>
      </c>
      <c r="R33" s="328">
        <f t="shared" si="6"/>
        <v>-0.89166300406297028</v>
      </c>
      <c r="S33" s="327"/>
      <c r="T33" s="328">
        <f t="shared" si="7"/>
        <v>-4.3364738225939892</v>
      </c>
      <c r="U33" s="328">
        <f t="shared" si="8"/>
        <v>-0.93811338318855464</v>
      </c>
    </row>
    <row r="34" spans="1:21" x14ac:dyDescent="0.3">
      <c r="A34" s="329" t="str">
        <f>name!D29</f>
        <v>92 Elementary administration and service occupations</v>
      </c>
      <c r="B34" s="330">
        <v>172.01958593935893</v>
      </c>
      <c r="C34" s="330">
        <v>158.03699064490723</v>
      </c>
      <c r="D34" s="330">
        <f t="shared" si="0"/>
        <v>330.05657658426617</v>
      </c>
      <c r="E34" s="331"/>
      <c r="F34" s="330">
        <v>162.64254790562455</v>
      </c>
      <c r="G34" s="330">
        <v>145.12374286389741</v>
      </c>
      <c r="H34" s="330">
        <f t="shared" si="1"/>
        <v>307.76629076952196</v>
      </c>
      <c r="I34" s="331"/>
      <c r="J34" s="330">
        <v>152.14353286061984</v>
      </c>
      <c r="K34" s="330">
        <v>149.6037252925739</v>
      </c>
      <c r="L34" s="330">
        <f t="shared" si="2"/>
        <v>301.74725815319374</v>
      </c>
      <c r="M34" s="236"/>
      <c r="N34" s="328">
        <f t="shared" si="3"/>
        <v>-1.1148095647239731</v>
      </c>
      <c r="O34" s="328">
        <f t="shared" si="4"/>
        <v>-0.44388168492177638</v>
      </c>
      <c r="P34" s="328"/>
      <c r="Q34" s="328">
        <f t="shared" si="5"/>
        <v>-1.6903966415334648</v>
      </c>
      <c r="R34" s="328">
        <f t="shared" si="6"/>
        <v>0.20289347999968843</v>
      </c>
      <c r="S34" s="327"/>
      <c r="T34" s="328">
        <f t="shared" si="7"/>
        <v>-1.3887345692332187</v>
      </c>
      <c r="U34" s="328">
        <f t="shared" si="8"/>
        <v>-0.13158618460938909</v>
      </c>
    </row>
    <row r="35" spans="1:21" x14ac:dyDescent="0.3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7"/>
      <c r="O35" s="328"/>
      <c r="P35" s="328"/>
      <c r="Q35" s="328"/>
      <c r="R35" s="328"/>
      <c r="S35" s="327"/>
      <c r="T35" s="328"/>
      <c r="U35" s="328"/>
    </row>
    <row r="36" spans="1:21" x14ac:dyDescent="0.3">
      <c r="A36" s="332" t="str">
        <f>name!D3</f>
        <v>All occupations</v>
      </c>
      <c r="B36" s="333">
        <f>SUM(B9:B34)</f>
        <v>1427.0730000000447</v>
      </c>
      <c r="C36" s="333">
        <f t="shared" ref="C36:D36" si="9">SUM(C9:C34)</f>
        <v>1628.7059999994681</v>
      </c>
      <c r="D36" s="333">
        <f t="shared" si="9"/>
        <v>3055.7789999995121</v>
      </c>
      <c r="E36" s="333"/>
      <c r="F36" s="333">
        <f>SUM(F9:F34)</f>
        <v>1539.2879999993067</v>
      </c>
      <c r="G36" s="333">
        <f t="shared" ref="G36:H36" si="10">SUM(G9:G34)</f>
        <v>1634.9039999990937</v>
      </c>
      <c r="H36" s="333">
        <f t="shared" si="10"/>
        <v>3174.1919999984011</v>
      </c>
      <c r="I36" s="333"/>
      <c r="J36" s="333">
        <f>SUM(J9:J34)</f>
        <v>1675.6119999996242</v>
      </c>
      <c r="K36" s="333">
        <f t="shared" ref="K36:L36" si="11">SUM(K9:K34)</f>
        <v>1768.6709999982768</v>
      </c>
      <c r="L36" s="333">
        <f t="shared" si="11"/>
        <v>3444.2829999979012</v>
      </c>
      <c r="M36" s="258"/>
      <c r="N36" s="334">
        <f t="shared" si="3"/>
        <v>1.5254069226034339</v>
      </c>
      <c r="O36" s="334">
        <f t="shared" si="4"/>
        <v>0.567326568490234</v>
      </c>
      <c r="P36" s="334"/>
      <c r="Q36" s="334">
        <f t="shared" si="5"/>
        <v>7.5993911122895774E-2</v>
      </c>
      <c r="R36" s="334">
        <f t="shared" si="6"/>
        <v>0.5256723680189257</v>
      </c>
      <c r="S36" s="334"/>
      <c r="T36" s="334">
        <f t="shared" si="7"/>
        <v>0.76326935937192086</v>
      </c>
      <c r="U36" s="334">
        <f t="shared" si="8"/>
        <v>0.54590226783473028</v>
      </c>
    </row>
    <row r="37" spans="1:21" x14ac:dyDescent="0.3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3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3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3">
      <c r="A40" s="241"/>
      <c r="B40" s="373"/>
      <c r="C40" s="373"/>
      <c r="D40" s="373"/>
      <c r="E40" s="253"/>
      <c r="F40" s="373"/>
      <c r="G40" s="373"/>
      <c r="H40" s="373"/>
      <c r="I40" s="253"/>
      <c r="J40" s="373"/>
      <c r="K40" s="373"/>
      <c r="L40" s="373"/>
      <c r="M40" s="236"/>
    </row>
    <row r="41" spans="1:21" x14ac:dyDescent="0.3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3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3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3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3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3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3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3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3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3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3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3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3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3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3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3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3">
      <c r="A57" s="241"/>
      <c r="B57" s="373"/>
      <c r="C57" s="373"/>
      <c r="D57" s="373"/>
      <c r="E57" s="253"/>
      <c r="F57" s="373"/>
      <c r="G57" s="373"/>
      <c r="H57" s="373"/>
      <c r="I57" s="253"/>
      <c r="J57" s="373"/>
      <c r="K57" s="373"/>
      <c r="L57" s="373"/>
      <c r="M57" s="236"/>
    </row>
    <row r="58" spans="1:13" x14ac:dyDescent="0.3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3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3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3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3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3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3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3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3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3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3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3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3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3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3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3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3">
      <c r="A74" s="241"/>
      <c r="B74" s="373"/>
      <c r="C74" s="373"/>
      <c r="D74" s="373"/>
      <c r="E74" s="253"/>
      <c r="F74" s="373"/>
      <c r="G74" s="373"/>
      <c r="H74" s="373"/>
      <c r="I74" s="253"/>
      <c r="J74" s="373"/>
      <c r="K74" s="373"/>
      <c r="L74" s="373"/>
      <c r="M74" s="236"/>
    </row>
    <row r="75" spans="1:13" x14ac:dyDescent="0.3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3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3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3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3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3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3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3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3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3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3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3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3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3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3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3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3">
      <c r="A91" s="241"/>
      <c r="B91" s="373"/>
      <c r="C91" s="373"/>
      <c r="D91" s="373"/>
      <c r="E91" s="253"/>
      <c r="F91" s="373"/>
      <c r="G91" s="373"/>
      <c r="H91" s="373"/>
      <c r="I91" s="253"/>
      <c r="J91" s="373"/>
      <c r="K91" s="373"/>
      <c r="L91" s="373"/>
      <c r="M91" s="236"/>
    </row>
    <row r="92" spans="1:13" x14ac:dyDescent="0.3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3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3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3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3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3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3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3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3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3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3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3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3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3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3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3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3">
      <c r="A108" s="241"/>
      <c r="B108" s="373"/>
      <c r="C108" s="373"/>
      <c r="D108" s="373"/>
      <c r="E108" s="253"/>
      <c r="F108" s="373"/>
      <c r="G108" s="373"/>
      <c r="H108" s="373"/>
      <c r="I108" s="253"/>
      <c r="J108" s="373"/>
      <c r="K108" s="373"/>
      <c r="L108" s="373"/>
      <c r="M108" s="236"/>
    </row>
    <row r="109" spans="1:13" x14ac:dyDescent="0.3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3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3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3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3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3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3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3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3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3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3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3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3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3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3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3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3">
      <c r="A125" s="241"/>
      <c r="B125" s="373"/>
      <c r="C125" s="373"/>
      <c r="D125" s="373"/>
      <c r="E125" s="253"/>
      <c r="F125" s="373"/>
      <c r="G125" s="373"/>
      <c r="H125" s="373"/>
      <c r="I125" s="253"/>
      <c r="J125" s="373"/>
      <c r="K125" s="373"/>
      <c r="L125" s="373"/>
      <c r="M125" s="236"/>
    </row>
    <row r="126" spans="1:13" x14ac:dyDescent="0.3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3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3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3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3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3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3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3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3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3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3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3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3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3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3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3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3">
      <c r="A142" s="241"/>
      <c r="B142" s="373"/>
      <c r="C142" s="373"/>
      <c r="D142" s="373"/>
      <c r="E142" s="253"/>
      <c r="F142" s="373"/>
      <c r="G142" s="373"/>
      <c r="H142" s="373"/>
      <c r="I142" s="253"/>
      <c r="J142" s="373"/>
      <c r="K142" s="373"/>
      <c r="L142" s="373"/>
      <c r="M142" s="236"/>
    </row>
    <row r="143" spans="1:13" x14ac:dyDescent="0.3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3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3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3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3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3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3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3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3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3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3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3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3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3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3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3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3">
      <c r="A159" s="241"/>
      <c r="B159" s="373"/>
      <c r="C159" s="373"/>
      <c r="D159" s="373"/>
      <c r="E159" s="253"/>
      <c r="F159" s="373"/>
      <c r="G159" s="373"/>
      <c r="H159" s="373"/>
      <c r="I159" s="253"/>
      <c r="J159" s="373"/>
      <c r="K159" s="373"/>
      <c r="L159" s="373"/>
      <c r="M159" s="236"/>
    </row>
    <row r="160" spans="1:13" x14ac:dyDescent="0.3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3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3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3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3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3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3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3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3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3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3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3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3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3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3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3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3">
      <c r="A176" s="241"/>
      <c r="B176" s="373"/>
      <c r="C176" s="373"/>
      <c r="D176" s="373"/>
      <c r="E176" s="253"/>
      <c r="F176" s="373"/>
      <c r="G176" s="373"/>
      <c r="H176" s="373"/>
      <c r="I176" s="253"/>
      <c r="J176" s="373"/>
      <c r="K176" s="373"/>
      <c r="L176" s="373"/>
      <c r="M176" s="236"/>
    </row>
    <row r="177" spans="1:13" x14ac:dyDescent="0.3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3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3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3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3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3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3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3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3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3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3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3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3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3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3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3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3">
      <c r="A193" s="241"/>
      <c r="B193" s="373"/>
      <c r="C193" s="373"/>
      <c r="D193" s="373"/>
      <c r="E193" s="253"/>
      <c r="F193" s="373"/>
      <c r="G193" s="373"/>
      <c r="H193" s="373"/>
      <c r="I193" s="253"/>
      <c r="J193" s="373"/>
      <c r="K193" s="373"/>
      <c r="L193" s="373"/>
      <c r="M193" s="236"/>
    </row>
    <row r="194" spans="1:13" x14ac:dyDescent="0.3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3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3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3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3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3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3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3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3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3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3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3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3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3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3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3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3">
      <c r="A210" s="241"/>
      <c r="B210" s="373"/>
      <c r="C210" s="373"/>
      <c r="D210" s="373"/>
      <c r="E210" s="253"/>
      <c r="F210" s="373"/>
      <c r="G210" s="373"/>
      <c r="H210" s="373"/>
      <c r="I210" s="253"/>
      <c r="J210" s="373"/>
      <c r="K210" s="373"/>
      <c r="L210" s="373"/>
      <c r="M210" s="236"/>
    </row>
    <row r="211" spans="1:13" x14ac:dyDescent="0.3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3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3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3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3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3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3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3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3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3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3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3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3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3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3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3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3">
      <c r="A227" s="241"/>
      <c r="B227" s="373"/>
      <c r="C227" s="373"/>
      <c r="D227" s="373"/>
      <c r="E227" s="253"/>
      <c r="F227" s="373"/>
      <c r="G227" s="373"/>
      <c r="H227" s="373"/>
      <c r="I227" s="253"/>
      <c r="J227" s="373"/>
      <c r="K227" s="373"/>
      <c r="L227" s="373"/>
      <c r="M227" s="236"/>
    </row>
    <row r="228" spans="1:13" x14ac:dyDescent="0.3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3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3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3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3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3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3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3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3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3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3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3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3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3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3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3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3">
      <c r="A244" s="241"/>
      <c r="B244" s="373"/>
      <c r="C244" s="373"/>
      <c r="D244" s="373"/>
      <c r="E244" s="253"/>
      <c r="F244" s="373"/>
      <c r="G244" s="373"/>
      <c r="H244" s="373"/>
      <c r="I244" s="253"/>
      <c r="J244" s="373"/>
      <c r="K244" s="373"/>
      <c r="L244" s="373"/>
      <c r="M244" s="236"/>
    </row>
    <row r="245" spans="1:13" x14ac:dyDescent="0.3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3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3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3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3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3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3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3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3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3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3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3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3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3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3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3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3">
      <c r="A261" s="241"/>
      <c r="B261" s="373"/>
      <c r="C261" s="373"/>
      <c r="D261" s="373"/>
      <c r="E261" s="253"/>
      <c r="F261" s="373"/>
      <c r="G261" s="373"/>
      <c r="H261" s="373"/>
      <c r="I261" s="253"/>
      <c r="J261" s="373"/>
      <c r="K261" s="373"/>
      <c r="L261" s="373"/>
      <c r="M261" s="236"/>
    </row>
    <row r="262" spans="1:13" x14ac:dyDescent="0.3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3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3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3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3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3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3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3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3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3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3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3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3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3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3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3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3">
      <c r="A278" s="241"/>
      <c r="B278" s="373"/>
      <c r="C278" s="373"/>
      <c r="D278" s="373"/>
      <c r="E278" s="253"/>
      <c r="F278" s="373"/>
      <c r="G278" s="373"/>
      <c r="H278" s="373"/>
      <c r="I278" s="253"/>
      <c r="J278" s="373"/>
      <c r="K278" s="373"/>
      <c r="L278" s="373"/>
      <c r="M278" s="236"/>
    </row>
    <row r="279" spans="1:13" x14ac:dyDescent="0.3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3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3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3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3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3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3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3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3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3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3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3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3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3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3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3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3">
      <c r="A295" s="241"/>
      <c r="B295" s="373"/>
      <c r="C295" s="373"/>
      <c r="D295" s="373"/>
      <c r="E295" s="253"/>
      <c r="F295" s="373"/>
      <c r="G295" s="373"/>
      <c r="H295" s="373"/>
      <c r="I295" s="253"/>
      <c r="J295" s="373"/>
      <c r="K295" s="373"/>
      <c r="L295" s="373"/>
      <c r="M295" s="236"/>
    </row>
    <row r="296" spans="1:13" x14ac:dyDescent="0.3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3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3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3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3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3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3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3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3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3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3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3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3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3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3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3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3">
      <c r="A312" s="241"/>
      <c r="B312" s="373"/>
      <c r="C312" s="373"/>
      <c r="D312" s="373"/>
      <c r="E312" s="253"/>
      <c r="F312" s="373"/>
      <c r="G312" s="373"/>
      <c r="H312" s="373"/>
      <c r="I312" s="253"/>
      <c r="J312" s="373"/>
      <c r="K312" s="373"/>
      <c r="L312" s="373"/>
      <c r="M312" s="236"/>
    </row>
    <row r="313" spans="1:13" x14ac:dyDescent="0.3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3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3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3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3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3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3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3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3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3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3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3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3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3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3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3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3">
      <c r="A329" s="241"/>
      <c r="B329" s="373"/>
      <c r="C329" s="373"/>
      <c r="D329" s="373"/>
      <c r="E329" s="253"/>
      <c r="F329" s="373"/>
      <c r="G329" s="373"/>
      <c r="H329" s="373"/>
      <c r="I329" s="253"/>
      <c r="J329" s="373"/>
      <c r="K329" s="373"/>
      <c r="L329" s="373"/>
      <c r="M329" s="236"/>
    </row>
    <row r="330" spans="1:13" x14ac:dyDescent="0.3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3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3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3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3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3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3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3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3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3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3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3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3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3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3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3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3">
      <c r="A346" s="241"/>
      <c r="B346" s="373"/>
      <c r="C346" s="373"/>
      <c r="D346" s="373"/>
      <c r="E346" s="253"/>
      <c r="F346" s="373"/>
      <c r="G346" s="373"/>
      <c r="H346" s="373"/>
      <c r="I346" s="253"/>
      <c r="J346" s="373"/>
      <c r="K346" s="373"/>
      <c r="L346" s="373"/>
      <c r="M346" s="236"/>
    </row>
    <row r="347" spans="1:13" x14ac:dyDescent="0.3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3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3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3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3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3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3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3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3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3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3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3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3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3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3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3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3">
      <c r="A363" s="241"/>
      <c r="B363" s="373"/>
      <c r="C363" s="373"/>
      <c r="D363" s="373"/>
      <c r="E363" s="253"/>
      <c r="F363" s="373"/>
      <c r="G363" s="373"/>
      <c r="H363" s="373"/>
      <c r="I363" s="253"/>
      <c r="J363" s="373"/>
      <c r="K363" s="373"/>
      <c r="L363" s="373"/>
      <c r="M363" s="236"/>
    </row>
    <row r="364" spans="1:13" x14ac:dyDescent="0.3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3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3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3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3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3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3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3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3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3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3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3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3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3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3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3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3">
      <c r="A380" s="241"/>
      <c r="B380" s="373"/>
      <c r="C380" s="373"/>
      <c r="D380" s="373"/>
      <c r="E380" s="253"/>
      <c r="F380" s="373"/>
      <c r="G380" s="373"/>
      <c r="H380" s="373"/>
      <c r="I380" s="253"/>
      <c r="J380" s="373"/>
      <c r="K380" s="373"/>
      <c r="L380" s="373"/>
      <c r="M380" s="236"/>
    </row>
    <row r="381" spans="1:13" x14ac:dyDescent="0.3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3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3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3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3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3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3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3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3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3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3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3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3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3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3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3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3">
      <c r="A397" s="241"/>
      <c r="B397" s="373"/>
      <c r="C397" s="373"/>
      <c r="D397" s="373"/>
      <c r="E397" s="253"/>
      <c r="F397" s="373"/>
      <c r="G397" s="373"/>
      <c r="H397" s="373"/>
      <c r="I397" s="253"/>
      <c r="J397" s="373"/>
      <c r="K397" s="373"/>
      <c r="L397" s="373"/>
      <c r="M397" s="236"/>
    </row>
    <row r="398" spans="1:13" x14ac:dyDescent="0.3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3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3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3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3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3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3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3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3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3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3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3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3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3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3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3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3">
      <c r="A414" s="241"/>
      <c r="B414" s="373"/>
      <c r="C414" s="373"/>
      <c r="D414" s="373"/>
      <c r="E414" s="253"/>
      <c r="F414" s="373"/>
      <c r="G414" s="373"/>
      <c r="H414" s="373"/>
      <c r="I414" s="253"/>
      <c r="J414" s="373"/>
      <c r="K414" s="373"/>
      <c r="L414" s="373"/>
      <c r="M414" s="236"/>
    </row>
    <row r="415" spans="1:13" x14ac:dyDescent="0.3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3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3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3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3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3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3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3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3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3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3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3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3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3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3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3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3">
      <c r="A431" s="241"/>
      <c r="B431" s="373"/>
      <c r="C431" s="373"/>
      <c r="D431" s="373"/>
      <c r="E431" s="253"/>
      <c r="F431" s="373"/>
      <c r="G431" s="373"/>
      <c r="H431" s="373"/>
      <c r="I431" s="253"/>
      <c r="J431" s="373"/>
      <c r="K431" s="373"/>
      <c r="L431" s="373"/>
      <c r="M431" s="236"/>
    </row>
    <row r="432" spans="1:13" x14ac:dyDescent="0.3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3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3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3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3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3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3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3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3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3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3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3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3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3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3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3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3">
      <c r="A448" s="241"/>
      <c r="B448" s="373"/>
      <c r="C448" s="373"/>
      <c r="D448" s="373"/>
      <c r="E448" s="253"/>
      <c r="F448" s="373"/>
      <c r="G448" s="373"/>
      <c r="H448" s="373"/>
      <c r="I448" s="253"/>
      <c r="J448" s="373"/>
      <c r="K448" s="373"/>
      <c r="L448" s="373"/>
      <c r="M448" s="236"/>
    </row>
    <row r="449" spans="1:13" x14ac:dyDescent="0.3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3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3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3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3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3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3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3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3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3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3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3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3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3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3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3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3">
      <c r="A465" s="241"/>
      <c r="B465" s="373"/>
      <c r="C465" s="373"/>
      <c r="D465" s="373"/>
      <c r="E465" s="253"/>
      <c r="F465" s="373"/>
      <c r="G465" s="373"/>
      <c r="H465" s="373"/>
      <c r="I465" s="253"/>
      <c r="J465" s="373"/>
      <c r="K465" s="373"/>
      <c r="L465" s="373"/>
      <c r="M465" s="236"/>
    </row>
    <row r="466" spans="1:13" x14ac:dyDescent="0.3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3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3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3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3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3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3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3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3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3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3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3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3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3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3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3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3">
      <c r="A482" s="241"/>
      <c r="B482" s="373"/>
      <c r="C482" s="373"/>
      <c r="D482" s="373"/>
      <c r="E482" s="253"/>
      <c r="F482" s="373"/>
      <c r="G482" s="373"/>
      <c r="H482" s="373"/>
      <c r="I482" s="253"/>
      <c r="J482" s="373"/>
      <c r="K482" s="373"/>
      <c r="L482" s="373"/>
      <c r="M482" s="236"/>
    </row>
    <row r="483" spans="1:13" x14ac:dyDescent="0.3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3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3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3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3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3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3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3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3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3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3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3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3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3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3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3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3">
      <c r="A499" s="241"/>
      <c r="B499" s="373"/>
      <c r="C499" s="373"/>
      <c r="D499" s="373"/>
      <c r="E499" s="253"/>
      <c r="F499" s="373"/>
      <c r="G499" s="373"/>
      <c r="H499" s="373"/>
      <c r="I499" s="253"/>
      <c r="J499" s="373"/>
      <c r="K499" s="373"/>
      <c r="L499" s="373"/>
      <c r="M499" s="236"/>
    </row>
    <row r="500" spans="1:13" x14ac:dyDescent="0.3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3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3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3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3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3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3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3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3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3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3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3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3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3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3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3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3">
      <c r="A516" s="241"/>
      <c r="B516" s="373"/>
      <c r="C516" s="373"/>
      <c r="D516" s="373"/>
      <c r="E516" s="253"/>
      <c r="F516" s="373"/>
      <c r="G516" s="373"/>
      <c r="H516" s="373"/>
      <c r="I516" s="253"/>
      <c r="J516" s="373"/>
      <c r="K516" s="373"/>
      <c r="L516" s="373"/>
      <c r="M516" s="236"/>
    </row>
    <row r="517" spans="1:13" x14ac:dyDescent="0.3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3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3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3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3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3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3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3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3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3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3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3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3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3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3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3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3">
      <c r="A533" s="241"/>
      <c r="B533" s="373"/>
      <c r="C533" s="373"/>
      <c r="D533" s="373"/>
      <c r="E533" s="253"/>
      <c r="F533" s="373"/>
      <c r="G533" s="373"/>
      <c r="H533" s="373"/>
      <c r="I533" s="253"/>
      <c r="J533" s="373"/>
      <c r="K533" s="373"/>
      <c r="L533" s="373"/>
      <c r="M533" s="236"/>
    </row>
    <row r="534" spans="1:13" x14ac:dyDescent="0.3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3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3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3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3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3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3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3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3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3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3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3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3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3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3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3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3">
      <c r="A550" s="241"/>
      <c r="B550" s="373"/>
      <c r="C550" s="373"/>
      <c r="D550" s="373"/>
      <c r="E550" s="253"/>
      <c r="F550" s="373"/>
      <c r="G550" s="373"/>
      <c r="H550" s="373"/>
      <c r="I550" s="253"/>
      <c r="J550" s="373"/>
      <c r="K550" s="373"/>
      <c r="L550" s="373"/>
      <c r="M550" s="236"/>
    </row>
    <row r="551" spans="1:13" x14ac:dyDescent="0.3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3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3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3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3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3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3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3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3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3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3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3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3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3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3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3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3">
      <c r="A567" s="241"/>
      <c r="B567" s="373"/>
      <c r="C567" s="373"/>
      <c r="D567" s="373"/>
      <c r="E567" s="253"/>
      <c r="F567" s="373"/>
      <c r="G567" s="373"/>
      <c r="H567" s="373"/>
      <c r="I567" s="253"/>
      <c r="J567" s="373"/>
      <c r="K567" s="373"/>
      <c r="L567" s="373"/>
      <c r="M567" s="236"/>
    </row>
    <row r="568" spans="1:13" x14ac:dyDescent="0.3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3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3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3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3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3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3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3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3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3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3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3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3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3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3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3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3">
      <c r="A584" s="241"/>
      <c r="B584" s="373"/>
      <c r="C584" s="373"/>
      <c r="D584" s="373"/>
      <c r="E584" s="253"/>
      <c r="F584" s="373"/>
      <c r="G584" s="373"/>
      <c r="H584" s="373"/>
      <c r="I584" s="253"/>
      <c r="J584" s="373"/>
      <c r="K584" s="373"/>
      <c r="L584" s="373"/>
      <c r="M584" s="236"/>
    </row>
    <row r="585" spans="1:13" x14ac:dyDescent="0.3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3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3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3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3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3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3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3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3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3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3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3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3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3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3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3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3">
      <c r="A601" s="241"/>
      <c r="B601" s="373"/>
      <c r="C601" s="373"/>
      <c r="D601" s="373"/>
      <c r="E601" s="253"/>
      <c r="F601" s="373"/>
      <c r="G601" s="373"/>
      <c r="H601" s="373"/>
      <c r="I601" s="253"/>
      <c r="J601" s="373"/>
      <c r="K601" s="373"/>
      <c r="L601" s="373"/>
      <c r="M601" s="236"/>
    </row>
    <row r="602" spans="1:13" x14ac:dyDescent="0.3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3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3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3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3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3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3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3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3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3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3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3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3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3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3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3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3">
      <c r="A618" s="241"/>
      <c r="B618" s="373"/>
      <c r="C618" s="373"/>
      <c r="D618" s="373"/>
      <c r="E618" s="253"/>
      <c r="F618" s="373"/>
      <c r="G618" s="373"/>
      <c r="H618" s="373"/>
      <c r="I618" s="253"/>
      <c r="J618" s="373"/>
      <c r="K618" s="373"/>
      <c r="L618" s="373"/>
      <c r="M618" s="236"/>
    </row>
    <row r="619" spans="1:13" x14ac:dyDescent="0.3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3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3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3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3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3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3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3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3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3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3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3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3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3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3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3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3">
      <c r="A635" s="241"/>
      <c r="B635" s="373"/>
      <c r="C635" s="373"/>
      <c r="D635" s="373"/>
      <c r="E635" s="253"/>
      <c r="F635" s="373"/>
      <c r="G635" s="373"/>
      <c r="H635" s="373"/>
      <c r="I635" s="253"/>
      <c r="J635" s="373"/>
      <c r="K635" s="373"/>
      <c r="L635" s="373"/>
      <c r="M635" s="236"/>
    </row>
    <row r="636" spans="1:13" x14ac:dyDescent="0.3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3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3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3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3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3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3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3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3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3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3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3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3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3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3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3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3">
      <c r="A652" s="241"/>
      <c r="B652" s="373"/>
      <c r="C652" s="373"/>
      <c r="D652" s="373"/>
      <c r="E652" s="253"/>
      <c r="F652" s="373"/>
      <c r="G652" s="373"/>
      <c r="H652" s="373"/>
      <c r="I652" s="253"/>
      <c r="J652" s="373"/>
      <c r="K652" s="373"/>
      <c r="L652" s="373"/>
      <c r="M652" s="236"/>
    </row>
    <row r="653" spans="1:13" x14ac:dyDescent="0.3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3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3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3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3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3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3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3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3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3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3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3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3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3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3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3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3">
      <c r="A669" s="241"/>
      <c r="B669" s="373"/>
      <c r="C669" s="373"/>
      <c r="D669" s="373"/>
      <c r="E669" s="253"/>
      <c r="F669" s="373"/>
      <c r="G669" s="373"/>
      <c r="H669" s="373"/>
      <c r="I669" s="253"/>
      <c r="J669" s="373"/>
      <c r="K669" s="373"/>
      <c r="L669" s="373"/>
      <c r="M669" s="236"/>
    </row>
    <row r="670" spans="1:13" x14ac:dyDescent="0.3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3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3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3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3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3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3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3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3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3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3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3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3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3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3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3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3">
      <c r="A686" s="241"/>
      <c r="B686" s="373"/>
      <c r="C686" s="373"/>
      <c r="D686" s="373"/>
      <c r="E686" s="253"/>
      <c r="F686" s="373"/>
      <c r="G686" s="373"/>
      <c r="H686" s="373"/>
      <c r="I686" s="253"/>
      <c r="J686" s="373"/>
      <c r="K686" s="373"/>
      <c r="L686" s="373"/>
      <c r="M686" s="236"/>
    </row>
    <row r="687" spans="1:13" x14ac:dyDescent="0.3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3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3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3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3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3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3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3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3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3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3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3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3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3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3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3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3">
      <c r="A703" s="241"/>
      <c r="B703" s="373"/>
      <c r="C703" s="373"/>
      <c r="D703" s="373"/>
      <c r="E703" s="253"/>
      <c r="F703" s="373"/>
      <c r="G703" s="373"/>
      <c r="H703" s="373"/>
      <c r="I703" s="253"/>
      <c r="J703" s="373"/>
      <c r="K703" s="373"/>
      <c r="L703" s="373"/>
      <c r="M703" s="236"/>
    </row>
    <row r="704" spans="1:13" x14ac:dyDescent="0.3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3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3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3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3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3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3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3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3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3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3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3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3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3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3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3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3">
      <c r="A720" s="241"/>
      <c r="B720" s="373"/>
      <c r="C720" s="373"/>
      <c r="D720" s="373"/>
      <c r="E720" s="253"/>
      <c r="F720" s="373"/>
      <c r="G720" s="373"/>
      <c r="H720" s="373"/>
      <c r="I720" s="253"/>
      <c r="J720" s="373"/>
      <c r="K720" s="373"/>
      <c r="L720" s="373"/>
      <c r="M720" s="236"/>
    </row>
    <row r="721" spans="1:13" x14ac:dyDescent="0.3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3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3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3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3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3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3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3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3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3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3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3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3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3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3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3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3">
      <c r="A737" s="241"/>
      <c r="B737" s="373"/>
      <c r="C737" s="373"/>
      <c r="D737" s="373"/>
      <c r="E737" s="253"/>
      <c r="F737" s="373"/>
      <c r="G737" s="373"/>
      <c r="H737" s="373"/>
      <c r="I737" s="253"/>
      <c r="J737" s="373"/>
      <c r="K737" s="373"/>
      <c r="L737" s="373"/>
      <c r="M737" s="236"/>
    </row>
    <row r="738" spans="1:13" x14ac:dyDescent="0.3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3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3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3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3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3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3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3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3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3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3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3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3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3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3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3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3">
      <c r="A754" s="241"/>
      <c r="B754" s="373"/>
      <c r="C754" s="373"/>
      <c r="D754" s="373"/>
      <c r="E754" s="253"/>
      <c r="F754" s="373"/>
      <c r="G754" s="373"/>
      <c r="H754" s="373"/>
      <c r="I754" s="253"/>
      <c r="J754" s="373"/>
      <c r="K754" s="373"/>
      <c r="L754" s="373"/>
      <c r="M754" s="236"/>
    </row>
    <row r="755" spans="1:13" x14ac:dyDescent="0.3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3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3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3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3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3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3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3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3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3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3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3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3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3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3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3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3">
      <c r="A771" s="241"/>
      <c r="B771" s="373"/>
      <c r="C771" s="373"/>
      <c r="D771" s="373"/>
      <c r="E771" s="253"/>
      <c r="F771" s="373"/>
      <c r="G771" s="373"/>
      <c r="H771" s="373"/>
      <c r="I771" s="253"/>
      <c r="J771" s="373"/>
      <c r="K771" s="373"/>
      <c r="L771" s="373"/>
      <c r="M771" s="236"/>
    </row>
    <row r="772" spans="1:13" x14ac:dyDescent="0.3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3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3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3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3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3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3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3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3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3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3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3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3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3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3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3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3">
      <c r="A788" s="241"/>
      <c r="B788" s="373"/>
      <c r="C788" s="373"/>
      <c r="D788" s="373"/>
      <c r="E788" s="253"/>
      <c r="F788" s="373"/>
      <c r="G788" s="373"/>
      <c r="H788" s="373"/>
      <c r="I788" s="253"/>
      <c r="J788" s="373"/>
      <c r="K788" s="373"/>
      <c r="L788" s="373"/>
      <c r="M788" s="236"/>
    </row>
    <row r="789" spans="1:13" x14ac:dyDescent="0.3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3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3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3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3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3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3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3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3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3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3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3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3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3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3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3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3">
      <c r="A805" s="241"/>
      <c r="B805" s="373"/>
      <c r="C805" s="373"/>
      <c r="D805" s="373"/>
      <c r="E805" s="253"/>
      <c r="F805" s="373"/>
      <c r="G805" s="373"/>
      <c r="H805" s="373"/>
      <c r="I805" s="253"/>
      <c r="J805" s="373"/>
      <c r="K805" s="373"/>
      <c r="L805" s="373"/>
      <c r="M805" s="236"/>
    </row>
    <row r="806" spans="1:13" x14ac:dyDescent="0.3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3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3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3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3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3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3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3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3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3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3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3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3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3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3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3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3">
      <c r="A822" s="241"/>
      <c r="B822" s="373"/>
      <c r="C822" s="373"/>
      <c r="D822" s="373"/>
      <c r="E822" s="253"/>
      <c r="F822" s="373"/>
      <c r="G822" s="373"/>
      <c r="H822" s="373"/>
      <c r="I822" s="253"/>
      <c r="J822" s="373"/>
      <c r="K822" s="373"/>
      <c r="L822" s="373"/>
      <c r="M822" s="236"/>
    </row>
    <row r="823" spans="1:13" x14ac:dyDescent="0.3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3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3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3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3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3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3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3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3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3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3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3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3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3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3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3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3">
      <c r="A839" s="241"/>
      <c r="B839" s="373"/>
      <c r="C839" s="373"/>
      <c r="D839" s="373"/>
      <c r="E839" s="253"/>
      <c r="F839" s="373"/>
      <c r="G839" s="373"/>
      <c r="H839" s="373"/>
      <c r="I839" s="253"/>
      <c r="J839" s="373"/>
      <c r="K839" s="373"/>
      <c r="L839" s="373"/>
      <c r="M839" s="236"/>
    </row>
    <row r="840" spans="1:13" x14ac:dyDescent="0.3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3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3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3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3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3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3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3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3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3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3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3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3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3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3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3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3">
      <c r="A856" s="241"/>
      <c r="B856" s="373"/>
      <c r="C856" s="373"/>
      <c r="D856" s="373"/>
      <c r="E856" s="253"/>
      <c r="F856" s="373"/>
      <c r="G856" s="373"/>
      <c r="H856" s="373"/>
      <c r="I856" s="253"/>
      <c r="J856" s="373"/>
      <c r="K856" s="373"/>
      <c r="L856" s="373"/>
      <c r="M856" s="236"/>
    </row>
    <row r="857" spans="1:13" x14ac:dyDescent="0.3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3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3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3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3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3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3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3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3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3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3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3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3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3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3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3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3">
      <c r="A873" s="241"/>
      <c r="B873" s="373"/>
      <c r="C873" s="373"/>
      <c r="D873" s="373"/>
      <c r="E873" s="253"/>
      <c r="F873" s="373"/>
      <c r="G873" s="373"/>
      <c r="H873" s="373"/>
      <c r="I873" s="253"/>
      <c r="J873" s="373"/>
      <c r="K873" s="373"/>
      <c r="L873" s="373"/>
      <c r="M873" s="236"/>
    </row>
    <row r="874" spans="1:13" x14ac:dyDescent="0.3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3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3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3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3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3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3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3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3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3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3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3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3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3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3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3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3">
      <c r="A890" s="241"/>
      <c r="B890" s="373"/>
      <c r="C890" s="373"/>
      <c r="D890" s="373"/>
      <c r="E890" s="253"/>
      <c r="F890" s="373"/>
      <c r="G890" s="373"/>
      <c r="H890" s="373"/>
      <c r="I890" s="253"/>
      <c r="J890" s="373"/>
      <c r="K890" s="373"/>
      <c r="L890" s="373"/>
      <c r="M890" s="236"/>
    </row>
    <row r="891" spans="1:13" x14ac:dyDescent="0.3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3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3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3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3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3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3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3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3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3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3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3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3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3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3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3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3">
      <c r="A907" s="241"/>
      <c r="B907" s="373"/>
      <c r="C907" s="373"/>
      <c r="D907" s="373"/>
      <c r="E907" s="253"/>
      <c r="F907" s="373"/>
      <c r="G907" s="373"/>
      <c r="H907" s="373"/>
      <c r="I907" s="253"/>
      <c r="J907" s="373"/>
      <c r="K907" s="373"/>
      <c r="L907" s="373"/>
      <c r="M907" s="236"/>
    </row>
    <row r="908" spans="1:13" x14ac:dyDescent="0.3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3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3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3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3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3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3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3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3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3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3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3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3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3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3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3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3">
      <c r="A924" s="241"/>
      <c r="B924" s="373"/>
      <c r="C924" s="373"/>
      <c r="D924" s="373"/>
      <c r="E924" s="253"/>
      <c r="F924" s="373"/>
      <c r="G924" s="373"/>
      <c r="H924" s="373"/>
      <c r="I924" s="253"/>
      <c r="J924" s="373"/>
      <c r="K924" s="373"/>
      <c r="L924" s="373"/>
      <c r="M924" s="236"/>
    </row>
    <row r="925" spans="1:13" x14ac:dyDescent="0.3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3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3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3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3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3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3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3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3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3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3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3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3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3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3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3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3">
      <c r="A941" s="241"/>
      <c r="B941" s="373"/>
      <c r="C941" s="373"/>
      <c r="D941" s="373"/>
      <c r="E941" s="253"/>
      <c r="F941" s="373"/>
      <c r="G941" s="373"/>
      <c r="H941" s="373"/>
      <c r="I941" s="253"/>
      <c r="J941" s="373"/>
      <c r="K941" s="373"/>
      <c r="L941" s="373"/>
      <c r="M941" s="236"/>
    </row>
    <row r="942" spans="1:13" x14ac:dyDescent="0.3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3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3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3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3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3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3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3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3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3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3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3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3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3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3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3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3">
      <c r="A958" s="241"/>
      <c r="B958" s="373"/>
      <c r="C958" s="373"/>
      <c r="D958" s="373"/>
      <c r="E958" s="253"/>
      <c r="F958" s="373"/>
      <c r="G958" s="373"/>
      <c r="H958" s="373"/>
      <c r="I958" s="253"/>
      <c r="J958" s="373"/>
      <c r="K958" s="373"/>
      <c r="L958" s="373"/>
      <c r="M958" s="236"/>
    </row>
    <row r="959" spans="1:13" x14ac:dyDescent="0.3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3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3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3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3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3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3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3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3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3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3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3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3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3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3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3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3">
      <c r="A975" s="241"/>
      <c r="B975" s="373"/>
      <c r="C975" s="373"/>
      <c r="D975" s="373"/>
      <c r="E975" s="253"/>
      <c r="F975" s="373"/>
      <c r="G975" s="373"/>
      <c r="H975" s="373"/>
      <c r="I975" s="253"/>
      <c r="J975" s="373"/>
      <c r="K975" s="373"/>
      <c r="L975" s="373"/>
      <c r="M975" s="236"/>
    </row>
    <row r="976" spans="1:13" x14ac:dyDescent="0.3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3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3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3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3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3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3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3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3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3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3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3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3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3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3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3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3">
      <c r="A992" s="241"/>
      <c r="B992" s="373"/>
      <c r="C992" s="373"/>
      <c r="D992" s="373"/>
      <c r="E992" s="253"/>
      <c r="F992" s="373"/>
      <c r="G992" s="373"/>
      <c r="H992" s="373"/>
      <c r="I992" s="253"/>
      <c r="J992" s="373"/>
      <c r="K992" s="373"/>
      <c r="L992" s="373"/>
      <c r="M992" s="236"/>
    </row>
    <row r="993" spans="1:13" x14ac:dyDescent="0.3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3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3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3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3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3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3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3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3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3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3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3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3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3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3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3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3">
      <c r="A1009" s="241"/>
      <c r="B1009" s="373"/>
      <c r="C1009" s="373"/>
      <c r="D1009" s="373"/>
      <c r="E1009" s="253"/>
      <c r="F1009" s="373"/>
      <c r="G1009" s="373"/>
      <c r="H1009" s="373"/>
      <c r="I1009" s="253"/>
      <c r="J1009" s="373"/>
      <c r="K1009" s="373"/>
      <c r="L1009" s="373"/>
      <c r="M1009" s="236"/>
    </row>
    <row r="1010" spans="1:13" x14ac:dyDescent="0.3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3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3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3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3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3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3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3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3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3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3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3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3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3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3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3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3">
      <c r="A1026" s="241"/>
      <c r="B1026" s="373"/>
      <c r="C1026" s="373"/>
      <c r="D1026" s="373"/>
      <c r="E1026" s="253"/>
      <c r="F1026" s="373"/>
      <c r="G1026" s="373"/>
      <c r="H1026" s="373"/>
      <c r="I1026" s="253"/>
      <c r="J1026" s="373"/>
      <c r="K1026" s="373"/>
      <c r="L1026" s="373"/>
      <c r="M1026" s="236"/>
    </row>
    <row r="1027" spans="1:13" x14ac:dyDescent="0.3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3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3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3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3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3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3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3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3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3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3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3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3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3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3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3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3">
      <c r="A1043" s="241"/>
      <c r="B1043" s="373"/>
      <c r="C1043" s="373"/>
      <c r="D1043" s="373"/>
      <c r="E1043" s="253"/>
      <c r="F1043" s="373"/>
      <c r="G1043" s="373"/>
      <c r="H1043" s="373"/>
      <c r="I1043" s="253"/>
      <c r="J1043" s="373"/>
      <c r="K1043" s="373"/>
      <c r="L1043" s="373"/>
      <c r="M1043" s="236"/>
    </row>
    <row r="1044" spans="1:13" x14ac:dyDescent="0.3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3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3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3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3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3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3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3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3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3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3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3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3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3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3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3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3">
      <c r="A1060" s="241"/>
      <c r="B1060" s="373"/>
      <c r="C1060" s="373"/>
      <c r="D1060" s="373"/>
      <c r="E1060" s="253"/>
      <c r="F1060" s="373"/>
      <c r="G1060" s="373"/>
      <c r="H1060" s="373"/>
      <c r="I1060" s="253"/>
      <c r="J1060" s="373"/>
      <c r="K1060" s="373"/>
      <c r="L1060" s="373"/>
      <c r="M1060" s="236"/>
    </row>
    <row r="1061" spans="1:13" x14ac:dyDescent="0.3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3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3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3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3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3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3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3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3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3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3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3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3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3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3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3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3">
      <c r="A1077" s="241"/>
      <c r="B1077" s="373"/>
      <c r="C1077" s="373"/>
      <c r="D1077" s="373"/>
      <c r="E1077" s="253"/>
      <c r="F1077" s="373"/>
      <c r="G1077" s="373"/>
      <c r="H1077" s="373"/>
      <c r="I1077" s="253"/>
      <c r="J1077" s="373"/>
      <c r="K1077" s="373"/>
      <c r="L1077" s="373"/>
      <c r="M1077" s="236"/>
    </row>
    <row r="1078" spans="1:13" x14ac:dyDescent="0.3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3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3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3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3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3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3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3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3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3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3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3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3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3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3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3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3">
      <c r="A1094" s="241"/>
      <c r="B1094" s="373"/>
      <c r="C1094" s="373"/>
      <c r="D1094" s="373"/>
      <c r="E1094" s="253"/>
      <c r="F1094" s="373"/>
      <c r="G1094" s="373"/>
      <c r="H1094" s="373"/>
      <c r="I1094" s="253"/>
      <c r="J1094" s="373"/>
      <c r="K1094" s="373"/>
      <c r="L1094" s="373"/>
      <c r="M1094" s="236"/>
    </row>
    <row r="1095" spans="1:13" x14ac:dyDescent="0.3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3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3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3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3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3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3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3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3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3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3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3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3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3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3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3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3">
      <c r="A1111" s="241"/>
      <c r="B1111" s="373"/>
      <c r="C1111" s="373"/>
      <c r="D1111" s="373"/>
      <c r="E1111" s="253"/>
      <c r="F1111" s="373"/>
      <c r="G1111" s="373"/>
      <c r="H1111" s="373"/>
      <c r="I1111" s="253"/>
      <c r="J1111" s="373"/>
      <c r="K1111" s="373"/>
      <c r="L1111" s="373"/>
      <c r="M1111" s="236"/>
    </row>
    <row r="1112" spans="1:13" x14ac:dyDescent="0.3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3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3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3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3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3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3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3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3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3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3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3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3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3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3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3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3">
      <c r="A1128" s="241"/>
      <c r="B1128" s="373"/>
      <c r="C1128" s="373"/>
      <c r="D1128" s="373"/>
      <c r="E1128" s="253"/>
      <c r="F1128" s="373"/>
      <c r="G1128" s="373"/>
      <c r="H1128" s="373"/>
      <c r="I1128" s="253"/>
      <c r="J1128" s="373"/>
      <c r="K1128" s="373"/>
      <c r="L1128" s="373"/>
      <c r="M1128" s="236"/>
    </row>
    <row r="1129" spans="1:13" x14ac:dyDescent="0.3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3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3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3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3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3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3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3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3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3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3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3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3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3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3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3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3">
      <c r="A1145" s="241"/>
      <c r="B1145" s="373"/>
      <c r="C1145" s="373"/>
      <c r="D1145" s="373"/>
      <c r="E1145" s="253"/>
      <c r="F1145" s="373"/>
      <c r="G1145" s="373"/>
      <c r="H1145" s="373"/>
      <c r="I1145" s="253"/>
      <c r="J1145" s="373"/>
      <c r="K1145" s="373"/>
      <c r="L1145" s="373"/>
      <c r="M1145" s="236"/>
    </row>
    <row r="1146" spans="1:13" x14ac:dyDescent="0.3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3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3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3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3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3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3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3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3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3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3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3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3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3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3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3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3">
      <c r="A1162" s="241"/>
      <c r="B1162" s="373"/>
      <c r="C1162" s="373"/>
      <c r="D1162" s="373"/>
      <c r="E1162" s="253"/>
      <c r="F1162" s="373"/>
      <c r="G1162" s="373"/>
      <c r="H1162" s="373"/>
      <c r="I1162" s="253"/>
      <c r="J1162" s="373"/>
      <c r="K1162" s="373"/>
      <c r="L1162" s="373"/>
      <c r="M1162" s="236"/>
    </row>
    <row r="1163" spans="1:13" x14ac:dyDescent="0.3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3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3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3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3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3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3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3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3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3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3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3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3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3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3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3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3">
      <c r="A1179" s="241"/>
      <c r="B1179" s="373"/>
      <c r="C1179" s="373"/>
      <c r="D1179" s="373"/>
      <c r="E1179" s="253"/>
      <c r="F1179" s="373"/>
      <c r="G1179" s="373"/>
      <c r="H1179" s="373"/>
      <c r="I1179" s="253"/>
      <c r="J1179" s="373"/>
      <c r="K1179" s="373"/>
      <c r="L1179" s="373"/>
      <c r="M1179" s="236"/>
    </row>
    <row r="1180" spans="1:13" x14ac:dyDescent="0.3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3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3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3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3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3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3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3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3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3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3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3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3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3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3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3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3">
      <c r="A1196" s="241"/>
      <c r="B1196" s="373"/>
      <c r="C1196" s="373"/>
      <c r="D1196" s="373"/>
      <c r="E1196" s="253"/>
      <c r="F1196" s="373"/>
      <c r="G1196" s="373"/>
      <c r="H1196" s="373"/>
      <c r="I1196" s="253"/>
      <c r="J1196" s="373"/>
      <c r="K1196" s="373"/>
      <c r="L1196" s="373"/>
      <c r="M1196" s="236"/>
    </row>
    <row r="1197" spans="1:13" x14ac:dyDescent="0.3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3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3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3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3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3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3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3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3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3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3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3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3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3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3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3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3">
      <c r="A1213" s="241"/>
      <c r="B1213" s="373"/>
      <c r="C1213" s="373"/>
      <c r="D1213" s="373"/>
      <c r="E1213" s="253"/>
      <c r="F1213" s="373"/>
      <c r="G1213" s="373"/>
      <c r="H1213" s="373"/>
      <c r="I1213" s="253"/>
      <c r="J1213" s="373"/>
      <c r="K1213" s="373"/>
      <c r="L1213" s="373"/>
      <c r="M1213" s="236"/>
    </row>
    <row r="1214" spans="1:13" x14ac:dyDescent="0.3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3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3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3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3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3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3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3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3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3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3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3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3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3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3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3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3">
      <c r="A1230" s="241"/>
      <c r="B1230" s="373"/>
      <c r="C1230" s="373"/>
      <c r="D1230" s="373"/>
      <c r="E1230" s="253"/>
      <c r="F1230" s="373"/>
      <c r="G1230" s="373"/>
      <c r="H1230" s="373"/>
      <c r="I1230" s="253"/>
      <c r="J1230" s="373"/>
      <c r="K1230" s="373"/>
      <c r="L1230" s="373"/>
      <c r="M1230" s="236"/>
    </row>
    <row r="1231" spans="1:13" x14ac:dyDescent="0.3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3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3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3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3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3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3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3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3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3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3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3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3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3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3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3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3">
      <c r="A1247" s="241"/>
      <c r="B1247" s="373"/>
      <c r="C1247" s="373"/>
      <c r="D1247" s="373"/>
      <c r="E1247" s="253"/>
      <c r="F1247" s="373"/>
      <c r="G1247" s="373"/>
      <c r="H1247" s="373"/>
      <c r="I1247" s="253"/>
      <c r="J1247" s="373"/>
      <c r="K1247" s="373"/>
      <c r="L1247" s="373"/>
      <c r="M1247" s="236"/>
    </row>
    <row r="1248" spans="1:13" x14ac:dyDescent="0.3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3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3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3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3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3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3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3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3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3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3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3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3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3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3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3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3">
      <c r="A1264" s="241"/>
      <c r="B1264" s="373"/>
      <c r="C1264" s="373"/>
      <c r="D1264" s="373"/>
      <c r="E1264" s="253"/>
      <c r="F1264" s="373"/>
      <c r="G1264" s="373"/>
      <c r="H1264" s="373"/>
      <c r="I1264" s="253"/>
      <c r="J1264" s="373"/>
      <c r="K1264" s="373"/>
      <c r="L1264" s="373"/>
      <c r="M1264" s="236"/>
    </row>
    <row r="1265" spans="1:13" x14ac:dyDescent="0.3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3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3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3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3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3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3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3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3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3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3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3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3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3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3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3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3">
      <c r="A1281" s="241"/>
      <c r="B1281" s="373"/>
      <c r="C1281" s="373"/>
      <c r="D1281" s="373"/>
      <c r="E1281" s="253"/>
      <c r="F1281" s="373"/>
      <c r="G1281" s="373"/>
      <c r="H1281" s="373"/>
      <c r="I1281" s="253"/>
      <c r="J1281" s="373"/>
      <c r="K1281" s="373"/>
      <c r="L1281" s="373"/>
      <c r="M1281" s="236"/>
    </row>
    <row r="1282" spans="1:13" x14ac:dyDescent="0.3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3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3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3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3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3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3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3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3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3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3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3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3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3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3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3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3">
      <c r="A1298" s="241"/>
      <c r="B1298" s="373"/>
      <c r="C1298" s="373"/>
      <c r="D1298" s="373"/>
      <c r="E1298" s="253"/>
      <c r="F1298" s="373"/>
      <c r="G1298" s="373"/>
      <c r="H1298" s="373"/>
      <c r="I1298" s="253"/>
      <c r="J1298" s="373"/>
      <c r="K1298" s="373"/>
      <c r="L1298" s="373"/>
      <c r="M1298" s="236"/>
    </row>
    <row r="1299" spans="1:13" x14ac:dyDescent="0.3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3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3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3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3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3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3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3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3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3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3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3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3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3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8" max="20" man="1"/>
  </rowBreaks>
  <colBreaks count="1" manualBreakCount="1">
    <brk id="21" max="1048575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3"/>
  <dimension ref="A1:AU54"/>
  <sheetViews>
    <sheetView showGridLines="0" zoomScale="85" zoomScaleNormal="85" workbookViewId="0"/>
  </sheetViews>
  <sheetFormatPr defaultColWidth="9.15234375" defaultRowHeight="12.45" x14ac:dyDescent="0.3"/>
  <cols>
    <col min="1" max="1" width="39.23046875" customWidth="1"/>
    <col min="2" max="2" width="5.69140625" bestFit="1" customWidth="1"/>
    <col min="3" max="4" width="4.15234375" bestFit="1" customWidth="1"/>
    <col min="5" max="5" width="5.69140625" bestFit="1" customWidth="1"/>
    <col min="6" max="6" width="2.84375" customWidth="1"/>
    <col min="7" max="7" width="5.69140625" bestFit="1" customWidth="1"/>
    <col min="8" max="9" width="4.15234375" bestFit="1" customWidth="1"/>
    <col min="10" max="10" width="5.69140625" bestFit="1" customWidth="1"/>
    <col min="11" max="11" width="2.84375" customWidth="1"/>
    <col min="12" max="13" width="5.69140625" bestFit="1" customWidth="1"/>
    <col min="14" max="14" width="4.15234375" bestFit="1" customWidth="1"/>
    <col min="15" max="15" width="5.69140625" bestFit="1" customWidth="1"/>
    <col min="16" max="16" width="6.69140625" customWidth="1"/>
    <col min="17" max="17" width="39.23046875" customWidth="1"/>
    <col min="18" max="18" width="6.69140625" customWidth="1"/>
    <col min="19" max="20" width="5.69140625" customWidth="1"/>
    <col min="21" max="21" width="6.69140625" customWidth="1"/>
    <col min="22" max="22" width="2.84375" customWidth="1"/>
    <col min="23" max="23" width="6.69140625" customWidth="1"/>
    <col min="24" max="25" width="5.69140625" customWidth="1"/>
    <col min="26" max="26" width="6.69140625" customWidth="1"/>
    <col min="27" max="27" width="2.84375" customWidth="1"/>
    <col min="28" max="29" width="6.69140625" customWidth="1"/>
    <col min="30" max="30" width="5.69140625" customWidth="1"/>
    <col min="31" max="31" width="6.69140625" customWidth="1"/>
    <col min="32" max="32" width="6.84375" customWidth="1"/>
    <col min="33" max="33" width="39.23046875" customWidth="1"/>
    <col min="34" max="34" width="6.69140625" customWidth="1"/>
    <col min="35" max="36" width="5.69140625" customWidth="1"/>
    <col min="37" max="37" width="6.69140625" customWidth="1"/>
    <col min="38" max="38" width="2.84375" customWidth="1"/>
    <col min="39" max="39" width="6.69140625" customWidth="1"/>
    <col min="40" max="41" width="5.69140625" customWidth="1"/>
    <col min="42" max="42" width="6.69140625" customWidth="1"/>
    <col min="43" max="43" width="2.84375" customWidth="1"/>
    <col min="44" max="45" width="6.69140625" customWidth="1"/>
    <col min="46" max="46" width="5.69140625" customWidth="1"/>
    <col min="47" max="47" width="6.69140625" customWidth="1"/>
  </cols>
  <sheetData>
    <row r="1" spans="1:47" ht="15.45" x14ac:dyDescent="0.4">
      <c r="A1" s="18" t="str">
        <f>CONCATENATE("Occupation Table 5  Employment Change by Status (SOC 2020), ",B$5,"-",L$5,", ",Info!B5)</f>
        <v>Occupation Table 5  Employment Change by Status (SOC 2020), 2015-2035, East</v>
      </c>
      <c r="Q1" s="18" t="str">
        <f>CONCATENATE("Occupation Table 5.1  Males: Employment Change by Status (SOC 2020), ",B$5,"-",L$5,", ",Info!B5)</f>
        <v>Occupation Table 5.1  Males: Employment Change by Status (SOC 2020), 2015-2035, East</v>
      </c>
      <c r="AG1" s="18" t="str">
        <f>CONCATENATE("Occupation Table 5.2  Females: Employment Change by Status (SOC 2020), ",R$5,"-",AB$5,", ",Info!B5)</f>
        <v>Occupation Table 5.2  Females: Employment Change by Status (SOC 2020), 2015-2035, East</v>
      </c>
    </row>
    <row r="2" spans="1:47" x14ac:dyDescent="0.3">
      <c r="A2" s="1" t="s">
        <v>538</v>
      </c>
    </row>
    <row r="3" spans="1:47" x14ac:dyDescent="0.3">
      <c r="O3" s="15" t="s">
        <v>35</v>
      </c>
      <c r="AE3" s="15" t="s">
        <v>35</v>
      </c>
      <c r="AU3" s="15" t="s">
        <v>35</v>
      </c>
    </row>
    <row r="4" spans="1:47" x14ac:dyDescent="0.3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</row>
    <row r="5" spans="1:47" x14ac:dyDescent="0.3">
      <c r="B5" s="376">
        <v>2015</v>
      </c>
      <c r="C5" s="376"/>
      <c r="D5" s="376"/>
      <c r="E5" s="376"/>
      <c r="F5" s="1"/>
      <c r="G5" s="376">
        <v>2020</v>
      </c>
      <c r="H5" s="376"/>
      <c r="I5" s="376"/>
      <c r="J5" s="376"/>
      <c r="K5" s="1"/>
      <c r="L5" s="376">
        <v>2035</v>
      </c>
      <c r="M5" s="376"/>
      <c r="N5" s="376"/>
      <c r="O5" s="376"/>
      <c r="R5" s="376">
        <f>B5</f>
        <v>2015</v>
      </c>
      <c r="S5" s="376"/>
      <c r="T5" s="376"/>
      <c r="U5" s="376"/>
      <c r="V5" s="1"/>
      <c r="W5" s="376">
        <f>G5</f>
        <v>2020</v>
      </c>
      <c r="X5" s="376"/>
      <c r="Y5" s="376"/>
      <c r="Z5" s="376"/>
      <c r="AA5" s="1"/>
      <c r="AB5" s="376">
        <f>L5</f>
        <v>2035</v>
      </c>
      <c r="AC5" s="376"/>
      <c r="AD5" s="376"/>
      <c r="AE5" s="376"/>
      <c r="AH5" s="376">
        <f>B5</f>
        <v>2015</v>
      </c>
      <c r="AI5" s="376"/>
      <c r="AJ5" s="376"/>
      <c r="AK5" s="376"/>
      <c r="AL5" s="1"/>
      <c r="AM5" s="376">
        <f>G5</f>
        <v>2020</v>
      </c>
      <c r="AN5" s="376"/>
      <c r="AO5" s="376"/>
      <c r="AP5" s="376"/>
      <c r="AQ5" s="1"/>
      <c r="AR5" s="376">
        <f>L5</f>
        <v>2035</v>
      </c>
      <c r="AS5" s="376"/>
      <c r="AT5" s="376"/>
      <c r="AU5" s="376"/>
    </row>
    <row r="6" spans="1:47" x14ac:dyDescent="0.3">
      <c r="A6" s="40" t="s">
        <v>13</v>
      </c>
      <c r="B6" s="337" t="s">
        <v>339</v>
      </c>
      <c r="C6" s="337" t="s">
        <v>341</v>
      </c>
      <c r="D6" s="337" t="s">
        <v>337</v>
      </c>
      <c r="E6" s="337" t="s">
        <v>32</v>
      </c>
      <c r="F6" s="338"/>
      <c r="G6" s="337" t="s">
        <v>339</v>
      </c>
      <c r="H6" s="337" t="s">
        <v>341</v>
      </c>
      <c r="I6" s="337" t="s">
        <v>337</v>
      </c>
      <c r="J6" s="337" t="s">
        <v>32</v>
      </c>
      <c r="K6" s="338"/>
      <c r="L6" s="337" t="s">
        <v>339</v>
      </c>
      <c r="M6" s="337" t="s">
        <v>341</v>
      </c>
      <c r="N6" s="337" t="s">
        <v>337</v>
      </c>
      <c r="O6" s="337" t="s">
        <v>32</v>
      </c>
      <c r="Q6" s="40" t="s">
        <v>13</v>
      </c>
      <c r="R6" s="337" t="s">
        <v>339</v>
      </c>
      <c r="S6" s="337" t="s">
        <v>341</v>
      </c>
      <c r="T6" s="337" t="s">
        <v>337</v>
      </c>
      <c r="U6" s="337" t="s">
        <v>32</v>
      </c>
      <c r="V6" s="338"/>
      <c r="W6" s="337" t="s">
        <v>339</v>
      </c>
      <c r="X6" s="337" t="s">
        <v>341</v>
      </c>
      <c r="Y6" s="337" t="s">
        <v>337</v>
      </c>
      <c r="Z6" s="337" t="s">
        <v>32</v>
      </c>
      <c r="AA6" s="338"/>
      <c r="AB6" s="337" t="s">
        <v>339</v>
      </c>
      <c r="AC6" s="337" t="s">
        <v>341</v>
      </c>
      <c r="AD6" s="337" t="s">
        <v>337</v>
      </c>
      <c r="AE6" s="337" t="s">
        <v>32</v>
      </c>
      <c r="AG6" s="40" t="s">
        <v>13</v>
      </c>
      <c r="AH6" s="337" t="s">
        <v>339</v>
      </c>
      <c r="AI6" s="337" t="s">
        <v>341</v>
      </c>
      <c r="AJ6" s="337" t="s">
        <v>337</v>
      </c>
      <c r="AK6" s="337" t="s">
        <v>32</v>
      </c>
      <c r="AL6" s="338"/>
      <c r="AM6" s="337" t="s">
        <v>339</v>
      </c>
      <c r="AN6" s="337" t="s">
        <v>341</v>
      </c>
      <c r="AO6" s="337" t="s">
        <v>337</v>
      </c>
      <c r="AP6" s="337" t="s">
        <v>32</v>
      </c>
      <c r="AQ6" s="338"/>
      <c r="AR6" s="337" t="s">
        <v>339</v>
      </c>
      <c r="AS6" s="337" t="s">
        <v>341</v>
      </c>
      <c r="AT6" s="337" t="s">
        <v>337</v>
      </c>
      <c r="AU6" s="337" t="s">
        <v>32</v>
      </c>
    </row>
    <row r="7" spans="1:47" x14ac:dyDescent="0.3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3">
      <c r="A8" t="str">
        <f>name!E4</f>
        <v>Managers, directors and senior officials</v>
      </c>
      <c r="B8" s="11">
        <v>224.52606433860015</v>
      </c>
      <c r="C8" s="11">
        <v>34.113586934007515</v>
      </c>
      <c r="D8" s="11">
        <v>58.659560760189692</v>
      </c>
      <c r="E8" s="11">
        <f>SUM(B8:D8)</f>
        <v>317.29921203279741</v>
      </c>
      <c r="F8" s="11"/>
      <c r="G8" s="11">
        <v>248.28300207181491</v>
      </c>
      <c r="H8" s="11">
        <v>53.498608953706018</v>
      </c>
      <c r="I8" s="11">
        <v>63.093993082265399</v>
      </c>
      <c r="J8" s="11">
        <f>SUM(G8:I8)</f>
        <v>364.87560410778633</v>
      </c>
      <c r="K8" s="11"/>
      <c r="L8" s="11">
        <v>283.65982245638082</v>
      </c>
      <c r="M8" s="11">
        <v>69.551775156145609</v>
      </c>
      <c r="N8" s="11">
        <v>72.841478703804256</v>
      </c>
      <c r="O8" s="11">
        <f>SUM(L8:N8)</f>
        <v>426.0530763163307</v>
      </c>
      <c r="Q8" s="10" t="str">
        <f>name!E4</f>
        <v>Managers, directors and senior officials</v>
      </c>
      <c r="R8" s="11">
        <v>162.19528159975906</v>
      </c>
      <c r="S8" s="11">
        <v>11.212033929419498</v>
      </c>
      <c r="T8" s="11">
        <v>40.169184177791799</v>
      </c>
      <c r="U8" s="11">
        <f>SUM(R8:T8)</f>
        <v>213.57649970697037</v>
      </c>
      <c r="V8" s="11"/>
      <c r="W8" s="11">
        <v>174.12861323000917</v>
      </c>
      <c r="X8" s="11">
        <v>19.07770687329716</v>
      </c>
      <c r="Y8" s="11">
        <v>41.60900043988476</v>
      </c>
      <c r="Z8" s="11">
        <f>SUM(W8:Y8)</f>
        <v>234.81532054319109</v>
      </c>
      <c r="AA8" s="11"/>
      <c r="AB8" s="11">
        <v>185.43916338315353</v>
      </c>
      <c r="AC8" s="11">
        <v>24.562489177143593</v>
      </c>
      <c r="AD8" s="11">
        <v>49.424233855760683</v>
      </c>
      <c r="AE8" s="11">
        <f>SUM(AB8:AD8)</f>
        <v>259.42588641605778</v>
      </c>
      <c r="AG8" s="10" t="str">
        <f>name!E4</f>
        <v>Managers, directors and senior officials</v>
      </c>
      <c r="AH8" s="11">
        <v>62.330782738841009</v>
      </c>
      <c r="AI8" s="11">
        <v>22.901553004588017</v>
      </c>
      <c r="AJ8" s="11">
        <v>18.490376582397875</v>
      </c>
      <c r="AK8" s="11">
        <f>SUM(AH8:AJ8)</f>
        <v>103.72271232582689</v>
      </c>
      <c r="AL8" s="11"/>
      <c r="AM8" s="11">
        <v>74.154388841805883</v>
      </c>
      <c r="AN8" s="11">
        <v>34.420902080408879</v>
      </c>
      <c r="AO8" s="11">
        <v>21.484992642380611</v>
      </c>
      <c r="AP8" s="11">
        <f>SUM(AM8:AO8)</f>
        <v>130.06028356459538</v>
      </c>
      <c r="AQ8" s="11"/>
      <c r="AR8" s="11">
        <v>98.220659073227012</v>
      </c>
      <c r="AS8" s="11">
        <v>44.989285979001977</v>
      </c>
      <c r="AT8" s="11">
        <v>23.41724484804357</v>
      </c>
      <c r="AU8" s="11">
        <f>SUM(AR8:AT8)</f>
        <v>166.62718990027255</v>
      </c>
    </row>
    <row r="9" spans="1:47" x14ac:dyDescent="0.3">
      <c r="A9" t="str">
        <f>name!E5</f>
        <v>Professional occupations</v>
      </c>
      <c r="B9" s="11">
        <v>394.94910285152667</v>
      </c>
      <c r="C9" s="11">
        <v>107.83285549777548</v>
      </c>
      <c r="D9" s="11">
        <v>83.522339377179364</v>
      </c>
      <c r="E9" s="11">
        <f t="shared" ref="E9:E18" si="0">SUM(B9:D9)</f>
        <v>586.30429772648154</v>
      </c>
      <c r="F9" s="11"/>
      <c r="G9" s="11">
        <v>477.98642313291793</v>
      </c>
      <c r="H9" s="11">
        <v>146.78375038029151</v>
      </c>
      <c r="I9" s="11">
        <v>80.047012044125069</v>
      </c>
      <c r="J9" s="11">
        <f t="shared" ref="J9:J16" si="1">SUM(G9:I9)</f>
        <v>704.81718555733448</v>
      </c>
      <c r="K9" s="11"/>
      <c r="L9" s="11">
        <v>584.78598745840384</v>
      </c>
      <c r="M9" s="11">
        <v>184.38254981844949</v>
      </c>
      <c r="N9" s="11">
        <v>82.156734036429768</v>
      </c>
      <c r="O9" s="11">
        <f t="shared" ref="O9:O16" si="2">SUM(L9:N9)</f>
        <v>851.32527131328311</v>
      </c>
      <c r="Q9" s="10" t="str">
        <f>name!E5</f>
        <v>Professional occupations</v>
      </c>
      <c r="R9" s="11">
        <v>248.09808886341295</v>
      </c>
      <c r="S9" s="11">
        <v>23.8134310164337</v>
      </c>
      <c r="T9" s="11">
        <v>55.364083219746966</v>
      </c>
      <c r="U9" s="11">
        <f t="shared" ref="U9:U16" si="3">SUM(R9:T9)</f>
        <v>327.27560309959364</v>
      </c>
      <c r="V9" s="11"/>
      <c r="W9" s="11">
        <v>290.67224408007701</v>
      </c>
      <c r="X9" s="11">
        <v>36.747398285625742</v>
      </c>
      <c r="Y9" s="11">
        <v>46.295104315135696</v>
      </c>
      <c r="Z9" s="11">
        <f t="shared" ref="Z9:Z16" si="4">SUM(W9:Y9)</f>
        <v>373.71474668083846</v>
      </c>
      <c r="AA9" s="11"/>
      <c r="AB9" s="11">
        <v>344.25684837902583</v>
      </c>
      <c r="AC9" s="11">
        <v>50.782110554858846</v>
      </c>
      <c r="AD9" s="11">
        <v>44.505689391715748</v>
      </c>
      <c r="AE9" s="11">
        <f t="shared" ref="AE9:AE16" si="5">SUM(AB9:AD9)</f>
        <v>439.54464832560041</v>
      </c>
      <c r="AG9" s="10" t="str">
        <f>name!E5</f>
        <v>Professional occupations</v>
      </c>
      <c r="AH9" s="11">
        <v>146.85101398811409</v>
      </c>
      <c r="AI9" s="11">
        <v>84.019424481341758</v>
      </c>
      <c r="AJ9" s="11">
        <v>28.158256157432355</v>
      </c>
      <c r="AK9" s="11">
        <f t="shared" ref="AK9:AK18" si="6">SUM(AH9:AJ9)</f>
        <v>259.02869462688818</v>
      </c>
      <c r="AL9" s="11"/>
      <c r="AM9" s="11">
        <v>187.31417905284113</v>
      </c>
      <c r="AN9" s="11">
        <v>110.03635209466577</v>
      </c>
      <c r="AO9" s="11">
        <v>33.751907728989337</v>
      </c>
      <c r="AP9" s="11">
        <f t="shared" ref="AP9:AP18" si="7">SUM(AM9:AO9)</f>
        <v>331.10243887649625</v>
      </c>
      <c r="AQ9" s="11"/>
      <c r="AR9" s="11">
        <v>240.52913907937804</v>
      </c>
      <c r="AS9" s="11">
        <v>133.6004392635906</v>
      </c>
      <c r="AT9" s="11">
        <v>37.651044644713956</v>
      </c>
      <c r="AU9" s="11">
        <f t="shared" ref="AU9:AU18" si="8">SUM(AR9:AT9)</f>
        <v>411.78062298768265</v>
      </c>
    </row>
    <row r="10" spans="1:47" x14ac:dyDescent="0.3">
      <c r="A10" t="str">
        <f>name!E6</f>
        <v>Associate professional occupations</v>
      </c>
      <c r="B10" s="11">
        <v>238.37267833989654</v>
      </c>
      <c r="C10" s="11">
        <v>67.456503449404551</v>
      </c>
      <c r="D10" s="11">
        <v>63.162305314975882</v>
      </c>
      <c r="E10" s="11">
        <f t="shared" si="0"/>
        <v>368.99148710427693</v>
      </c>
      <c r="F10" s="11"/>
      <c r="G10" s="11">
        <v>274.05442072680756</v>
      </c>
      <c r="H10" s="11">
        <v>84.94906348660966</v>
      </c>
      <c r="I10" s="11">
        <v>65.883082670615565</v>
      </c>
      <c r="J10" s="11">
        <f t="shared" si="1"/>
        <v>424.88656688403279</v>
      </c>
      <c r="K10" s="11"/>
      <c r="L10" s="11">
        <v>294.9019055204559</v>
      </c>
      <c r="M10" s="11">
        <v>92.006780948430304</v>
      </c>
      <c r="N10" s="11">
        <v>68.10458774552076</v>
      </c>
      <c r="O10" s="11">
        <f t="shared" si="2"/>
        <v>455.01327421440698</v>
      </c>
      <c r="Q10" s="10" t="str">
        <f>name!E6</f>
        <v>Associate professional occupations</v>
      </c>
      <c r="R10" s="11">
        <v>153.29347246689827</v>
      </c>
      <c r="S10" s="11">
        <v>17.088964855436753</v>
      </c>
      <c r="T10" s="11">
        <v>31.16011593270537</v>
      </c>
      <c r="U10" s="11">
        <f t="shared" si="3"/>
        <v>201.54255325504039</v>
      </c>
      <c r="V10" s="11"/>
      <c r="W10" s="11">
        <v>170.4928642412047</v>
      </c>
      <c r="X10" s="11">
        <v>25.005794538582339</v>
      </c>
      <c r="Y10" s="11">
        <v>29.611617577111023</v>
      </c>
      <c r="Z10" s="11">
        <f t="shared" si="4"/>
        <v>225.11027635689805</v>
      </c>
      <c r="AA10" s="11"/>
      <c r="AB10" s="11">
        <v>170.10059058894311</v>
      </c>
      <c r="AC10" s="11">
        <v>23.00171330856579</v>
      </c>
      <c r="AD10" s="11">
        <v>29.28956896497931</v>
      </c>
      <c r="AE10" s="11">
        <f t="shared" si="5"/>
        <v>222.39187286248821</v>
      </c>
      <c r="AG10" s="10" t="str">
        <f>name!E6</f>
        <v>Associate professional occupations</v>
      </c>
      <c r="AH10" s="11">
        <v>85.079205872998259</v>
      </c>
      <c r="AI10" s="11">
        <v>50.367538593967751</v>
      </c>
      <c r="AJ10" s="11">
        <v>32.00218938227048</v>
      </c>
      <c r="AK10" s="11">
        <f t="shared" si="6"/>
        <v>167.44893384923648</v>
      </c>
      <c r="AL10" s="11"/>
      <c r="AM10" s="11">
        <v>103.56155648560295</v>
      </c>
      <c r="AN10" s="11">
        <v>59.943268948027317</v>
      </c>
      <c r="AO10" s="11">
        <v>36.271465093504553</v>
      </c>
      <c r="AP10" s="11">
        <f t="shared" si="7"/>
        <v>199.77629052713482</v>
      </c>
      <c r="AQ10" s="11"/>
      <c r="AR10" s="11">
        <v>124.80131493151289</v>
      </c>
      <c r="AS10" s="11">
        <v>69.005067639864507</v>
      </c>
      <c r="AT10" s="11">
        <v>38.815018780541443</v>
      </c>
      <c r="AU10" s="11">
        <f t="shared" si="8"/>
        <v>232.62140135191885</v>
      </c>
    </row>
    <row r="11" spans="1:47" x14ac:dyDescent="0.3">
      <c r="A11" t="str">
        <f>name!E7</f>
        <v>Administrative and secretarial occupations</v>
      </c>
      <c r="B11" s="11">
        <v>175.41527836211341</v>
      </c>
      <c r="C11" s="11">
        <v>141.8932389737447</v>
      </c>
      <c r="D11" s="11">
        <v>17.941704427749254</v>
      </c>
      <c r="E11" s="11">
        <f t="shared" si="0"/>
        <v>335.25022176360739</v>
      </c>
      <c r="F11" s="11"/>
      <c r="G11" s="11">
        <v>174.32500291764333</v>
      </c>
      <c r="H11" s="11">
        <v>140.95457263962157</v>
      </c>
      <c r="I11" s="11">
        <v>15.43090388279105</v>
      </c>
      <c r="J11" s="11">
        <f t="shared" si="1"/>
        <v>330.71047944005596</v>
      </c>
      <c r="K11" s="11"/>
      <c r="L11" s="11">
        <v>146.8459075045557</v>
      </c>
      <c r="M11" s="11">
        <v>118.78694686644894</v>
      </c>
      <c r="N11" s="11">
        <v>14.721948827683612</v>
      </c>
      <c r="O11" s="11">
        <f t="shared" si="2"/>
        <v>280.35480319868827</v>
      </c>
      <c r="Q11" s="10" t="str">
        <f>name!E7</f>
        <v>Administrative and secretarial occupations</v>
      </c>
      <c r="R11" s="11">
        <v>52.938672259730247</v>
      </c>
      <c r="S11" s="11">
        <v>13.717534549123867</v>
      </c>
      <c r="T11" s="11">
        <v>5.7115090125146581</v>
      </c>
      <c r="U11" s="11">
        <f t="shared" si="3"/>
        <v>72.367715821368762</v>
      </c>
      <c r="V11" s="11"/>
      <c r="W11" s="11">
        <v>57.166374714328335</v>
      </c>
      <c r="X11" s="11">
        <v>16.614772037321558</v>
      </c>
      <c r="Y11" s="11">
        <v>4.1286112103717638</v>
      </c>
      <c r="Z11" s="11">
        <f t="shared" si="4"/>
        <v>77.909757962021644</v>
      </c>
      <c r="AA11" s="11"/>
      <c r="AB11" s="11">
        <v>61.021195154535683</v>
      </c>
      <c r="AC11" s="11">
        <v>15.322178597513821</v>
      </c>
      <c r="AD11" s="11">
        <v>6.0512309468282233</v>
      </c>
      <c r="AE11" s="11">
        <f t="shared" si="5"/>
        <v>82.394604698877728</v>
      </c>
      <c r="AG11" s="10" t="str">
        <f>name!E7</f>
        <v>Administrative and secretarial occupations</v>
      </c>
      <c r="AH11" s="11">
        <v>122.476606102383</v>
      </c>
      <c r="AI11" s="11">
        <v>128.17570442462087</v>
      </c>
      <c r="AJ11" s="11">
        <v>12.230195415234588</v>
      </c>
      <c r="AK11" s="11">
        <f t="shared" si="6"/>
        <v>262.88250594223842</v>
      </c>
      <c r="AL11" s="11"/>
      <c r="AM11" s="11">
        <v>117.15862820331522</v>
      </c>
      <c r="AN11" s="11">
        <v>124.3398006023</v>
      </c>
      <c r="AO11" s="11">
        <v>11.302292672419281</v>
      </c>
      <c r="AP11" s="11">
        <f t="shared" si="7"/>
        <v>252.80072147803449</v>
      </c>
      <c r="AQ11" s="11"/>
      <c r="AR11" s="11">
        <v>85.824712350019851</v>
      </c>
      <c r="AS11" s="11">
        <v>103.46476826893507</v>
      </c>
      <c r="AT11" s="11">
        <v>8.6707178808553866</v>
      </c>
      <c r="AU11" s="11">
        <f t="shared" si="8"/>
        <v>197.96019849981033</v>
      </c>
    </row>
    <row r="12" spans="1:47" x14ac:dyDescent="0.3">
      <c r="A12" t="str">
        <f>name!E8</f>
        <v>Skilled trades occupations</v>
      </c>
      <c r="B12" s="11">
        <v>184.44372157499637</v>
      </c>
      <c r="C12" s="11">
        <v>31.773352950764952</v>
      </c>
      <c r="D12" s="11">
        <v>108.71421542741129</v>
      </c>
      <c r="E12" s="11">
        <f t="shared" si="0"/>
        <v>324.93128995317261</v>
      </c>
      <c r="F12" s="11"/>
      <c r="G12" s="11">
        <v>146.53181878649482</v>
      </c>
      <c r="H12" s="11">
        <v>27.35217824353953</v>
      </c>
      <c r="I12" s="11">
        <v>97.582597076204749</v>
      </c>
      <c r="J12" s="11">
        <f t="shared" si="1"/>
        <v>271.46659410623909</v>
      </c>
      <c r="K12" s="11"/>
      <c r="L12" s="11">
        <v>129.81090444964209</v>
      </c>
      <c r="M12" s="11">
        <v>33.333877445355128</v>
      </c>
      <c r="N12" s="11">
        <v>114.49764440463532</v>
      </c>
      <c r="O12" s="11">
        <f t="shared" si="2"/>
        <v>277.64242629963252</v>
      </c>
      <c r="Q12" s="10" t="str">
        <f>name!E8</f>
        <v>Skilled trades occupations</v>
      </c>
      <c r="R12" s="11">
        <v>170.18800490487612</v>
      </c>
      <c r="S12" s="11">
        <v>19.524989913751043</v>
      </c>
      <c r="T12" s="11">
        <v>99.414229116553983</v>
      </c>
      <c r="U12" s="11">
        <f t="shared" si="3"/>
        <v>289.12722393518118</v>
      </c>
      <c r="V12" s="11"/>
      <c r="W12" s="11">
        <v>132.14405327766755</v>
      </c>
      <c r="X12" s="11">
        <v>15.695634163964078</v>
      </c>
      <c r="Y12" s="11">
        <v>85.599355610887372</v>
      </c>
      <c r="Z12" s="11">
        <f t="shared" si="4"/>
        <v>233.43904305251903</v>
      </c>
      <c r="AA12" s="11"/>
      <c r="AB12" s="11">
        <v>112.03069673747444</v>
      </c>
      <c r="AC12" s="11">
        <v>18.96286922558021</v>
      </c>
      <c r="AD12" s="11">
        <v>98.045798314855233</v>
      </c>
      <c r="AE12" s="11">
        <f t="shared" si="5"/>
        <v>229.0393642779099</v>
      </c>
      <c r="AG12" s="10" t="str">
        <f>name!E8</f>
        <v>Skilled trades occupations</v>
      </c>
      <c r="AH12" s="11">
        <v>14.255716670120151</v>
      </c>
      <c r="AI12" s="11">
        <v>12.248363037013915</v>
      </c>
      <c r="AJ12" s="11">
        <v>9.2999863108573315</v>
      </c>
      <c r="AK12" s="11">
        <f t="shared" si="6"/>
        <v>35.804066017991403</v>
      </c>
      <c r="AL12" s="11"/>
      <c r="AM12" s="11">
        <v>14.387765508827275</v>
      </c>
      <c r="AN12" s="11">
        <v>11.656544079575436</v>
      </c>
      <c r="AO12" s="11">
        <v>11.983241465317388</v>
      </c>
      <c r="AP12" s="11">
        <f t="shared" si="7"/>
        <v>38.027551053720103</v>
      </c>
      <c r="AQ12" s="11"/>
      <c r="AR12" s="11">
        <v>17.780207712167655</v>
      </c>
      <c r="AS12" s="11">
        <v>14.371008219774929</v>
      </c>
      <c r="AT12" s="11">
        <v>16.451846089780169</v>
      </c>
      <c r="AU12" s="11">
        <f t="shared" si="8"/>
        <v>48.603062021722756</v>
      </c>
    </row>
    <row r="13" spans="1:47" x14ac:dyDescent="0.3">
      <c r="A13" t="str">
        <f>name!E9</f>
        <v>Caring, leisure and other service occupations</v>
      </c>
      <c r="B13" s="11">
        <v>122.91874615359278</v>
      </c>
      <c r="C13" s="11">
        <v>125.92878578072808</v>
      </c>
      <c r="D13" s="11">
        <v>32.030811625095509</v>
      </c>
      <c r="E13" s="11">
        <f t="shared" si="0"/>
        <v>280.87834355941635</v>
      </c>
      <c r="F13" s="11"/>
      <c r="G13" s="11">
        <v>121.49762196330205</v>
      </c>
      <c r="H13" s="11">
        <v>134.59315229321288</v>
      </c>
      <c r="I13" s="11">
        <v>43.421505139943065</v>
      </c>
      <c r="J13" s="11">
        <f t="shared" si="1"/>
        <v>299.51227939645798</v>
      </c>
      <c r="K13" s="11"/>
      <c r="L13" s="11">
        <v>153.19932703907079</v>
      </c>
      <c r="M13" s="11">
        <v>147.83314161668886</v>
      </c>
      <c r="N13" s="11">
        <v>52.469540640128287</v>
      </c>
      <c r="O13" s="11">
        <f t="shared" si="2"/>
        <v>353.50200929588794</v>
      </c>
      <c r="Q13" s="10" t="str">
        <f>name!E9</f>
        <v>Caring, leisure and other service occupations</v>
      </c>
      <c r="R13" s="11">
        <v>33.083034569111405</v>
      </c>
      <c r="S13" s="11">
        <v>15.967449864437338</v>
      </c>
      <c r="T13" s="11">
        <v>4.5446363486484946</v>
      </c>
      <c r="U13" s="11">
        <f t="shared" si="3"/>
        <v>53.595120782197242</v>
      </c>
      <c r="V13" s="11"/>
      <c r="W13" s="11">
        <v>31.875849977365881</v>
      </c>
      <c r="X13" s="11">
        <v>17.060926127024519</v>
      </c>
      <c r="Y13" s="11">
        <v>4.0806969263181747</v>
      </c>
      <c r="Z13" s="11">
        <f t="shared" si="4"/>
        <v>53.01747303070858</v>
      </c>
      <c r="AA13" s="11"/>
      <c r="AB13" s="11">
        <v>43.372248197451441</v>
      </c>
      <c r="AC13" s="11">
        <v>21.081023092823461</v>
      </c>
      <c r="AD13" s="11">
        <v>6.114345217997875</v>
      </c>
      <c r="AE13" s="11">
        <f t="shared" si="5"/>
        <v>70.567616508272778</v>
      </c>
      <c r="AG13" s="10" t="str">
        <f>name!E9</f>
        <v>Caring, leisure and other service occupations</v>
      </c>
      <c r="AH13" s="11">
        <v>89.835711584481359</v>
      </c>
      <c r="AI13" s="11">
        <v>109.96133591629075</v>
      </c>
      <c r="AJ13" s="11">
        <v>27.486175276447007</v>
      </c>
      <c r="AK13" s="11">
        <f t="shared" si="6"/>
        <v>227.28322277721912</v>
      </c>
      <c r="AL13" s="11"/>
      <c r="AM13" s="11">
        <v>89.621771985936149</v>
      </c>
      <c r="AN13" s="11">
        <v>117.53222616618837</v>
      </c>
      <c r="AO13" s="11">
        <v>39.340808213624882</v>
      </c>
      <c r="AP13" s="11">
        <f t="shared" si="7"/>
        <v>246.49480636574941</v>
      </c>
      <c r="AQ13" s="11"/>
      <c r="AR13" s="11">
        <v>109.82707884161937</v>
      </c>
      <c r="AS13" s="11">
        <v>126.75211852386546</v>
      </c>
      <c r="AT13" s="11">
        <v>46.355195422130421</v>
      </c>
      <c r="AU13" s="11">
        <f t="shared" si="8"/>
        <v>282.93439278761525</v>
      </c>
    </row>
    <row r="14" spans="1:47" x14ac:dyDescent="0.3">
      <c r="A14" t="str">
        <f>name!E10</f>
        <v>Sales and customer service occupations</v>
      </c>
      <c r="B14" s="11">
        <v>91.696578708077155</v>
      </c>
      <c r="C14" s="11">
        <v>153.77035584381287</v>
      </c>
      <c r="D14" s="11">
        <v>20.922813266677124</v>
      </c>
      <c r="E14" s="11">
        <f t="shared" si="0"/>
        <v>266.38974781856712</v>
      </c>
      <c r="F14" s="11"/>
      <c r="G14" s="11">
        <v>83.284744129615433</v>
      </c>
      <c r="H14" s="11">
        <v>147.38560182309834</v>
      </c>
      <c r="I14" s="11">
        <v>13.885721739517775</v>
      </c>
      <c r="J14" s="11">
        <f t="shared" si="1"/>
        <v>244.55606769223155</v>
      </c>
      <c r="K14" s="11"/>
      <c r="L14" s="11">
        <v>84.246729498730247</v>
      </c>
      <c r="M14" s="11">
        <v>149.36991235766467</v>
      </c>
      <c r="N14" s="11">
        <v>12.195916083261265</v>
      </c>
      <c r="O14" s="11">
        <f t="shared" si="2"/>
        <v>245.81255793965619</v>
      </c>
      <c r="Q14" s="10" t="str">
        <f>name!E10</f>
        <v>Sales and customer service occupations</v>
      </c>
      <c r="R14" s="11">
        <v>48.244597219776253</v>
      </c>
      <c r="S14" s="11">
        <v>45.590702428610719</v>
      </c>
      <c r="T14" s="11">
        <v>11.612714368162743</v>
      </c>
      <c r="U14" s="11">
        <f t="shared" si="3"/>
        <v>105.44801401654972</v>
      </c>
      <c r="V14" s="11"/>
      <c r="W14" s="11">
        <v>43.685842193680152</v>
      </c>
      <c r="X14" s="11">
        <v>47.65902153314471</v>
      </c>
      <c r="Y14" s="11">
        <v>7.7248130188848432</v>
      </c>
      <c r="Z14" s="11">
        <f t="shared" si="4"/>
        <v>99.0696767457097</v>
      </c>
      <c r="AA14" s="11"/>
      <c r="AB14" s="11">
        <v>47.465039874143706</v>
      </c>
      <c r="AC14" s="11">
        <v>50.141829369376161</v>
      </c>
      <c r="AD14" s="11">
        <v>7.0271904352384214</v>
      </c>
      <c r="AE14" s="11">
        <f t="shared" si="5"/>
        <v>104.63405967875829</v>
      </c>
      <c r="AG14" s="10" t="str">
        <f>name!E10</f>
        <v>Sales and customer service occupations</v>
      </c>
      <c r="AH14" s="11">
        <v>43.451981488300888</v>
      </c>
      <c r="AI14" s="11">
        <v>108.1796534152023</v>
      </c>
      <c r="AJ14" s="11">
        <v>9.3100988985143793</v>
      </c>
      <c r="AK14" s="11">
        <f t="shared" si="6"/>
        <v>160.94173380201758</v>
      </c>
      <c r="AL14" s="11"/>
      <c r="AM14" s="11">
        <v>39.598901935935245</v>
      </c>
      <c r="AN14" s="11">
        <v>99.726580289953645</v>
      </c>
      <c r="AO14" s="11">
        <v>6.1609087206329258</v>
      </c>
      <c r="AP14" s="11">
        <f t="shared" si="7"/>
        <v>145.48639094652182</v>
      </c>
      <c r="AQ14" s="11"/>
      <c r="AR14" s="11">
        <v>36.781689624586519</v>
      </c>
      <c r="AS14" s="11">
        <v>99.228082988288463</v>
      </c>
      <c r="AT14" s="11">
        <v>5.1687256480228463</v>
      </c>
      <c r="AU14" s="11">
        <f t="shared" si="8"/>
        <v>141.17849826089784</v>
      </c>
    </row>
    <row r="15" spans="1:47" x14ac:dyDescent="0.3">
      <c r="A15" t="str">
        <f>name!E11</f>
        <v>Process, plant and machine operatives</v>
      </c>
      <c r="B15" s="11">
        <v>137.02716284902351</v>
      </c>
      <c r="C15" s="11">
        <v>24.927489945040936</v>
      </c>
      <c r="D15" s="11">
        <v>28.823466989335685</v>
      </c>
      <c r="E15" s="11">
        <f t="shared" si="0"/>
        <v>190.77811978340014</v>
      </c>
      <c r="F15" s="11"/>
      <c r="G15" s="11">
        <v>115.18764471513354</v>
      </c>
      <c r="H15" s="11">
        <v>28.714754353786891</v>
      </c>
      <c r="I15" s="11">
        <v>37.713803483526455</v>
      </c>
      <c r="J15" s="11">
        <f t="shared" si="1"/>
        <v>181.61620255244688</v>
      </c>
      <c r="K15" s="11"/>
      <c r="L15" s="11">
        <v>125.76912758453773</v>
      </c>
      <c r="M15" s="11">
        <v>38.650071499721598</v>
      </c>
      <c r="N15" s="11">
        <v>50.22741618409961</v>
      </c>
      <c r="O15" s="11">
        <f t="shared" si="2"/>
        <v>214.64661526835894</v>
      </c>
      <c r="Q15" s="10" t="str">
        <f>name!E11</f>
        <v>Process, plant and machine operatives</v>
      </c>
      <c r="R15" s="11">
        <v>122.52202769512924</v>
      </c>
      <c r="S15" s="11">
        <v>17.114273739332695</v>
      </c>
      <c r="T15" s="11">
        <v>24.733964320200663</v>
      </c>
      <c r="U15" s="11">
        <f t="shared" si="3"/>
        <v>164.3702657546626</v>
      </c>
      <c r="V15" s="11"/>
      <c r="W15" s="11">
        <v>102.89853873202006</v>
      </c>
      <c r="X15" s="11">
        <v>22.112972721219514</v>
      </c>
      <c r="Y15" s="11">
        <v>32.01397302331106</v>
      </c>
      <c r="Z15" s="11">
        <f t="shared" si="4"/>
        <v>157.02548447655062</v>
      </c>
      <c r="AA15" s="11"/>
      <c r="AB15" s="11">
        <v>111.14026875758729</v>
      </c>
      <c r="AC15" s="11">
        <v>26.501369997093366</v>
      </c>
      <c r="AD15" s="11">
        <v>42.234438730755116</v>
      </c>
      <c r="AE15" s="11">
        <f t="shared" si="5"/>
        <v>179.87607748543576</v>
      </c>
      <c r="AG15" s="10" t="str">
        <f>name!E11</f>
        <v>Process, plant and machine operatives</v>
      </c>
      <c r="AH15" s="11">
        <v>14.505135153894257</v>
      </c>
      <c r="AI15" s="11">
        <v>7.8132162057082715</v>
      </c>
      <c r="AJ15" s="11">
        <v>4.0895026691350322</v>
      </c>
      <c r="AK15" s="11">
        <f t="shared" si="6"/>
        <v>26.40785402873756</v>
      </c>
      <c r="AL15" s="11"/>
      <c r="AM15" s="11">
        <v>12.289105983113544</v>
      </c>
      <c r="AN15" s="11">
        <v>6.6017816325673229</v>
      </c>
      <c r="AO15" s="11">
        <v>5.6998304602154697</v>
      </c>
      <c r="AP15" s="11">
        <f t="shared" si="7"/>
        <v>24.590718075896337</v>
      </c>
      <c r="AQ15" s="11"/>
      <c r="AR15" s="11">
        <v>14.628858826950475</v>
      </c>
      <c r="AS15" s="11">
        <v>12.148701502628217</v>
      </c>
      <c r="AT15" s="11">
        <v>7.9929774533443743</v>
      </c>
      <c r="AU15" s="11">
        <f t="shared" si="8"/>
        <v>34.770537782923064</v>
      </c>
    </row>
    <row r="16" spans="1:47" x14ac:dyDescent="0.3">
      <c r="A16" t="str">
        <f>name!E12</f>
        <v>Elementary occupations</v>
      </c>
      <c r="B16" s="11">
        <v>148.03566681758474</v>
      </c>
      <c r="C16" s="11">
        <v>214.93183063032492</v>
      </c>
      <c r="D16" s="11">
        <v>21.988782809883475</v>
      </c>
      <c r="E16" s="11">
        <f t="shared" si="0"/>
        <v>384.95628025779308</v>
      </c>
      <c r="F16" s="11"/>
      <c r="G16" s="11">
        <v>123.29832155647208</v>
      </c>
      <c r="H16" s="11">
        <v>209.57431782248497</v>
      </c>
      <c r="I16" s="11">
        <v>18.878380882857012</v>
      </c>
      <c r="J16" s="11">
        <f t="shared" si="1"/>
        <v>351.75102026181406</v>
      </c>
      <c r="K16" s="11"/>
      <c r="L16" s="11">
        <v>120.54628848767769</v>
      </c>
      <c r="M16" s="11">
        <v>193.17394428840629</v>
      </c>
      <c r="N16" s="11">
        <v>26.212733375572164</v>
      </c>
      <c r="O16" s="11">
        <f t="shared" si="2"/>
        <v>339.93296615165616</v>
      </c>
      <c r="Q16" s="10" t="str">
        <f>name!E12</f>
        <v>Elementary occupations</v>
      </c>
      <c r="R16" s="11">
        <v>109.24682041999114</v>
      </c>
      <c r="S16" s="11">
        <v>76.081619704235422</v>
      </c>
      <c r="T16" s="11">
        <v>16.074563503678604</v>
      </c>
      <c r="U16" s="11">
        <f t="shared" si="3"/>
        <v>201.40300362790518</v>
      </c>
      <c r="V16" s="11"/>
      <c r="W16" s="11">
        <v>89.050619551546561</v>
      </c>
      <c r="X16" s="11">
        <v>76.75877372081402</v>
      </c>
      <c r="Y16" s="11">
        <v>14.992827878295691</v>
      </c>
      <c r="Z16" s="11">
        <f t="shared" si="4"/>
        <v>180.80222115065627</v>
      </c>
      <c r="AA16" s="11"/>
      <c r="AB16" s="11">
        <v>82.44394892517137</v>
      </c>
      <c r="AC16" s="11">
        <v>76.283416677575516</v>
      </c>
      <c r="AD16" s="11">
        <v>22.069504142129023</v>
      </c>
      <c r="AE16" s="11">
        <f t="shared" si="5"/>
        <v>180.79686974487592</v>
      </c>
      <c r="AG16" s="10" t="str">
        <f>name!E12</f>
        <v>Elementary occupations</v>
      </c>
      <c r="AH16" s="11">
        <v>38.788846397593758</v>
      </c>
      <c r="AI16" s="11">
        <v>138.85021092608923</v>
      </c>
      <c r="AJ16" s="11">
        <v>5.9142193062048616</v>
      </c>
      <c r="AK16" s="11">
        <f t="shared" si="6"/>
        <v>183.55327662988788</v>
      </c>
      <c r="AL16" s="11"/>
      <c r="AM16" s="11">
        <v>34.247702004925443</v>
      </c>
      <c r="AN16" s="11">
        <v>132.81554410167087</v>
      </c>
      <c r="AO16" s="11">
        <v>3.8855530045613129</v>
      </c>
      <c r="AP16" s="11">
        <f t="shared" si="7"/>
        <v>170.9487991111576</v>
      </c>
      <c r="AQ16" s="11"/>
      <c r="AR16" s="11">
        <v>38.102339562506387</v>
      </c>
      <c r="AS16" s="11">
        <v>116.89052761083057</v>
      </c>
      <c r="AT16" s="11">
        <v>4.1432292334431455</v>
      </c>
      <c r="AU16" s="11">
        <f t="shared" si="8"/>
        <v>159.1360964067801</v>
      </c>
    </row>
    <row r="17" spans="1:47" x14ac:dyDescent="0.3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3">
      <c r="A18" s="23" t="str">
        <f>name!E3</f>
        <v>All occupations</v>
      </c>
      <c r="B18" s="33">
        <f>SUM(B8:B16)</f>
        <v>1717.3849999954111</v>
      </c>
      <c r="C18" s="33">
        <f t="shared" ref="C18:D18" si="9">SUM(C8:C16)</f>
        <v>902.62800000560401</v>
      </c>
      <c r="D18" s="33">
        <f t="shared" si="9"/>
        <v>435.76599999849714</v>
      </c>
      <c r="E18" s="33">
        <f t="shared" si="0"/>
        <v>3055.7789999995121</v>
      </c>
      <c r="F18" s="33"/>
      <c r="G18" s="33">
        <f>SUM(G8:G16)</f>
        <v>1764.4490000002017</v>
      </c>
      <c r="H18" s="33">
        <f t="shared" ref="H18:I18" si="10">SUM(H8:H16)</f>
        <v>973.80599999635137</v>
      </c>
      <c r="I18" s="33">
        <f t="shared" si="10"/>
        <v>435.93700000184612</v>
      </c>
      <c r="J18" s="33">
        <f t="shared" ref="J18" si="11">SUM(G18:I18)</f>
        <v>3174.1919999983993</v>
      </c>
      <c r="K18" s="33"/>
      <c r="L18" s="33">
        <f>SUM(L8:L16)</f>
        <v>1923.7659999994546</v>
      </c>
      <c r="M18" s="33">
        <f t="shared" ref="M18:N18" si="12">SUM(M8:M16)</f>
        <v>1027.0889999973108</v>
      </c>
      <c r="N18" s="33">
        <f t="shared" si="12"/>
        <v>493.42800000113493</v>
      </c>
      <c r="O18" s="33">
        <f t="shared" ref="O18" si="13">SUM(L18:N18)</f>
        <v>3444.2829999979003</v>
      </c>
      <c r="Q18" s="231" t="str">
        <f>name!E3</f>
        <v>All occupations</v>
      </c>
      <c r="R18" s="33">
        <f>SUM(R8:R16)</f>
        <v>1099.8099999986846</v>
      </c>
      <c r="S18" s="33">
        <f t="shared" ref="S18:T18" si="14">SUM(S8:S16)</f>
        <v>240.11100000078108</v>
      </c>
      <c r="T18" s="33">
        <f t="shared" si="14"/>
        <v>288.78500000000327</v>
      </c>
      <c r="U18" s="33">
        <f t="shared" ref="U18" si="15">SUM(R18:T18)</f>
        <v>1628.705999999469</v>
      </c>
      <c r="V18" s="33"/>
      <c r="W18" s="33">
        <f>SUM(W8:W16)</f>
        <v>1092.1149999978993</v>
      </c>
      <c r="X18" s="33">
        <f t="shared" ref="X18:Y18" si="16">SUM(X8:X16)</f>
        <v>276.73300000099363</v>
      </c>
      <c r="Y18" s="33">
        <f t="shared" si="16"/>
        <v>266.05600000020041</v>
      </c>
      <c r="Z18" s="33">
        <f t="shared" ref="Z18" si="17">SUM(W18:Y18)</f>
        <v>1634.9039999990932</v>
      </c>
      <c r="AA18" s="33"/>
      <c r="AB18" s="33">
        <f>SUM(AB8:AB16)</f>
        <v>1157.2699999974864</v>
      </c>
      <c r="AC18" s="33">
        <f t="shared" ref="AC18:AD18" si="18">SUM(AC8:AC16)</f>
        <v>306.63900000053076</v>
      </c>
      <c r="AD18" s="33">
        <f t="shared" si="18"/>
        <v>304.7620000002596</v>
      </c>
      <c r="AE18" s="33">
        <f t="shared" ref="AE18" si="19">SUM(AB18:AD18)</f>
        <v>1768.6709999982768</v>
      </c>
      <c r="AG18" s="231" t="str">
        <f>name!E3</f>
        <v>All occupations</v>
      </c>
      <c r="AH18" s="33">
        <f>SUM(AH8:AH16)</f>
        <v>617.57499999672677</v>
      </c>
      <c r="AI18" s="33">
        <f t="shared" ref="AI18:AJ18" si="20">SUM(AI8:AI16)</f>
        <v>662.51700000482288</v>
      </c>
      <c r="AJ18" s="33">
        <f t="shared" si="20"/>
        <v>146.98099999849396</v>
      </c>
      <c r="AK18" s="33">
        <f t="shared" si="6"/>
        <v>1427.0730000000435</v>
      </c>
      <c r="AL18" s="33"/>
      <c r="AM18" s="33">
        <f>SUM(AM8:AM16)</f>
        <v>672.3340000023029</v>
      </c>
      <c r="AN18" s="33">
        <f t="shared" ref="AN18:AO18" si="21">SUM(AN8:AN16)</f>
        <v>697.07299999535758</v>
      </c>
      <c r="AO18" s="33">
        <f t="shared" si="21"/>
        <v>169.88100000164579</v>
      </c>
      <c r="AP18" s="33">
        <f t="shared" si="7"/>
        <v>1539.2879999993063</v>
      </c>
      <c r="AQ18" s="33"/>
      <c r="AR18" s="33">
        <f>SUM(AR8:AR16)</f>
        <v>766.49600000196824</v>
      </c>
      <c r="AS18" s="33">
        <f t="shared" ref="AS18:AT18" si="22">SUM(AS8:AS16)</f>
        <v>720.44999999677975</v>
      </c>
      <c r="AT18" s="33">
        <f t="shared" si="22"/>
        <v>188.66600000087533</v>
      </c>
      <c r="AU18" s="33">
        <f t="shared" si="8"/>
        <v>1675.6119999996233</v>
      </c>
    </row>
    <row r="19" spans="1:47" x14ac:dyDescent="0.3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3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3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5" t="s">
        <v>34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5" t="s">
        <v>34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5" t="s">
        <v>34</v>
      </c>
    </row>
    <row r="22" spans="1:47" x14ac:dyDescent="0.3">
      <c r="A22" s="35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Q22" s="35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G22" s="35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</row>
    <row r="23" spans="1:47" x14ac:dyDescent="0.3">
      <c r="B23" s="376">
        <f>B5</f>
        <v>2015</v>
      </c>
      <c r="C23" s="376"/>
      <c r="D23" s="376"/>
      <c r="E23" s="376"/>
      <c r="F23" s="1"/>
      <c r="G23" s="376">
        <f>G5</f>
        <v>2020</v>
      </c>
      <c r="H23" s="376"/>
      <c r="I23" s="376"/>
      <c r="J23" s="376"/>
      <c r="K23" s="1"/>
      <c r="L23" s="376">
        <f>L5</f>
        <v>2035</v>
      </c>
      <c r="M23" s="376"/>
      <c r="N23" s="376"/>
      <c r="O23" s="376"/>
      <c r="R23" s="376">
        <f>R5</f>
        <v>2015</v>
      </c>
      <c r="S23" s="376"/>
      <c r="T23" s="376"/>
      <c r="U23" s="376"/>
      <c r="V23" s="1"/>
      <c r="W23" s="376">
        <f>W5</f>
        <v>2020</v>
      </c>
      <c r="X23" s="376"/>
      <c r="Y23" s="376"/>
      <c r="Z23" s="376"/>
      <c r="AA23" s="1"/>
      <c r="AB23" s="376">
        <f>AB5</f>
        <v>2035</v>
      </c>
      <c r="AC23" s="376"/>
      <c r="AD23" s="376"/>
      <c r="AE23" s="376"/>
      <c r="AH23" s="376">
        <f>AH5</f>
        <v>2015</v>
      </c>
      <c r="AI23" s="376"/>
      <c r="AJ23" s="376"/>
      <c r="AK23" s="376"/>
      <c r="AL23" s="1"/>
      <c r="AM23" s="376">
        <f>AM5</f>
        <v>2020</v>
      </c>
      <c r="AN23" s="376"/>
      <c r="AO23" s="376"/>
      <c r="AP23" s="376"/>
      <c r="AQ23" s="1"/>
      <c r="AR23" s="376">
        <f>AR5</f>
        <v>2035</v>
      </c>
      <c r="AS23" s="376"/>
      <c r="AT23" s="376"/>
      <c r="AU23" s="376"/>
    </row>
    <row r="24" spans="1:47" x14ac:dyDescent="0.3">
      <c r="A24" s="40" t="s">
        <v>463</v>
      </c>
      <c r="B24" s="337" t="s">
        <v>339</v>
      </c>
      <c r="C24" s="337" t="s">
        <v>341</v>
      </c>
      <c r="D24" s="337" t="s">
        <v>337</v>
      </c>
      <c r="E24" s="337" t="s">
        <v>32</v>
      </c>
      <c r="F24" s="338"/>
      <c r="G24" s="337" t="s">
        <v>339</v>
      </c>
      <c r="H24" s="337" t="s">
        <v>341</v>
      </c>
      <c r="I24" s="337" t="s">
        <v>337</v>
      </c>
      <c r="J24" s="337" t="s">
        <v>32</v>
      </c>
      <c r="K24" s="338"/>
      <c r="L24" s="337" t="s">
        <v>339</v>
      </c>
      <c r="M24" s="337" t="s">
        <v>341</v>
      </c>
      <c r="N24" s="337" t="s">
        <v>337</v>
      </c>
      <c r="O24" s="337" t="s">
        <v>32</v>
      </c>
      <c r="Q24" s="40" t="s">
        <v>463</v>
      </c>
      <c r="R24" s="337" t="s">
        <v>339</v>
      </c>
      <c r="S24" s="337" t="s">
        <v>341</v>
      </c>
      <c r="T24" s="337" t="s">
        <v>337</v>
      </c>
      <c r="U24" s="337" t="s">
        <v>32</v>
      </c>
      <c r="V24" s="338"/>
      <c r="W24" s="337" t="s">
        <v>339</v>
      </c>
      <c r="X24" s="337" t="s">
        <v>341</v>
      </c>
      <c r="Y24" s="337" t="s">
        <v>337</v>
      </c>
      <c r="Z24" s="337" t="s">
        <v>32</v>
      </c>
      <c r="AA24" s="338"/>
      <c r="AB24" s="337" t="s">
        <v>339</v>
      </c>
      <c r="AC24" s="337" t="s">
        <v>341</v>
      </c>
      <c r="AD24" s="337" t="s">
        <v>337</v>
      </c>
      <c r="AE24" s="337" t="s">
        <v>32</v>
      </c>
      <c r="AG24" s="40" t="s">
        <v>463</v>
      </c>
      <c r="AH24" s="337" t="s">
        <v>339</v>
      </c>
      <c r="AI24" s="337" t="s">
        <v>341</v>
      </c>
      <c r="AJ24" s="337" t="s">
        <v>337</v>
      </c>
      <c r="AK24" s="337" t="s">
        <v>32</v>
      </c>
      <c r="AL24" s="338"/>
      <c r="AM24" s="337" t="s">
        <v>339</v>
      </c>
      <c r="AN24" s="337" t="s">
        <v>341</v>
      </c>
      <c r="AO24" s="337" t="s">
        <v>337</v>
      </c>
      <c r="AP24" s="337" t="s">
        <v>32</v>
      </c>
      <c r="AQ24" s="338"/>
      <c r="AR24" s="337" t="s">
        <v>339</v>
      </c>
      <c r="AS24" s="337" t="s">
        <v>341</v>
      </c>
      <c r="AT24" s="337" t="s">
        <v>337</v>
      </c>
      <c r="AU24" s="337" t="s">
        <v>32</v>
      </c>
    </row>
    <row r="25" spans="1:47" x14ac:dyDescent="0.3">
      <c r="A25" s="1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Q25" s="1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G25" s="1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</row>
    <row r="26" spans="1:47" x14ac:dyDescent="0.3">
      <c r="A26" t="str">
        <f>$A$8</f>
        <v>Managers, directors and senior officials</v>
      </c>
      <c r="B26" s="17">
        <f>B8/B$18*100</f>
        <v>13.073717561245738</v>
      </c>
      <c r="C26" s="17">
        <f t="shared" ref="C26:O26" si="23">C8/C$18*100</f>
        <v>3.7793628087978348</v>
      </c>
      <c r="D26" s="17">
        <f t="shared" si="23"/>
        <v>13.461252314405437</v>
      </c>
      <c r="E26" s="17">
        <f t="shared" si="23"/>
        <v>10.383578525569032</v>
      </c>
      <c r="F26" s="17"/>
      <c r="G26" s="17">
        <f t="shared" si="23"/>
        <v>14.071418446879822</v>
      </c>
      <c r="H26" s="17">
        <f t="shared" si="23"/>
        <v>5.4937645643902853</v>
      </c>
      <c r="I26" s="17">
        <f t="shared" si="23"/>
        <v>14.473190640390287</v>
      </c>
      <c r="J26" s="17">
        <f t="shared" si="23"/>
        <v>11.495070370915506</v>
      </c>
      <c r="K26" s="17"/>
      <c r="L26" s="17">
        <f t="shared" si="23"/>
        <v>14.745027329543262</v>
      </c>
      <c r="M26" s="17">
        <f t="shared" si="23"/>
        <v>6.7717379074576503</v>
      </c>
      <c r="N26" s="17">
        <f t="shared" si="23"/>
        <v>14.76233183030487</v>
      </c>
      <c r="O26" s="17">
        <f t="shared" si="23"/>
        <v>12.369862648237397</v>
      </c>
      <c r="Q26" t="str">
        <f>$A$8</f>
        <v>Managers, directors and senior officials</v>
      </c>
      <c r="R26" s="17">
        <f>R8/R$18*100</f>
        <v>14.747572908043486</v>
      </c>
      <c r="S26" s="17">
        <f t="shared" ref="S26:U26" si="24">S8/S$18*100</f>
        <v>4.6695211503775447</v>
      </c>
      <c r="T26" s="17">
        <f t="shared" si="24"/>
        <v>13.909719749222205</v>
      </c>
      <c r="U26" s="17">
        <f t="shared" si="24"/>
        <v>13.11326290362042</v>
      </c>
      <c r="V26" s="17"/>
      <c r="W26" s="17">
        <f t="shared" ref="W26:Z26" si="25">W8/W$18*100</f>
        <v>15.944164600829044</v>
      </c>
      <c r="X26" s="17">
        <f t="shared" si="25"/>
        <v>6.8939038254305265</v>
      </c>
      <c r="Y26" s="17">
        <f t="shared" si="25"/>
        <v>15.639188907543305</v>
      </c>
      <c r="Z26" s="17">
        <f t="shared" si="25"/>
        <v>14.362636616175708</v>
      </c>
      <c r="AA26" s="17"/>
      <c r="AB26" s="17">
        <f t="shared" ref="AB26:AE26" si="26">AB8/AB$18*100</f>
        <v>16.02384606734438</v>
      </c>
      <c r="AC26" s="17">
        <f t="shared" si="26"/>
        <v>8.0102300024136124</v>
      </c>
      <c r="AD26" s="17">
        <f t="shared" si="26"/>
        <v>16.217321665994639</v>
      </c>
      <c r="AE26" s="17">
        <f t="shared" si="26"/>
        <v>14.667843053700238</v>
      </c>
      <c r="AG26" t="str">
        <f>$A$8</f>
        <v>Managers, directors and senior officials</v>
      </c>
      <c r="AH26" s="17">
        <f>AH8/AH$18*100</f>
        <v>10.092828035327104</v>
      </c>
      <c r="AI26" s="17">
        <f t="shared" ref="AI26:AK26" si="27">AI8/AI$18*100</f>
        <v>3.45674948785032</v>
      </c>
      <c r="AJ26" s="17">
        <f t="shared" si="27"/>
        <v>12.580113472208881</v>
      </c>
      <c r="AK26" s="17">
        <f t="shared" si="27"/>
        <v>7.2682134919393553</v>
      </c>
      <c r="AL26" s="17"/>
      <c r="AM26" s="17">
        <f t="shared" ref="AM26:AP26" si="28">AM8/AM$18*100</f>
        <v>11.029397418775771</v>
      </c>
      <c r="AN26" s="17">
        <f t="shared" si="28"/>
        <v>4.9379192825770213</v>
      </c>
      <c r="AO26" s="17">
        <f t="shared" si="28"/>
        <v>12.647083924731115</v>
      </c>
      <c r="AP26" s="17">
        <f t="shared" si="28"/>
        <v>8.4493794250753602</v>
      </c>
      <c r="AQ26" s="17"/>
      <c r="AR26" s="17">
        <f t="shared" ref="AR26:AU26" si="29">AR8/AR$18*100</f>
        <v>12.814242875758621</v>
      </c>
      <c r="AS26" s="17">
        <f t="shared" si="29"/>
        <v>6.2446090608929232</v>
      </c>
      <c r="AT26" s="17">
        <f t="shared" si="29"/>
        <v>12.412011092584208</v>
      </c>
      <c r="AU26" s="17">
        <f t="shared" si="29"/>
        <v>9.9442585694247843</v>
      </c>
    </row>
    <row r="27" spans="1:47" x14ac:dyDescent="0.3">
      <c r="A27" t="str">
        <f>$A$9</f>
        <v>Professional occupations</v>
      </c>
      <c r="B27" s="17">
        <f t="shared" ref="B27:B34" si="30">B9/B$18*100</f>
        <v>22.997120788441844</v>
      </c>
      <c r="C27" s="17">
        <f t="shared" ref="C27:O27" si="31">C9/C$18*100</f>
        <v>11.94654447868956</v>
      </c>
      <c r="D27" s="17">
        <f t="shared" si="31"/>
        <v>19.166786618843005</v>
      </c>
      <c r="E27" s="17">
        <f t="shared" si="31"/>
        <v>19.186737579078038</v>
      </c>
      <c r="F27" s="17"/>
      <c r="G27" s="17">
        <f t="shared" si="31"/>
        <v>27.089840688671835</v>
      </c>
      <c r="H27" s="17">
        <f t="shared" si="31"/>
        <v>15.073202504486671</v>
      </c>
      <c r="I27" s="17">
        <f t="shared" si="31"/>
        <v>18.362059665453053</v>
      </c>
      <c r="J27" s="17">
        <f t="shared" si="31"/>
        <v>22.204617287098259</v>
      </c>
      <c r="K27" s="17"/>
      <c r="L27" s="17">
        <f t="shared" si="31"/>
        <v>30.397979143958757</v>
      </c>
      <c r="M27" s="17">
        <f t="shared" si="31"/>
        <v>17.951954486800293</v>
      </c>
      <c r="N27" s="17">
        <f t="shared" si="31"/>
        <v>16.65019699657109</v>
      </c>
      <c r="O27" s="17">
        <f t="shared" si="31"/>
        <v>24.717053485843124</v>
      </c>
      <c r="Q27" t="str">
        <f>$A$9</f>
        <v>Professional occupations</v>
      </c>
      <c r="R27" s="17">
        <f t="shared" ref="R27:U27" si="32">R9/R$18*100</f>
        <v>22.558268143016495</v>
      </c>
      <c r="S27" s="17">
        <f t="shared" si="32"/>
        <v>9.9176759983325358</v>
      </c>
      <c r="T27" s="17">
        <f t="shared" si="32"/>
        <v>19.171384670168582</v>
      </c>
      <c r="U27" s="17">
        <f t="shared" si="32"/>
        <v>20.094209949475246</v>
      </c>
      <c r="V27" s="17"/>
      <c r="W27" s="17">
        <f t="shared" ref="W27:Z27" si="33">W9/W$18*100</f>
        <v>26.615534452016142</v>
      </c>
      <c r="X27" s="17">
        <f t="shared" si="33"/>
        <v>13.279008389130967</v>
      </c>
      <c r="Y27" s="17">
        <f t="shared" si="33"/>
        <v>17.400511289014652</v>
      </c>
      <c r="Z27" s="17">
        <f t="shared" si="33"/>
        <v>22.858513202062365</v>
      </c>
      <c r="AA27" s="17"/>
      <c r="AB27" s="17">
        <f t="shared" ref="AB27:AE27" si="34">AB9/AB$18*100</f>
        <v>29.747323302234879</v>
      </c>
      <c r="AC27" s="17">
        <f t="shared" si="34"/>
        <v>16.560877955762624</v>
      </c>
      <c r="AD27" s="17">
        <f t="shared" si="34"/>
        <v>14.603424768074049</v>
      </c>
      <c r="AE27" s="17">
        <f t="shared" si="34"/>
        <v>24.851690807732396</v>
      </c>
      <c r="AG27" t="str">
        <f>$A$9</f>
        <v>Professional occupations</v>
      </c>
      <c r="AH27" s="17">
        <f t="shared" ref="AH27:AK27" si="35">AH9/AH$18*100</f>
        <v>23.778652631484825</v>
      </c>
      <c r="AI27" s="17">
        <f t="shared" si="35"/>
        <v>12.681851859005903</v>
      </c>
      <c r="AJ27" s="17">
        <f t="shared" si="35"/>
        <v>19.157752469857243</v>
      </c>
      <c r="AK27" s="17">
        <f t="shared" si="35"/>
        <v>18.151047257349852</v>
      </c>
      <c r="AL27" s="17"/>
      <c r="AM27" s="17">
        <f t="shared" ref="AM27:AP27" si="36">AM9/AM$18*100</f>
        <v>27.860286561768337</v>
      </c>
      <c r="AN27" s="17">
        <f t="shared" si="36"/>
        <v>15.78548474770915</v>
      </c>
      <c r="AO27" s="17">
        <f t="shared" si="36"/>
        <v>19.86797094946601</v>
      </c>
      <c r="AP27" s="17">
        <f t="shared" si="36"/>
        <v>21.510103299489469</v>
      </c>
      <c r="AQ27" s="17"/>
      <c r="AR27" s="17">
        <f t="shared" ref="AR27:AU27" si="37">AR9/AR$18*100</f>
        <v>31.380351505912675</v>
      </c>
      <c r="AS27" s="17">
        <f t="shared" si="37"/>
        <v>18.544026547878097</v>
      </c>
      <c r="AT27" s="17">
        <f t="shared" si="37"/>
        <v>19.956454604719063</v>
      </c>
      <c r="AU27" s="17">
        <f t="shared" si="37"/>
        <v>24.574938767911377</v>
      </c>
    </row>
    <row r="28" spans="1:47" x14ac:dyDescent="0.3">
      <c r="A28" t="str">
        <f>$A$10</f>
        <v>Associate professional occupations</v>
      </c>
      <c r="B28" s="17">
        <f t="shared" si="30"/>
        <v>13.879979057726338</v>
      </c>
      <c r="C28" s="17">
        <f t="shared" ref="C28:O28" si="38">C10/C$18*100</f>
        <v>7.4733448828294424</v>
      </c>
      <c r="D28" s="17">
        <f t="shared" si="38"/>
        <v>14.494546457317394</v>
      </c>
      <c r="E28" s="17">
        <f t="shared" si="38"/>
        <v>12.075202005915212</v>
      </c>
      <c r="F28" s="17"/>
      <c r="G28" s="17">
        <f t="shared" si="38"/>
        <v>15.532011450984202</v>
      </c>
      <c r="H28" s="17">
        <f t="shared" si="38"/>
        <v>8.723407278957815</v>
      </c>
      <c r="I28" s="17">
        <f t="shared" si="38"/>
        <v>15.112982534250721</v>
      </c>
      <c r="J28" s="17">
        <f t="shared" si="38"/>
        <v>13.385660567610499</v>
      </c>
      <c r="K28" s="17"/>
      <c r="L28" s="17">
        <f t="shared" si="38"/>
        <v>15.329406254219041</v>
      </c>
      <c r="M28" s="17">
        <f t="shared" si="38"/>
        <v>8.9580144416570722</v>
      </c>
      <c r="N28" s="17">
        <f t="shared" si="38"/>
        <v>13.802335446177377</v>
      </c>
      <c r="O28" s="17">
        <f t="shared" si="38"/>
        <v>13.2106819972309</v>
      </c>
      <c r="Q28" t="str">
        <f>$A$10</f>
        <v>Associate professional occupations</v>
      </c>
      <c r="R28" s="17">
        <f t="shared" ref="R28:U28" si="39">R10/R$18*100</f>
        <v>13.938177727705842</v>
      </c>
      <c r="S28" s="17">
        <f t="shared" si="39"/>
        <v>7.1171103595342</v>
      </c>
      <c r="T28" s="17">
        <f t="shared" si="39"/>
        <v>10.790074253408251</v>
      </c>
      <c r="U28" s="17">
        <f t="shared" si="39"/>
        <v>12.374397420719644</v>
      </c>
      <c r="V28" s="17"/>
      <c r="W28" s="17">
        <f t="shared" ref="W28:Z28" si="40">W10/W$18*100</f>
        <v>15.611255613331258</v>
      </c>
      <c r="X28" s="17">
        <f t="shared" si="40"/>
        <v>9.0360725097811088</v>
      </c>
      <c r="Y28" s="17">
        <f t="shared" si="40"/>
        <v>11.129843934017169</v>
      </c>
      <c r="Z28" s="17">
        <f t="shared" si="40"/>
        <v>13.769021077508093</v>
      </c>
      <c r="AA28" s="17"/>
      <c r="AB28" s="17">
        <f t="shared" ref="AB28:AE28" si="41">AB10/AB$18*100</f>
        <v>14.698436025241524</v>
      </c>
      <c r="AC28" s="17">
        <f t="shared" si="41"/>
        <v>7.501235429454824</v>
      </c>
      <c r="AD28" s="17">
        <f t="shared" si="41"/>
        <v>9.610636813301646</v>
      </c>
      <c r="AE28" s="17">
        <f t="shared" si="41"/>
        <v>12.573953712290464</v>
      </c>
      <c r="AG28" t="str">
        <f>$A$10</f>
        <v>Associate professional occupations</v>
      </c>
      <c r="AH28" s="17">
        <f t="shared" ref="AH28:AK28" si="42">AH10/AH$18*100</f>
        <v>13.776335809164747</v>
      </c>
      <c r="AI28" s="17">
        <f t="shared" si="42"/>
        <v>7.6024522530895204</v>
      </c>
      <c r="AJ28" s="17">
        <f t="shared" si="42"/>
        <v>21.773011057618596</v>
      </c>
      <c r="AK28" s="17">
        <f t="shared" si="42"/>
        <v>11.733732881865985</v>
      </c>
      <c r="AL28" s="17"/>
      <c r="AM28" s="17">
        <f t="shared" ref="AM28:AP28" si="43">AM10/AM$18*100</f>
        <v>15.40329010361639</v>
      </c>
      <c r="AN28" s="17">
        <f t="shared" si="43"/>
        <v>8.5992814164982043</v>
      </c>
      <c r="AO28" s="17">
        <f t="shared" si="43"/>
        <v>21.351101708344757</v>
      </c>
      <c r="AP28" s="17">
        <f t="shared" si="43"/>
        <v>12.978486841138556</v>
      </c>
      <c r="AQ28" s="17"/>
      <c r="AR28" s="17">
        <f t="shared" ref="AR28:AU28" si="44">AR10/AR$18*100</f>
        <v>16.282056909780668</v>
      </c>
      <c r="AS28" s="17">
        <f t="shared" si="44"/>
        <v>9.5780508904397177</v>
      </c>
      <c r="AT28" s="17">
        <f t="shared" si="44"/>
        <v>20.573404206566821</v>
      </c>
      <c r="AU28" s="17">
        <f t="shared" si="44"/>
        <v>13.882772464745486</v>
      </c>
    </row>
    <row r="29" spans="1:47" x14ac:dyDescent="0.3">
      <c r="A29" t="str">
        <f>$A$11</f>
        <v>Administrative and secretarial occupations</v>
      </c>
      <c r="B29" s="17">
        <f t="shared" si="30"/>
        <v>10.214091677904612</v>
      </c>
      <c r="C29" s="17">
        <f t="shared" ref="C29:O29" si="45">C11/C$18*100</f>
        <v>15.720013003459204</v>
      </c>
      <c r="D29" s="17">
        <f t="shared" si="45"/>
        <v>4.1172795554979356</v>
      </c>
      <c r="E29" s="17">
        <f t="shared" si="45"/>
        <v>10.971023158535383</v>
      </c>
      <c r="F29" s="17"/>
      <c r="G29" s="17">
        <f t="shared" si="45"/>
        <v>9.8798550095595505</v>
      </c>
      <c r="H29" s="17">
        <f t="shared" si="45"/>
        <v>14.47460506919753</v>
      </c>
      <c r="I29" s="17">
        <f t="shared" si="45"/>
        <v>3.539709610041291</v>
      </c>
      <c r="J29" s="17">
        <f t="shared" si="45"/>
        <v>10.418729536216546</v>
      </c>
      <c r="K29" s="17"/>
      <c r="L29" s="17">
        <f t="shared" si="45"/>
        <v>7.6332520433668822</v>
      </c>
      <c r="M29" s="17">
        <f t="shared" si="45"/>
        <v>11.565399577520543</v>
      </c>
      <c r="N29" s="17">
        <f t="shared" si="45"/>
        <v>2.9836062865605011</v>
      </c>
      <c r="O29" s="17">
        <f t="shared" si="45"/>
        <v>8.139714512392251</v>
      </c>
      <c r="Q29" t="str">
        <f>$A$11</f>
        <v>Administrative and secretarial occupations</v>
      </c>
      <c r="R29" s="17">
        <f t="shared" ref="R29:U29" si="46">R11/R$18*100</f>
        <v>4.8134379810870573</v>
      </c>
      <c r="S29" s="17">
        <f t="shared" si="46"/>
        <v>5.7129971342750832</v>
      </c>
      <c r="T29" s="17">
        <f t="shared" si="46"/>
        <v>1.977772049280466</v>
      </c>
      <c r="U29" s="17">
        <f t="shared" si="46"/>
        <v>4.4432645192804809</v>
      </c>
      <c r="V29" s="17"/>
      <c r="W29" s="17">
        <f t="shared" ref="W29:Z29" si="47">W11/W$18*100</f>
        <v>5.2344647509134381</v>
      </c>
      <c r="X29" s="17">
        <f t="shared" si="47"/>
        <v>6.003899801347111</v>
      </c>
      <c r="Y29" s="17">
        <f t="shared" si="47"/>
        <v>1.5517827864692599</v>
      </c>
      <c r="Z29" s="17">
        <f t="shared" si="47"/>
        <v>4.7654026145917348</v>
      </c>
      <c r="AA29" s="17"/>
      <c r="AB29" s="17">
        <f t="shared" ref="AB29:AE29" si="48">AB11/AB$18*100</f>
        <v>5.2728572549766453</v>
      </c>
      <c r="AC29" s="17">
        <f t="shared" si="48"/>
        <v>4.9968133856056465</v>
      </c>
      <c r="AD29" s="17">
        <f t="shared" si="48"/>
        <v>1.9855595339389651</v>
      </c>
      <c r="AE29" s="17">
        <f t="shared" si="48"/>
        <v>4.6585602805133348</v>
      </c>
      <c r="AG29" t="str">
        <f>$A$11</f>
        <v>Administrative and secretarial occupations</v>
      </c>
      <c r="AH29" s="17">
        <f t="shared" ref="AH29:AK29" si="49">AH11/AH$18*100</f>
        <v>19.83185946695254</v>
      </c>
      <c r="AI29" s="17">
        <f t="shared" si="49"/>
        <v>19.346779693756961</v>
      </c>
      <c r="AJ29" s="17">
        <f t="shared" si="49"/>
        <v>8.3209363219463093</v>
      </c>
      <c r="AK29" s="17">
        <f t="shared" si="49"/>
        <v>18.421097304919261</v>
      </c>
      <c r="AL29" s="17"/>
      <c r="AM29" s="17">
        <f t="shared" ref="AM29:AP29" si="50">AM11/AM$18*100</f>
        <v>17.425658705779259</v>
      </c>
      <c r="AN29" s="17">
        <f t="shared" si="50"/>
        <v>17.837414532355737</v>
      </c>
      <c r="AO29" s="17">
        <f t="shared" si="50"/>
        <v>6.6530645995195368</v>
      </c>
      <c r="AP29" s="17">
        <f t="shared" si="50"/>
        <v>16.423224339964218</v>
      </c>
      <c r="AQ29" s="17"/>
      <c r="AR29" s="17">
        <f t="shared" ref="AR29:AU29" si="51">AR11/AR$18*100</f>
        <v>11.19702025187339</v>
      </c>
      <c r="AS29" s="17">
        <f t="shared" si="51"/>
        <v>14.361130997209736</v>
      </c>
      <c r="AT29" s="17">
        <f t="shared" si="51"/>
        <v>4.5958031022098087</v>
      </c>
      <c r="AU29" s="17">
        <f t="shared" si="51"/>
        <v>11.814202721146353</v>
      </c>
    </row>
    <row r="30" spans="1:47" x14ac:dyDescent="0.3">
      <c r="A30" t="str">
        <f>$A$12</f>
        <v>Skilled trades occupations</v>
      </c>
      <c r="B30" s="17">
        <f t="shared" si="30"/>
        <v>10.7398004277136</v>
      </c>
      <c r="C30" s="17">
        <f t="shared" ref="C30:O30" si="52">C12/C$18*100</f>
        <v>3.520093875945316</v>
      </c>
      <c r="D30" s="17">
        <f t="shared" si="52"/>
        <v>24.947842518183204</v>
      </c>
      <c r="E30" s="17">
        <f t="shared" si="52"/>
        <v>10.633337356962807</v>
      </c>
      <c r="F30" s="17"/>
      <c r="G30" s="17">
        <f t="shared" si="52"/>
        <v>8.3046786156175703</v>
      </c>
      <c r="H30" s="17">
        <f t="shared" si="52"/>
        <v>2.808791303775291</v>
      </c>
      <c r="I30" s="17">
        <f t="shared" si="52"/>
        <v>22.38456407136616</v>
      </c>
      <c r="J30" s="17">
        <f t="shared" si="52"/>
        <v>8.5523054089474115</v>
      </c>
      <c r="K30" s="17"/>
      <c r="L30" s="17">
        <f t="shared" si="52"/>
        <v>6.7477491778978784</v>
      </c>
      <c r="M30" s="17">
        <f t="shared" si="52"/>
        <v>3.2454711758613328</v>
      </c>
      <c r="N30" s="17">
        <f t="shared" si="52"/>
        <v>23.204529212848069</v>
      </c>
      <c r="O30" s="17">
        <f t="shared" si="52"/>
        <v>8.0609643951963807</v>
      </c>
      <c r="Q30" t="str">
        <f>$A$12</f>
        <v>Skilled trades occupations</v>
      </c>
      <c r="R30" s="17">
        <f t="shared" ref="R30:U30" si="53">R12/R$18*100</f>
        <v>15.474309644854992</v>
      </c>
      <c r="S30" s="17">
        <f t="shared" si="53"/>
        <v>8.1316515751829481</v>
      </c>
      <c r="T30" s="17">
        <f t="shared" si="53"/>
        <v>34.424997529841527</v>
      </c>
      <c r="U30" s="17">
        <f t="shared" si="53"/>
        <v>17.751959158698714</v>
      </c>
      <c r="V30" s="17"/>
      <c r="W30" s="17">
        <f t="shared" ref="W30:Z30" si="54">W12/W$18*100</f>
        <v>12.099829530582561</v>
      </c>
      <c r="X30" s="17">
        <f t="shared" si="54"/>
        <v>5.6717609262024125</v>
      </c>
      <c r="Y30" s="17">
        <f t="shared" si="54"/>
        <v>32.173435521402602</v>
      </c>
      <c r="Z30" s="17">
        <f t="shared" si="54"/>
        <v>14.278455680128527</v>
      </c>
      <c r="AA30" s="17"/>
      <c r="AB30" s="17">
        <f t="shared" ref="AB30:AE30" si="55">AB12/AB$18*100</f>
        <v>9.6806014791464214</v>
      </c>
      <c r="AC30" s="17">
        <f t="shared" si="55"/>
        <v>6.1841022262489078</v>
      </c>
      <c r="AD30" s="17">
        <f t="shared" si="55"/>
        <v>32.171267518513368</v>
      </c>
      <c r="AE30" s="17">
        <f t="shared" si="55"/>
        <v>12.949800402569672</v>
      </c>
      <c r="AG30" t="str">
        <f>$A$12</f>
        <v>Skilled trades occupations</v>
      </c>
      <c r="AH30" s="17">
        <f t="shared" ref="AH30:AK30" si="56">AH12/AH$18*100</f>
        <v>2.3083377193370374</v>
      </c>
      <c r="AI30" s="17">
        <f t="shared" si="56"/>
        <v>1.8487620750750171</v>
      </c>
      <c r="AJ30" s="17">
        <f t="shared" si="56"/>
        <v>6.3273391193097233</v>
      </c>
      <c r="AK30" s="17">
        <f t="shared" si="56"/>
        <v>2.5089162234861364</v>
      </c>
      <c r="AL30" s="17"/>
      <c r="AM30" s="17">
        <f t="shared" ref="AM30:AP30" si="57">AM12/AM$18*100</f>
        <v>2.1399729165530812</v>
      </c>
      <c r="AN30" s="17">
        <f t="shared" si="57"/>
        <v>1.6722128212759737</v>
      </c>
      <c r="AO30" s="17">
        <f t="shared" si="57"/>
        <v>7.05390330007552</v>
      </c>
      <c r="AP30" s="17">
        <f t="shared" si="57"/>
        <v>2.470463685401123</v>
      </c>
      <c r="AQ30" s="17"/>
      <c r="AR30" s="17">
        <f t="shared" ref="AR30:AU30" si="58">AR12/AR$18*100</f>
        <v>2.3196739072509183</v>
      </c>
      <c r="AS30" s="17">
        <f t="shared" si="58"/>
        <v>1.9947266597042355</v>
      </c>
      <c r="AT30" s="17">
        <f t="shared" si="58"/>
        <v>8.7200905779016047</v>
      </c>
      <c r="AU30" s="17">
        <f t="shared" si="58"/>
        <v>2.9006155375906646</v>
      </c>
    </row>
    <row r="31" spans="1:47" x14ac:dyDescent="0.3">
      <c r="A31" t="str">
        <f>$A$13</f>
        <v>Caring, leisure and other service occupations</v>
      </c>
      <c r="B31" s="17">
        <f t="shared" si="30"/>
        <v>7.1573203535562042</v>
      </c>
      <c r="C31" s="17">
        <f t="shared" ref="C31:O31" si="59">C13/C$18*100</f>
        <v>13.951349368726234</v>
      </c>
      <c r="D31" s="17">
        <f t="shared" si="59"/>
        <v>7.3504614002023976</v>
      </c>
      <c r="E31" s="17">
        <f t="shared" si="59"/>
        <v>9.1917099881719579</v>
      </c>
      <c r="F31" s="17"/>
      <c r="G31" s="17">
        <f t="shared" si="59"/>
        <v>6.8858675973795869</v>
      </c>
      <c r="H31" s="17">
        <f t="shared" si="59"/>
        <v>13.821351716226554</v>
      </c>
      <c r="I31" s="17">
        <f t="shared" si="59"/>
        <v>9.9605000584394485</v>
      </c>
      <c r="J31" s="17">
        <f t="shared" si="59"/>
        <v>9.435858933442244</v>
      </c>
      <c r="K31" s="17"/>
      <c r="L31" s="17">
        <f t="shared" si="59"/>
        <v>7.9635115205858833</v>
      </c>
      <c r="M31" s="17">
        <f t="shared" si="59"/>
        <v>14.3934110497801</v>
      </c>
      <c r="N31" s="17">
        <f t="shared" si="59"/>
        <v>10.633677180866833</v>
      </c>
      <c r="O31" s="17">
        <f t="shared" si="59"/>
        <v>10.26344261769731</v>
      </c>
      <c r="Q31" t="str">
        <f>$A$13</f>
        <v>Caring, leisure and other service occupations</v>
      </c>
      <c r="R31" s="17">
        <f t="shared" ref="R31:U31" si="60">R13/R$18*100</f>
        <v>3.0080681726071754</v>
      </c>
      <c r="S31" s="17">
        <f t="shared" si="60"/>
        <v>6.6500284719922851</v>
      </c>
      <c r="T31" s="17">
        <f t="shared" si="60"/>
        <v>1.5737092815237785</v>
      </c>
      <c r="U31" s="17">
        <f t="shared" si="60"/>
        <v>3.2906565569362867</v>
      </c>
      <c r="V31" s="17"/>
      <c r="W31" s="17">
        <f t="shared" ref="W31:Z31" si="61">W13/W$18*100</f>
        <v>2.9187265056726805</v>
      </c>
      <c r="X31" s="17">
        <f t="shared" si="61"/>
        <v>6.1651216612992528</v>
      </c>
      <c r="Y31" s="17">
        <f t="shared" si="61"/>
        <v>1.533773689116239</v>
      </c>
      <c r="Z31" s="17">
        <f t="shared" si="61"/>
        <v>3.2428493067934259</v>
      </c>
      <c r="AA31" s="17"/>
      <c r="AB31" s="17">
        <f t="shared" ref="AB31:AE31" si="62">AB13/AB$18*100</f>
        <v>3.7478071839368208</v>
      </c>
      <c r="AC31" s="17">
        <f t="shared" si="62"/>
        <v>6.8748668932480772</v>
      </c>
      <c r="AD31" s="17">
        <f t="shared" si="62"/>
        <v>2.0062688976948131</v>
      </c>
      <c r="AE31" s="17">
        <f t="shared" si="62"/>
        <v>3.9898667704927329</v>
      </c>
      <c r="AG31" t="str">
        <f>$A$13</f>
        <v>Caring, leisure and other service occupations</v>
      </c>
      <c r="AH31" s="17">
        <f t="shared" ref="AH31:AK31" si="63">AH13/AH$18*100</f>
        <v>14.546526589476178</v>
      </c>
      <c r="AI31" s="17">
        <f t="shared" si="63"/>
        <v>16.597511598266955</v>
      </c>
      <c r="AJ31" s="17">
        <f t="shared" si="63"/>
        <v>18.700495490388992</v>
      </c>
      <c r="AK31" s="17">
        <f t="shared" si="63"/>
        <v>15.926530932700162</v>
      </c>
      <c r="AL31" s="17"/>
      <c r="AM31" s="17">
        <f t="shared" ref="AM31:AP31" si="64">AM13/AM$18*100</f>
        <v>13.329947910655889</v>
      </c>
      <c r="AN31" s="17">
        <f t="shared" si="64"/>
        <v>16.86082033975941</v>
      </c>
      <c r="AO31" s="17">
        <f t="shared" si="64"/>
        <v>23.157862393819055</v>
      </c>
      <c r="AP31" s="17">
        <f t="shared" si="64"/>
        <v>16.013559929386865</v>
      </c>
      <c r="AQ31" s="17"/>
      <c r="AR31" s="17">
        <f t="shared" ref="AR31:AU31" si="65">AR13/AR$18*100</f>
        <v>14.328460793185791</v>
      </c>
      <c r="AS31" s="17">
        <f t="shared" si="65"/>
        <v>17.593464990552018</v>
      </c>
      <c r="AT31" s="17">
        <f t="shared" si="65"/>
        <v>24.569978386097841</v>
      </c>
      <c r="AU31" s="17">
        <f t="shared" si="65"/>
        <v>16.885436054867046</v>
      </c>
    </row>
    <row r="32" spans="1:47" x14ac:dyDescent="0.3">
      <c r="A32" t="str">
        <f>$A$14</f>
        <v>Sales and customer service occupations</v>
      </c>
      <c r="B32" s="17">
        <f t="shared" si="30"/>
        <v>5.3393140564475745</v>
      </c>
      <c r="C32" s="17">
        <f t="shared" ref="C32:O32" si="66">C14/C$18*100</f>
        <v>17.035850410452387</v>
      </c>
      <c r="D32" s="17">
        <f t="shared" si="66"/>
        <v>4.8013872736168679</v>
      </c>
      <c r="E32" s="17">
        <f t="shared" si="66"/>
        <v>8.7175724363119738</v>
      </c>
      <c r="F32" s="17"/>
      <c r="G32" s="17">
        <f t="shared" si="66"/>
        <v>4.7201559313760795</v>
      </c>
      <c r="H32" s="17">
        <f t="shared" si="66"/>
        <v>15.135006543772636</v>
      </c>
      <c r="I32" s="17">
        <f t="shared" si="66"/>
        <v>3.1852588193842166</v>
      </c>
      <c r="J32" s="17">
        <f t="shared" si="66"/>
        <v>7.7045140209651741</v>
      </c>
      <c r="K32" s="17"/>
      <c r="L32" s="17">
        <f t="shared" si="66"/>
        <v>4.3792607572206874</v>
      </c>
      <c r="M32" s="17">
        <f t="shared" si="66"/>
        <v>14.543034961727344</v>
      </c>
      <c r="N32" s="17">
        <f t="shared" si="66"/>
        <v>2.4716708584095781</v>
      </c>
      <c r="O32" s="17">
        <f t="shared" si="66"/>
        <v>7.1368281276482231</v>
      </c>
      <c r="Q32" t="str">
        <f>$A$14</f>
        <v>Sales and customer service occupations</v>
      </c>
      <c r="R32" s="17">
        <f t="shared" ref="R32:U32" si="67">R14/R$18*100</f>
        <v>4.3866301651952568</v>
      </c>
      <c r="S32" s="17">
        <f t="shared" si="67"/>
        <v>18.987344365090483</v>
      </c>
      <c r="T32" s="17">
        <f t="shared" si="67"/>
        <v>4.0212318396601665</v>
      </c>
      <c r="U32" s="17">
        <f t="shared" si="67"/>
        <v>6.4743430684595067</v>
      </c>
      <c r="V32" s="17"/>
      <c r="W32" s="17">
        <f t="shared" ref="W32:Z32" si="68">W14/W$18*100</f>
        <v>4.0001137420293817</v>
      </c>
      <c r="X32" s="17">
        <f t="shared" si="68"/>
        <v>17.222023225626717</v>
      </c>
      <c r="Y32" s="17">
        <f t="shared" si="68"/>
        <v>2.9034537912616232</v>
      </c>
      <c r="Z32" s="17">
        <f t="shared" si="68"/>
        <v>6.0596632429650095</v>
      </c>
      <c r="AA32" s="17"/>
      <c r="AB32" s="17">
        <f t="shared" ref="AB32:AE32" si="69">AB14/AB$18*100</f>
        <v>4.1014663712225152</v>
      </c>
      <c r="AC32" s="17">
        <f t="shared" si="69"/>
        <v>16.352071774721864</v>
      </c>
      <c r="AD32" s="17">
        <f t="shared" si="69"/>
        <v>2.305796140999349</v>
      </c>
      <c r="AE32" s="17">
        <f t="shared" si="69"/>
        <v>5.9159707870406777</v>
      </c>
      <c r="AG32" t="str">
        <f>$A$14</f>
        <v>Sales and customer service occupations</v>
      </c>
      <c r="AH32" s="17">
        <f t="shared" ref="AH32:AK32" si="70">AH14/AH$18*100</f>
        <v>7.0359035726075687</v>
      </c>
      <c r="AI32" s="17">
        <f t="shared" si="70"/>
        <v>16.328585291307967</v>
      </c>
      <c r="AJ32" s="17">
        <f t="shared" si="70"/>
        <v>6.3342193199187475</v>
      </c>
      <c r="AK32" s="17">
        <f t="shared" si="70"/>
        <v>11.277750598743909</v>
      </c>
      <c r="AL32" s="17"/>
      <c r="AM32" s="17">
        <f t="shared" ref="AM32:AP32" si="71">AM14/AM$18*100</f>
        <v>5.8897663863198364</v>
      </c>
      <c r="AN32" s="17">
        <f t="shared" si="71"/>
        <v>14.306475834040022</v>
      </c>
      <c r="AO32" s="17">
        <f t="shared" si="71"/>
        <v>3.6266025750809332</v>
      </c>
      <c r="AP32" s="17">
        <f t="shared" si="71"/>
        <v>9.4515380452902509</v>
      </c>
      <c r="AQ32" s="17"/>
      <c r="AR32" s="17">
        <f t="shared" ref="AR32:AU32" si="72">AR14/AR$18*100</f>
        <v>4.7986799180285447</v>
      </c>
      <c r="AS32" s="17">
        <f t="shared" si="72"/>
        <v>13.773070024114373</v>
      </c>
      <c r="AT32" s="17">
        <f t="shared" si="72"/>
        <v>2.7396169145467999</v>
      </c>
      <c r="AU32" s="17">
        <f t="shared" si="72"/>
        <v>8.4254886131711633</v>
      </c>
    </row>
    <row r="33" spans="1:47" x14ac:dyDescent="0.3">
      <c r="A33" t="str">
        <f>$A$15</f>
        <v>Process, plant and machine operatives</v>
      </c>
      <c r="B33" s="17">
        <f t="shared" si="30"/>
        <v>7.9788261135033585</v>
      </c>
      <c r="C33" s="17">
        <f t="shared" ref="C33:O33" si="73">C15/C$18*100</f>
        <v>2.7616570663536</v>
      </c>
      <c r="D33" s="17">
        <f t="shared" si="73"/>
        <v>6.6144368742478976</v>
      </c>
      <c r="E33" s="17">
        <f t="shared" si="73"/>
        <v>6.2431910090170328</v>
      </c>
      <c r="F33" s="17"/>
      <c r="G33" s="17">
        <f t="shared" si="73"/>
        <v>6.5282501628055201</v>
      </c>
      <c r="H33" s="17">
        <f t="shared" si="73"/>
        <v>2.9487140512478338</v>
      </c>
      <c r="I33" s="17">
        <f t="shared" si="73"/>
        <v>8.6512049868138607</v>
      </c>
      <c r="J33" s="17">
        <f t="shared" si="73"/>
        <v>5.7216514487005972</v>
      </c>
      <c r="K33" s="17"/>
      <c r="L33" s="17">
        <f t="shared" si="73"/>
        <v>6.5376520629106345</v>
      </c>
      <c r="M33" s="17">
        <f t="shared" si="73"/>
        <v>3.7630693639813875</v>
      </c>
      <c r="N33" s="17">
        <f t="shared" si="73"/>
        <v>10.179279689029419</v>
      </c>
      <c r="O33" s="17">
        <f t="shared" si="73"/>
        <v>6.2319680255219962</v>
      </c>
      <c r="Q33" t="str">
        <f>$A$15</f>
        <v>Process, plant and machine operatives</v>
      </c>
      <c r="R33" s="17">
        <f t="shared" ref="R33:U33" si="74">R15/R$18*100</f>
        <v>11.14029038609176</v>
      </c>
      <c r="S33" s="17">
        <f t="shared" si="74"/>
        <v>7.127650852845985</v>
      </c>
      <c r="T33" s="17">
        <f t="shared" si="74"/>
        <v>8.5648369271951044</v>
      </c>
      <c r="U33" s="17">
        <f t="shared" si="74"/>
        <v>10.09207713084597</v>
      </c>
      <c r="V33" s="17"/>
      <c r="W33" s="17">
        <f t="shared" ref="W33:Z33" si="75">W15/W$18*100</f>
        <v>9.4219508689302867</v>
      </c>
      <c r="X33" s="17">
        <f t="shared" si="75"/>
        <v>7.9907248940820628</v>
      </c>
      <c r="Y33" s="17">
        <f t="shared" si="75"/>
        <v>12.032794984246529</v>
      </c>
      <c r="Z33" s="17">
        <f t="shared" si="75"/>
        <v>9.6045691047693147</v>
      </c>
      <c r="AA33" s="17"/>
      <c r="AB33" s="17">
        <f t="shared" ref="AB33:AE33" si="76">AB15/AB$18*100</f>
        <v>9.6036593671164621</v>
      </c>
      <c r="AC33" s="17">
        <f t="shared" si="76"/>
        <v>8.6425307925761228</v>
      </c>
      <c r="AD33" s="17">
        <f t="shared" si="76"/>
        <v>13.858170877838818</v>
      </c>
      <c r="AE33" s="17">
        <f t="shared" si="76"/>
        <v>10.170126467025863</v>
      </c>
      <c r="AG33" t="str">
        <f>$A$15</f>
        <v>Process, plant and machine operatives</v>
      </c>
      <c r="AH33" s="17">
        <f t="shared" ref="AH33:AK33" si="77">AH15/AH$18*100</f>
        <v>2.3487244713550801</v>
      </c>
      <c r="AI33" s="17">
        <f t="shared" si="77"/>
        <v>1.1793231276558025</v>
      </c>
      <c r="AJ33" s="17">
        <f t="shared" si="77"/>
        <v>2.782334226312881</v>
      </c>
      <c r="AK33" s="17">
        <f t="shared" si="77"/>
        <v>1.8504907617715953</v>
      </c>
      <c r="AL33" s="17"/>
      <c r="AM33" s="17">
        <f t="shared" ref="AM33:AP33" si="78">AM15/AM$18*100</f>
        <v>1.8278275355807456</v>
      </c>
      <c r="AN33" s="17">
        <f t="shared" si="78"/>
        <v>0.94707177477987103</v>
      </c>
      <c r="AO33" s="17">
        <f t="shared" si="78"/>
        <v>3.3551900802092347</v>
      </c>
      <c r="AP33" s="17">
        <f t="shared" si="78"/>
        <v>1.597538477263996</v>
      </c>
      <c r="AQ33" s="17"/>
      <c r="AR33" s="17">
        <f t="shared" ref="AR33:AU33" si="79">AR15/AR$18*100</f>
        <v>1.9085368778066567</v>
      </c>
      <c r="AS33" s="17">
        <f t="shared" si="79"/>
        <v>1.6862657370646845</v>
      </c>
      <c r="AT33" s="17">
        <f t="shared" si="79"/>
        <v>4.2365754578500052</v>
      </c>
      <c r="AU33" s="17">
        <f t="shared" si="79"/>
        <v>2.0750948180683166</v>
      </c>
    </row>
    <row r="34" spans="1:47" x14ac:dyDescent="0.3">
      <c r="A34" t="str">
        <f>$A$16</f>
        <v>Elementary occupations</v>
      </c>
      <c r="B34" s="17">
        <f t="shared" si="30"/>
        <v>8.6198299634607434</v>
      </c>
      <c r="C34" s="17">
        <f t="shared" ref="C34:O34" si="80">C16/C$18*100</f>
        <v>23.811784104746419</v>
      </c>
      <c r="D34" s="17">
        <f t="shared" si="80"/>
        <v>5.0460069876858933</v>
      </c>
      <c r="E34" s="17">
        <f t="shared" si="80"/>
        <v>12.597647940438577</v>
      </c>
      <c r="F34" s="17"/>
      <c r="G34" s="17">
        <f t="shared" si="80"/>
        <v>6.987922096725832</v>
      </c>
      <c r="H34" s="17">
        <f t="shared" si="80"/>
        <v>21.52115696794538</v>
      </c>
      <c r="I34" s="17">
        <f t="shared" si="80"/>
        <v>4.3305296138609632</v>
      </c>
      <c r="J34" s="17">
        <f t="shared" si="80"/>
        <v>11.081592426103759</v>
      </c>
      <c r="K34" s="17"/>
      <c r="L34" s="17">
        <f t="shared" si="80"/>
        <v>6.2661617102969833</v>
      </c>
      <c r="M34" s="17">
        <f t="shared" si="80"/>
        <v>18.807907035214289</v>
      </c>
      <c r="N34" s="17">
        <f t="shared" si="80"/>
        <v>5.3123724992322829</v>
      </c>
      <c r="O34" s="17">
        <f t="shared" si="80"/>
        <v>9.8694841902324342</v>
      </c>
      <c r="Q34" t="str">
        <f>$A$16</f>
        <v>Elementary occupations</v>
      </c>
      <c r="R34" s="17">
        <f t="shared" ref="R34:U34" si="81">R16/R$18*100</f>
        <v>9.9332448713979495</v>
      </c>
      <c r="S34" s="17">
        <f t="shared" si="81"/>
        <v>31.686020092368917</v>
      </c>
      <c r="T34" s="17">
        <f t="shared" si="81"/>
        <v>5.5662736996999227</v>
      </c>
      <c r="U34" s="17">
        <f t="shared" si="81"/>
        <v>12.365829291963733</v>
      </c>
      <c r="V34" s="17"/>
      <c r="W34" s="17">
        <f t="shared" ref="W34:Z34" si="82">W16/W$18*100</f>
        <v>8.1539599356952195</v>
      </c>
      <c r="X34" s="17">
        <f t="shared" si="82"/>
        <v>27.737484767099847</v>
      </c>
      <c r="Y34" s="17">
        <f t="shared" si="82"/>
        <v>5.6352150969286159</v>
      </c>
      <c r="Z34" s="17">
        <f t="shared" si="82"/>
        <v>11.058889155005831</v>
      </c>
      <c r="AA34" s="17"/>
      <c r="AB34" s="17">
        <f t="shared" ref="AB34:AE34" si="83">AB16/AB$18*100</f>
        <v>7.1240029487803573</v>
      </c>
      <c r="AC34" s="17">
        <f t="shared" si="83"/>
        <v>24.877271539968326</v>
      </c>
      <c r="AD34" s="17">
        <f t="shared" si="83"/>
        <v>7.2415537836443598</v>
      </c>
      <c r="AE34" s="17">
        <f t="shared" si="83"/>
        <v>10.222187718634618</v>
      </c>
      <c r="AG34" t="str">
        <f>$A$16</f>
        <v>Elementary occupations</v>
      </c>
      <c r="AH34" s="17">
        <f t="shared" ref="AH34:AK34" si="84">AH16/AH$18*100</f>
        <v>6.2808317042949184</v>
      </c>
      <c r="AI34" s="17">
        <f t="shared" si="84"/>
        <v>20.95798461399156</v>
      </c>
      <c r="AJ34" s="17">
        <f t="shared" si="84"/>
        <v>4.0237985224385886</v>
      </c>
      <c r="AK34" s="17">
        <f t="shared" si="84"/>
        <v>12.862220547223743</v>
      </c>
      <c r="AL34" s="17"/>
      <c r="AM34" s="17">
        <f t="shared" ref="AM34:AP34" si="85">AM16/AM$18*100</f>
        <v>5.0938524609506795</v>
      </c>
      <c r="AN34" s="17">
        <f t="shared" si="85"/>
        <v>19.053319251004616</v>
      </c>
      <c r="AO34" s="17">
        <f t="shared" si="85"/>
        <v>2.2872204687538158</v>
      </c>
      <c r="AP34" s="17">
        <f t="shared" si="85"/>
        <v>11.105705956990157</v>
      </c>
      <c r="AQ34" s="17"/>
      <c r="AR34" s="17">
        <f t="shared" ref="AR34:AU34" si="86">AR16/AR$18*100</f>
        <v>4.9709769604027354</v>
      </c>
      <c r="AS34" s="17">
        <f t="shared" si="86"/>
        <v>16.224655092144221</v>
      </c>
      <c r="AT34" s="17">
        <f t="shared" si="86"/>
        <v>2.1960656575238371</v>
      </c>
      <c r="AU34" s="17">
        <f t="shared" si="86"/>
        <v>9.4971924530748097</v>
      </c>
    </row>
    <row r="35" spans="1:47" x14ac:dyDescent="0.3"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</row>
    <row r="36" spans="1:47" x14ac:dyDescent="0.3">
      <c r="A36" s="23" t="str">
        <f>$A$18</f>
        <v>All occupations</v>
      </c>
      <c r="B36" s="25">
        <f>B18/B$18*100</f>
        <v>100</v>
      </c>
      <c r="C36" s="25">
        <f t="shared" ref="C36:O36" si="87">C18/C$18*100</f>
        <v>100</v>
      </c>
      <c r="D36" s="25">
        <f t="shared" si="87"/>
        <v>100</v>
      </c>
      <c r="E36" s="25">
        <f t="shared" si="87"/>
        <v>100</v>
      </c>
      <c r="F36" s="25"/>
      <c r="G36" s="25">
        <f t="shared" si="87"/>
        <v>100</v>
      </c>
      <c r="H36" s="25">
        <f t="shared" si="87"/>
        <v>100</v>
      </c>
      <c r="I36" s="25">
        <f t="shared" si="87"/>
        <v>100</v>
      </c>
      <c r="J36" s="25">
        <f t="shared" si="87"/>
        <v>100</v>
      </c>
      <c r="K36" s="25"/>
      <c r="L36" s="25">
        <f t="shared" si="87"/>
        <v>100</v>
      </c>
      <c r="M36" s="25">
        <f t="shared" si="87"/>
        <v>100</v>
      </c>
      <c r="N36" s="25">
        <f t="shared" si="87"/>
        <v>100</v>
      </c>
      <c r="O36" s="25">
        <f t="shared" si="87"/>
        <v>100</v>
      </c>
      <c r="Q36" s="23" t="str">
        <f>$A$18</f>
        <v>All occupations</v>
      </c>
      <c r="R36" s="25">
        <f>R18/R$18*100</f>
        <v>100</v>
      </c>
      <c r="S36" s="25">
        <f t="shared" ref="S36:U36" si="88">S18/S$18*100</f>
        <v>100</v>
      </c>
      <c r="T36" s="25">
        <f t="shared" si="88"/>
        <v>100</v>
      </c>
      <c r="U36" s="25">
        <f t="shared" si="88"/>
        <v>100</v>
      </c>
      <c r="V36" s="25"/>
      <c r="W36" s="25">
        <f t="shared" ref="W36:Z36" si="89">W18/W$18*100</f>
        <v>100</v>
      </c>
      <c r="X36" s="25">
        <f t="shared" si="89"/>
        <v>100</v>
      </c>
      <c r="Y36" s="25">
        <f t="shared" si="89"/>
        <v>100</v>
      </c>
      <c r="Z36" s="25">
        <f t="shared" si="89"/>
        <v>100</v>
      </c>
      <c r="AA36" s="25"/>
      <c r="AB36" s="25">
        <f t="shared" ref="AB36:AE36" si="90">AB18/AB$18*100</f>
        <v>100</v>
      </c>
      <c r="AC36" s="25">
        <f t="shared" si="90"/>
        <v>100</v>
      </c>
      <c r="AD36" s="25">
        <f t="shared" si="90"/>
        <v>100</v>
      </c>
      <c r="AE36" s="25">
        <f t="shared" si="90"/>
        <v>100</v>
      </c>
      <c r="AG36" s="23" t="str">
        <f>$A$18</f>
        <v>All occupations</v>
      </c>
      <c r="AH36" s="25">
        <f>AH18/AH$18*100</f>
        <v>100</v>
      </c>
      <c r="AI36" s="25">
        <f t="shared" ref="AI36:AK36" si="91">AI18/AI$18*100</f>
        <v>100</v>
      </c>
      <c r="AJ36" s="25">
        <f t="shared" si="91"/>
        <v>100</v>
      </c>
      <c r="AK36" s="25">
        <f t="shared" si="91"/>
        <v>100</v>
      </c>
      <c r="AL36" s="25"/>
      <c r="AM36" s="25">
        <f t="shared" ref="AM36:AP36" si="92">AM18/AM$18*100</f>
        <v>100</v>
      </c>
      <c r="AN36" s="25">
        <f t="shared" si="92"/>
        <v>100</v>
      </c>
      <c r="AO36" s="25">
        <f t="shared" si="92"/>
        <v>100</v>
      </c>
      <c r="AP36" s="25">
        <f t="shared" si="92"/>
        <v>100</v>
      </c>
      <c r="AQ36" s="25"/>
      <c r="AR36" s="25">
        <f t="shared" ref="AR36:AU36" si="93">AR18/AR$18*100</f>
        <v>100</v>
      </c>
      <c r="AS36" s="25">
        <f t="shared" si="93"/>
        <v>100</v>
      </c>
      <c r="AT36" s="25">
        <f t="shared" si="93"/>
        <v>100</v>
      </c>
      <c r="AU36" s="25">
        <f t="shared" si="93"/>
        <v>100</v>
      </c>
    </row>
    <row r="37" spans="1:47" x14ac:dyDescent="0.3"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</row>
    <row r="38" spans="1:47" x14ac:dyDescent="0.3"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</row>
    <row r="39" spans="1:47" x14ac:dyDescent="0.3"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</row>
    <row r="40" spans="1:47" x14ac:dyDescent="0.3">
      <c r="A40" s="35"/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Q40" s="3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G40" s="3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</row>
    <row r="41" spans="1:47" x14ac:dyDescent="0.3">
      <c r="B41" s="376" t="str">
        <f>B5&amp;"-"&amp;G5</f>
        <v>2015-2020</v>
      </c>
      <c r="C41" s="376"/>
      <c r="D41" s="376"/>
      <c r="E41" s="376"/>
      <c r="F41" s="1"/>
      <c r="G41" s="376" t="str">
        <f>G5&amp;"-"&amp;L5</f>
        <v>2020-2035</v>
      </c>
      <c r="H41" s="376"/>
      <c r="I41" s="376"/>
      <c r="J41" s="376"/>
      <c r="K41" s="1"/>
      <c r="L41" s="376" t="str">
        <f>B5&amp;"-"&amp;L5</f>
        <v>2015-2035</v>
      </c>
      <c r="M41" s="376"/>
      <c r="N41" s="376"/>
      <c r="O41" s="376"/>
      <c r="R41" s="376" t="str">
        <f>R5&amp;"-"&amp;W5</f>
        <v>2015-2020</v>
      </c>
      <c r="S41" s="376"/>
      <c r="T41" s="376"/>
      <c r="U41" s="376"/>
      <c r="V41" s="1"/>
      <c r="W41" s="376" t="str">
        <f>W5&amp;"-"&amp;AB5</f>
        <v>2020-2035</v>
      </c>
      <c r="X41" s="376"/>
      <c r="Y41" s="376"/>
      <c r="Z41" s="376"/>
      <c r="AA41" s="1"/>
      <c r="AB41" s="376" t="str">
        <f>R5&amp;"-"&amp;AB5</f>
        <v>2015-2035</v>
      </c>
      <c r="AC41" s="376"/>
      <c r="AD41" s="376"/>
      <c r="AE41" s="376"/>
      <c r="AH41" s="376" t="str">
        <f>AH5&amp;"-"&amp;AM5</f>
        <v>2015-2020</v>
      </c>
      <c r="AI41" s="376"/>
      <c r="AJ41" s="376"/>
      <c r="AK41" s="376"/>
      <c r="AL41" s="1"/>
      <c r="AM41" s="376" t="str">
        <f>AM5&amp;"-"&amp;AR5</f>
        <v>2020-2035</v>
      </c>
      <c r="AN41" s="376"/>
      <c r="AO41" s="376"/>
      <c r="AP41" s="376"/>
      <c r="AQ41" s="1"/>
      <c r="AR41" s="376" t="str">
        <f>AH5&amp;"-"&amp;AR5</f>
        <v>2015-2035</v>
      </c>
      <c r="AS41" s="376"/>
      <c r="AT41" s="376"/>
      <c r="AU41" s="376"/>
    </row>
    <row r="42" spans="1:47" x14ac:dyDescent="0.3">
      <c r="A42" s="40" t="s">
        <v>15</v>
      </c>
      <c r="B42" s="337" t="s">
        <v>339</v>
      </c>
      <c r="C42" s="337" t="s">
        <v>341</v>
      </c>
      <c r="D42" s="337" t="s">
        <v>337</v>
      </c>
      <c r="E42" s="337" t="s">
        <v>32</v>
      </c>
      <c r="F42" s="338"/>
      <c r="G42" s="337" t="s">
        <v>339</v>
      </c>
      <c r="H42" s="337" t="s">
        <v>341</v>
      </c>
      <c r="I42" s="337" t="s">
        <v>337</v>
      </c>
      <c r="J42" s="337" t="s">
        <v>32</v>
      </c>
      <c r="K42" s="338"/>
      <c r="L42" s="337" t="s">
        <v>339</v>
      </c>
      <c r="M42" s="337" t="s">
        <v>341</v>
      </c>
      <c r="N42" s="337" t="s">
        <v>337</v>
      </c>
      <c r="O42" s="337" t="s">
        <v>32</v>
      </c>
      <c r="Q42" s="40" t="s">
        <v>15</v>
      </c>
      <c r="R42" s="337" t="s">
        <v>339</v>
      </c>
      <c r="S42" s="337" t="s">
        <v>341</v>
      </c>
      <c r="T42" s="337" t="s">
        <v>337</v>
      </c>
      <c r="U42" s="337" t="s">
        <v>32</v>
      </c>
      <c r="V42" s="338"/>
      <c r="W42" s="337" t="s">
        <v>339</v>
      </c>
      <c r="X42" s="337" t="s">
        <v>341</v>
      </c>
      <c r="Y42" s="337" t="s">
        <v>337</v>
      </c>
      <c r="Z42" s="337" t="s">
        <v>32</v>
      </c>
      <c r="AA42" s="338"/>
      <c r="AB42" s="337" t="s">
        <v>339</v>
      </c>
      <c r="AC42" s="337" t="s">
        <v>341</v>
      </c>
      <c r="AD42" s="337" t="s">
        <v>337</v>
      </c>
      <c r="AE42" s="337" t="s">
        <v>32</v>
      </c>
      <c r="AG42" s="40" t="s">
        <v>15</v>
      </c>
      <c r="AH42" s="337" t="s">
        <v>339</v>
      </c>
      <c r="AI42" s="337" t="s">
        <v>341</v>
      </c>
      <c r="AJ42" s="337" t="s">
        <v>337</v>
      </c>
      <c r="AK42" s="337" t="s">
        <v>32</v>
      </c>
      <c r="AL42" s="338"/>
      <c r="AM42" s="337" t="s">
        <v>339</v>
      </c>
      <c r="AN42" s="337" t="s">
        <v>341</v>
      </c>
      <c r="AO42" s="337" t="s">
        <v>337</v>
      </c>
      <c r="AP42" s="337" t="s">
        <v>32</v>
      </c>
      <c r="AQ42" s="338"/>
      <c r="AR42" s="337" t="s">
        <v>339</v>
      </c>
      <c r="AS42" s="337" t="s">
        <v>341</v>
      </c>
      <c r="AT42" s="337" t="s">
        <v>337</v>
      </c>
      <c r="AU42" s="337" t="s">
        <v>32</v>
      </c>
    </row>
    <row r="43" spans="1:47" x14ac:dyDescent="0.3">
      <c r="A43" s="1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Q43" s="1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G43" s="1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</row>
    <row r="44" spans="1:47" x14ac:dyDescent="0.3">
      <c r="A44" t="str">
        <f>$A$8</f>
        <v>Managers, directors and senior officials</v>
      </c>
      <c r="B44" s="26">
        <f>G8-B8</f>
        <v>23.756937733214755</v>
      </c>
      <c r="C44" s="26">
        <f t="shared" ref="C44:E44" si="94">H8-C8</f>
        <v>19.385022019698503</v>
      </c>
      <c r="D44" s="26">
        <f t="shared" si="94"/>
        <v>4.4344323220757076</v>
      </c>
      <c r="E44" s="26">
        <f t="shared" si="94"/>
        <v>47.576392074988917</v>
      </c>
      <c r="F44" s="26"/>
      <c r="G44" s="26">
        <f>L8-G8</f>
        <v>35.376820384565917</v>
      </c>
      <c r="H44" s="26">
        <f t="shared" ref="H44:J44" si="95">M8-H8</f>
        <v>16.053166202439591</v>
      </c>
      <c r="I44" s="26">
        <f t="shared" si="95"/>
        <v>9.747485621538857</v>
      </c>
      <c r="J44" s="26">
        <f t="shared" si="95"/>
        <v>61.177472208544373</v>
      </c>
      <c r="K44" s="26"/>
      <c r="L44" s="26">
        <f>L8-B8</f>
        <v>59.133758117780673</v>
      </c>
      <c r="M44" s="26">
        <f t="shared" ref="M44:O44" si="96">M8-C8</f>
        <v>35.438188222138095</v>
      </c>
      <c r="N44" s="26">
        <f t="shared" si="96"/>
        <v>14.181917943614565</v>
      </c>
      <c r="O44" s="26">
        <f t="shared" si="96"/>
        <v>108.75386428353329</v>
      </c>
      <c r="Q44" t="str">
        <f>$A$8</f>
        <v>Managers, directors and senior officials</v>
      </c>
      <c r="R44" s="26">
        <f>W8-R8</f>
        <v>11.933331630250109</v>
      </c>
      <c r="S44" s="26">
        <f t="shared" ref="S44:S52" si="97">X8-S8</f>
        <v>7.8656729438776622</v>
      </c>
      <c r="T44" s="26">
        <f t="shared" ref="T44:T52" si="98">Y8-T8</f>
        <v>1.4398162620929611</v>
      </c>
      <c r="U44" s="26">
        <f t="shared" ref="U44:U52" si="99">Z8-U8</f>
        <v>21.238820836220725</v>
      </c>
      <c r="V44" s="26"/>
      <c r="W44" s="26">
        <f>AB8-W8</f>
        <v>11.310550153144362</v>
      </c>
      <c r="X44" s="26">
        <f t="shared" ref="X44:X52" si="100">AC8-X8</f>
        <v>5.4847823038464334</v>
      </c>
      <c r="Y44" s="26">
        <f t="shared" ref="Y44:Y52" si="101">AD8-Y8</f>
        <v>7.8152334158759231</v>
      </c>
      <c r="Z44" s="26">
        <f t="shared" ref="Z44:Z52" si="102">AE8-Z8</f>
        <v>24.610565872866687</v>
      </c>
      <c r="AA44" s="26"/>
      <c r="AB44" s="26">
        <f>AB8-R8</f>
        <v>23.243881783394471</v>
      </c>
      <c r="AC44" s="26">
        <f t="shared" ref="AC44:AC52" si="103">AC8-S8</f>
        <v>13.350455247724096</v>
      </c>
      <c r="AD44" s="26">
        <f t="shared" ref="AD44:AD52" si="104">AD8-T8</f>
        <v>9.2550496779688842</v>
      </c>
      <c r="AE44" s="26">
        <f t="shared" ref="AE44:AE52" si="105">AE8-U8</f>
        <v>45.849386709087412</v>
      </c>
      <c r="AG44" t="str">
        <f>$A$8</f>
        <v>Managers, directors and senior officials</v>
      </c>
      <c r="AH44" s="26">
        <f>AM8-AH8</f>
        <v>11.823606102964874</v>
      </c>
      <c r="AI44" s="26">
        <f t="shared" ref="AI44:AI52" si="106">AN8-AI8</f>
        <v>11.519349075820863</v>
      </c>
      <c r="AJ44" s="26">
        <f t="shared" ref="AJ44:AJ52" si="107">AO8-AJ8</f>
        <v>2.9946160599827358</v>
      </c>
      <c r="AK44" s="26">
        <f t="shared" ref="AK44:AK52" si="108">AP8-AK8</f>
        <v>26.33757123876849</v>
      </c>
      <c r="AL44" s="26"/>
      <c r="AM44" s="26">
        <f>AR8-AM8</f>
        <v>24.066270231421129</v>
      </c>
      <c r="AN44" s="26">
        <f t="shared" ref="AN44:AN52" si="109">AS8-AN8</f>
        <v>10.568383898593098</v>
      </c>
      <c r="AO44" s="26">
        <f t="shared" ref="AO44:AO52" si="110">AT8-AO8</f>
        <v>1.9322522056629587</v>
      </c>
      <c r="AP44" s="26">
        <f t="shared" ref="AP44:AP52" si="111">AU8-AP8</f>
        <v>36.566906335677174</v>
      </c>
      <c r="AQ44" s="26"/>
      <c r="AR44" s="26">
        <f>AR8-AH8</f>
        <v>35.889876334386003</v>
      </c>
      <c r="AS44" s="26">
        <f t="shared" ref="AS44:AS52" si="112">AS8-AI8</f>
        <v>22.08773297441396</v>
      </c>
      <c r="AT44" s="26">
        <f t="shared" ref="AT44:AT52" si="113">AT8-AJ8</f>
        <v>4.9268682656456946</v>
      </c>
      <c r="AU44" s="26">
        <f t="shared" ref="AU44:AU52" si="114">AU8-AK8</f>
        <v>62.904477574445664</v>
      </c>
    </row>
    <row r="45" spans="1:47" x14ac:dyDescent="0.3">
      <c r="A45" t="str">
        <f>$A$9</f>
        <v>Professional occupations</v>
      </c>
      <c r="B45" s="26">
        <f t="shared" ref="B45:B54" si="115">G9-B9</f>
        <v>83.03732028139126</v>
      </c>
      <c r="C45" s="26">
        <f t="shared" ref="C45:C54" si="116">H9-C9</f>
        <v>38.950894882516025</v>
      </c>
      <c r="D45" s="26">
        <f t="shared" ref="D45:D54" si="117">I9-D9</f>
        <v>-3.4753273330542953</v>
      </c>
      <c r="E45" s="26">
        <f t="shared" ref="E45:E54" si="118">J9-E9</f>
        <v>118.51288783085295</v>
      </c>
      <c r="F45" s="26"/>
      <c r="G45" s="26">
        <f t="shared" ref="G45:G54" si="119">L9-G9</f>
        <v>106.7995643254859</v>
      </c>
      <c r="H45" s="26">
        <f t="shared" ref="H45:H54" si="120">M9-H9</f>
        <v>37.598799438157982</v>
      </c>
      <c r="I45" s="26">
        <f t="shared" ref="I45:I54" si="121">N9-I9</f>
        <v>2.1097219923046993</v>
      </c>
      <c r="J45" s="26">
        <f t="shared" ref="J45:J54" si="122">O9-J9</f>
        <v>146.50808575594863</v>
      </c>
      <c r="K45" s="26"/>
      <c r="L45" s="26">
        <f t="shared" ref="L45:L54" si="123">L9-B9</f>
        <v>189.83688460687716</v>
      </c>
      <c r="M45" s="26">
        <f t="shared" ref="M45:M54" si="124">M9-C9</f>
        <v>76.549694320674007</v>
      </c>
      <c r="N45" s="26">
        <f t="shared" ref="N45:N54" si="125">N9-D9</f>
        <v>-1.3656053407495961</v>
      </c>
      <c r="O45" s="26">
        <f t="shared" ref="O45:O54" si="126">O9-E9</f>
        <v>265.02097358680157</v>
      </c>
      <c r="Q45" t="str">
        <f>$A$9</f>
        <v>Professional occupations</v>
      </c>
      <c r="R45" s="26">
        <f t="shared" ref="R45:R52" si="127">W9-R9</f>
        <v>42.574155216664053</v>
      </c>
      <c r="S45" s="26">
        <f t="shared" si="97"/>
        <v>12.933967269192042</v>
      </c>
      <c r="T45" s="26">
        <f t="shared" si="98"/>
        <v>-9.0689789046112708</v>
      </c>
      <c r="U45" s="26">
        <f t="shared" si="99"/>
        <v>46.439143581244821</v>
      </c>
      <c r="V45" s="26"/>
      <c r="W45" s="26">
        <f t="shared" ref="W45:W52" si="128">AB9-W9</f>
        <v>53.584604298948818</v>
      </c>
      <c r="X45" s="26">
        <f t="shared" si="100"/>
        <v>14.034712269233104</v>
      </c>
      <c r="Y45" s="26">
        <f t="shared" si="101"/>
        <v>-1.7894149234199475</v>
      </c>
      <c r="Z45" s="26">
        <f t="shared" si="102"/>
        <v>65.829901644761946</v>
      </c>
      <c r="AA45" s="26"/>
      <c r="AB45" s="26">
        <f t="shared" ref="AB45:AB52" si="129">AB9-R9</f>
        <v>96.158759515612871</v>
      </c>
      <c r="AC45" s="26">
        <f t="shared" si="103"/>
        <v>26.968679538425146</v>
      </c>
      <c r="AD45" s="26">
        <f t="shared" si="104"/>
        <v>-10.858393828031218</v>
      </c>
      <c r="AE45" s="26">
        <f t="shared" si="105"/>
        <v>112.26904522600677</v>
      </c>
      <c r="AG45" t="str">
        <f>$A$9</f>
        <v>Professional occupations</v>
      </c>
      <c r="AH45" s="26">
        <f t="shared" ref="AH45:AH52" si="130">AM9-AH9</f>
        <v>40.463165064727036</v>
      </c>
      <c r="AI45" s="26">
        <f t="shared" si="106"/>
        <v>26.016927613324015</v>
      </c>
      <c r="AJ45" s="26">
        <f t="shared" si="107"/>
        <v>5.5936515715569826</v>
      </c>
      <c r="AK45" s="26">
        <f t="shared" si="108"/>
        <v>72.073744249608069</v>
      </c>
      <c r="AL45" s="26"/>
      <c r="AM45" s="26">
        <f t="shared" ref="AM45:AM52" si="131">AR9-AM9</f>
        <v>53.214960026536914</v>
      </c>
      <c r="AN45" s="26">
        <f t="shared" si="109"/>
        <v>23.564087168924829</v>
      </c>
      <c r="AO45" s="26">
        <f t="shared" si="110"/>
        <v>3.8991369157246183</v>
      </c>
      <c r="AP45" s="26">
        <f t="shared" si="111"/>
        <v>80.678184111186397</v>
      </c>
      <c r="AQ45" s="26"/>
      <c r="AR45" s="26">
        <f t="shared" ref="AR45:AR52" si="132">AR9-AH9</f>
        <v>93.678125091263951</v>
      </c>
      <c r="AS45" s="26">
        <f t="shared" si="112"/>
        <v>49.581014782248843</v>
      </c>
      <c r="AT45" s="26">
        <f t="shared" si="113"/>
        <v>9.4927884872816009</v>
      </c>
      <c r="AU45" s="26">
        <f t="shared" si="114"/>
        <v>152.75192836079447</v>
      </c>
    </row>
    <row r="46" spans="1:47" x14ac:dyDescent="0.3">
      <c r="A46" t="str">
        <f>$A$10</f>
        <v>Associate professional occupations</v>
      </c>
      <c r="B46" s="26">
        <f t="shared" si="115"/>
        <v>35.681742386911026</v>
      </c>
      <c r="C46" s="26">
        <f t="shared" si="116"/>
        <v>17.492560037205109</v>
      </c>
      <c r="D46" s="26">
        <f t="shared" si="117"/>
        <v>2.720777355639683</v>
      </c>
      <c r="E46" s="26">
        <f t="shared" si="118"/>
        <v>55.895079779755861</v>
      </c>
      <c r="F46" s="26"/>
      <c r="G46" s="26">
        <f t="shared" si="119"/>
        <v>20.847484793648334</v>
      </c>
      <c r="H46" s="26">
        <f t="shared" si="120"/>
        <v>7.0577174618206442</v>
      </c>
      <c r="I46" s="26">
        <f t="shared" si="121"/>
        <v>2.2215050749051954</v>
      </c>
      <c r="J46" s="26">
        <f t="shared" si="122"/>
        <v>30.126707330374188</v>
      </c>
      <c r="K46" s="26"/>
      <c r="L46" s="26">
        <f t="shared" si="123"/>
        <v>56.52922718055936</v>
      </c>
      <c r="M46" s="26">
        <f t="shared" si="124"/>
        <v>24.550277499025754</v>
      </c>
      <c r="N46" s="26">
        <f t="shared" si="125"/>
        <v>4.9422824305448785</v>
      </c>
      <c r="O46" s="26">
        <f t="shared" si="126"/>
        <v>86.021787110130049</v>
      </c>
      <c r="Q46" t="str">
        <f>$A$10</f>
        <v>Associate professional occupations</v>
      </c>
      <c r="R46" s="26">
        <f t="shared" si="127"/>
        <v>17.199391774306434</v>
      </c>
      <c r="S46" s="26">
        <f t="shared" si="97"/>
        <v>7.9168296831455862</v>
      </c>
      <c r="T46" s="26">
        <f t="shared" si="98"/>
        <v>-1.5484983555943472</v>
      </c>
      <c r="U46" s="26">
        <f t="shared" si="99"/>
        <v>23.567723101857666</v>
      </c>
      <c r="V46" s="26"/>
      <c r="W46" s="26">
        <f t="shared" si="128"/>
        <v>-0.3922736522615935</v>
      </c>
      <c r="X46" s="26">
        <f t="shared" si="100"/>
        <v>-2.0040812300165491</v>
      </c>
      <c r="Y46" s="26">
        <f t="shared" si="101"/>
        <v>-0.32204861213171299</v>
      </c>
      <c r="Z46" s="26">
        <f t="shared" si="102"/>
        <v>-2.7184034944098414</v>
      </c>
      <c r="AA46" s="26"/>
      <c r="AB46" s="26">
        <f t="shared" si="129"/>
        <v>16.807118122044841</v>
      </c>
      <c r="AC46" s="26">
        <f t="shared" si="103"/>
        <v>5.9127484531290371</v>
      </c>
      <c r="AD46" s="26">
        <f t="shared" si="104"/>
        <v>-1.8705469677260602</v>
      </c>
      <c r="AE46" s="26">
        <f t="shared" si="105"/>
        <v>20.849319607447825</v>
      </c>
      <c r="AG46" t="str">
        <f>$A$10</f>
        <v>Associate professional occupations</v>
      </c>
      <c r="AH46" s="26">
        <f t="shared" si="130"/>
        <v>18.482350612604691</v>
      </c>
      <c r="AI46" s="26">
        <f t="shared" si="106"/>
        <v>9.5757303540595657</v>
      </c>
      <c r="AJ46" s="26">
        <f t="shared" si="107"/>
        <v>4.2692757112340729</v>
      </c>
      <c r="AK46" s="26">
        <f t="shared" si="108"/>
        <v>32.327356677898337</v>
      </c>
      <c r="AL46" s="26"/>
      <c r="AM46" s="26">
        <f t="shared" si="131"/>
        <v>21.239758445909942</v>
      </c>
      <c r="AN46" s="26">
        <f t="shared" si="109"/>
        <v>9.0617986918371898</v>
      </c>
      <c r="AO46" s="26">
        <f t="shared" si="110"/>
        <v>2.5435536870368907</v>
      </c>
      <c r="AP46" s="26">
        <f t="shared" si="111"/>
        <v>32.84511082478403</v>
      </c>
      <c r="AQ46" s="26"/>
      <c r="AR46" s="26">
        <f t="shared" si="132"/>
        <v>39.722109058514633</v>
      </c>
      <c r="AS46" s="26">
        <f t="shared" si="112"/>
        <v>18.637529045896756</v>
      </c>
      <c r="AT46" s="26">
        <f t="shared" si="113"/>
        <v>6.8128293982709636</v>
      </c>
      <c r="AU46" s="26">
        <f t="shared" si="114"/>
        <v>65.172467502682366</v>
      </c>
    </row>
    <row r="47" spans="1:47" x14ac:dyDescent="0.3">
      <c r="A47" t="str">
        <f>$A$11</f>
        <v>Administrative and secretarial occupations</v>
      </c>
      <c r="B47" s="26">
        <f t="shared" si="115"/>
        <v>-1.0902754444700804</v>
      </c>
      <c r="C47" s="26">
        <f t="shared" si="116"/>
        <v>-0.93866633412312694</v>
      </c>
      <c r="D47" s="26">
        <f t="shared" si="117"/>
        <v>-2.5108005449582045</v>
      </c>
      <c r="E47" s="26">
        <f t="shared" si="118"/>
        <v>-4.5397423235514225</v>
      </c>
      <c r="F47" s="26"/>
      <c r="G47" s="26">
        <f t="shared" si="119"/>
        <v>-27.479095413087634</v>
      </c>
      <c r="H47" s="26">
        <f t="shared" si="120"/>
        <v>-22.167625773172631</v>
      </c>
      <c r="I47" s="26">
        <f t="shared" si="121"/>
        <v>-0.70895505510743817</v>
      </c>
      <c r="J47" s="26">
        <f t="shared" si="122"/>
        <v>-50.355676241367689</v>
      </c>
      <c r="K47" s="26"/>
      <c r="L47" s="26">
        <f t="shared" si="123"/>
        <v>-28.569370857557715</v>
      </c>
      <c r="M47" s="26">
        <f t="shared" si="124"/>
        <v>-23.106292107295758</v>
      </c>
      <c r="N47" s="26">
        <f t="shared" si="125"/>
        <v>-3.2197556000656427</v>
      </c>
      <c r="O47" s="26">
        <f t="shared" si="126"/>
        <v>-54.895418564919112</v>
      </c>
      <c r="Q47" t="str">
        <f>$A$11</f>
        <v>Administrative and secretarial occupations</v>
      </c>
      <c r="R47" s="26">
        <f t="shared" si="127"/>
        <v>4.2277024545980879</v>
      </c>
      <c r="S47" s="26">
        <f t="shared" si="97"/>
        <v>2.8972374881976908</v>
      </c>
      <c r="T47" s="26">
        <f t="shared" si="98"/>
        <v>-1.5828978021428943</v>
      </c>
      <c r="U47" s="26">
        <f t="shared" si="99"/>
        <v>5.5420421406528817</v>
      </c>
      <c r="V47" s="26"/>
      <c r="W47" s="26">
        <f t="shared" si="128"/>
        <v>3.854820440207348</v>
      </c>
      <c r="X47" s="26">
        <f t="shared" si="100"/>
        <v>-1.292593439807737</v>
      </c>
      <c r="Y47" s="26">
        <f t="shared" si="101"/>
        <v>1.9226197364564594</v>
      </c>
      <c r="Z47" s="26">
        <f t="shared" si="102"/>
        <v>4.4848467368560847</v>
      </c>
      <c r="AA47" s="26"/>
      <c r="AB47" s="26">
        <f t="shared" si="129"/>
        <v>8.082522894805436</v>
      </c>
      <c r="AC47" s="26">
        <f t="shared" si="103"/>
        <v>1.6046440483899538</v>
      </c>
      <c r="AD47" s="26">
        <f t="shared" si="104"/>
        <v>0.33972193431356512</v>
      </c>
      <c r="AE47" s="26">
        <f t="shared" si="105"/>
        <v>10.026888877508966</v>
      </c>
      <c r="AG47" t="str">
        <f>$A$11</f>
        <v>Administrative and secretarial occupations</v>
      </c>
      <c r="AH47" s="26">
        <f t="shared" si="130"/>
        <v>-5.3179778990677846</v>
      </c>
      <c r="AI47" s="26">
        <f t="shared" si="106"/>
        <v>-3.8359038223208728</v>
      </c>
      <c r="AJ47" s="26">
        <f t="shared" si="107"/>
        <v>-0.92790274281530749</v>
      </c>
      <c r="AK47" s="26">
        <f t="shared" si="108"/>
        <v>-10.081784464203935</v>
      </c>
      <c r="AL47" s="26"/>
      <c r="AM47" s="26">
        <f t="shared" si="131"/>
        <v>-31.333915853295366</v>
      </c>
      <c r="AN47" s="26">
        <f t="shared" si="109"/>
        <v>-20.875032333364928</v>
      </c>
      <c r="AO47" s="26">
        <f t="shared" si="110"/>
        <v>-2.6315747915638941</v>
      </c>
      <c r="AP47" s="26">
        <f t="shared" si="111"/>
        <v>-54.840522978224158</v>
      </c>
      <c r="AQ47" s="26"/>
      <c r="AR47" s="26">
        <f t="shared" si="132"/>
        <v>-36.651893752363151</v>
      </c>
      <c r="AS47" s="26">
        <f t="shared" si="112"/>
        <v>-24.7109361556858</v>
      </c>
      <c r="AT47" s="26">
        <f t="shared" si="113"/>
        <v>-3.5594775343792016</v>
      </c>
      <c r="AU47" s="26">
        <f t="shared" si="114"/>
        <v>-64.922307442428092</v>
      </c>
    </row>
    <row r="48" spans="1:47" x14ac:dyDescent="0.3">
      <c r="A48" t="str">
        <f>$A$12</f>
        <v>Skilled trades occupations</v>
      </c>
      <c r="B48" s="26">
        <f t="shared" si="115"/>
        <v>-37.91190278850155</v>
      </c>
      <c r="C48" s="26">
        <f t="shared" si="116"/>
        <v>-4.4211747072254219</v>
      </c>
      <c r="D48" s="26">
        <f t="shared" si="117"/>
        <v>-11.131618351206541</v>
      </c>
      <c r="E48" s="26">
        <f t="shared" si="118"/>
        <v>-53.464695846933523</v>
      </c>
      <c r="F48" s="26"/>
      <c r="G48" s="26">
        <f t="shared" si="119"/>
        <v>-16.720914336852729</v>
      </c>
      <c r="H48" s="26">
        <f t="shared" si="120"/>
        <v>5.9816992018155979</v>
      </c>
      <c r="I48" s="26">
        <f t="shared" si="121"/>
        <v>16.915047328430575</v>
      </c>
      <c r="J48" s="26">
        <f t="shared" si="122"/>
        <v>6.1758321933934326</v>
      </c>
      <c r="K48" s="26"/>
      <c r="L48" s="26">
        <f t="shared" si="123"/>
        <v>-54.632817125354279</v>
      </c>
      <c r="M48" s="26">
        <f t="shared" si="124"/>
        <v>1.5605244945901759</v>
      </c>
      <c r="N48" s="26">
        <f t="shared" si="125"/>
        <v>5.7834289772240339</v>
      </c>
      <c r="O48" s="26">
        <f t="shared" si="126"/>
        <v>-47.288863653540091</v>
      </c>
      <c r="Q48" t="str">
        <f>$A$12</f>
        <v>Skilled trades occupations</v>
      </c>
      <c r="R48" s="26">
        <f t="shared" si="127"/>
        <v>-38.043951627208571</v>
      </c>
      <c r="S48" s="26">
        <f t="shared" si="97"/>
        <v>-3.8293557497869646</v>
      </c>
      <c r="T48" s="26">
        <f t="shared" si="98"/>
        <v>-13.814873505666611</v>
      </c>
      <c r="U48" s="26">
        <f t="shared" si="99"/>
        <v>-55.688180882662152</v>
      </c>
      <c r="V48" s="26"/>
      <c r="W48" s="26">
        <f t="shared" si="128"/>
        <v>-20.113356540193109</v>
      </c>
      <c r="X48" s="26">
        <f t="shared" si="100"/>
        <v>3.2672350616161321</v>
      </c>
      <c r="Y48" s="26">
        <f t="shared" si="101"/>
        <v>12.446442703967861</v>
      </c>
      <c r="Z48" s="26">
        <f t="shared" si="102"/>
        <v>-4.3996787746091286</v>
      </c>
      <c r="AA48" s="26"/>
      <c r="AB48" s="26">
        <f t="shared" si="129"/>
        <v>-58.157308167401681</v>
      </c>
      <c r="AC48" s="26">
        <f t="shared" si="103"/>
        <v>-0.56212068817083249</v>
      </c>
      <c r="AD48" s="26">
        <f t="shared" si="104"/>
        <v>-1.3684308016987501</v>
      </c>
      <c r="AE48" s="26">
        <f t="shared" si="105"/>
        <v>-60.087859657271281</v>
      </c>
      <c r="AG48" t="str">
        <f>$A$12</f>
        <v>Skilled trades occupations</v>
      </c>
      <c r="AH48" s="26">
        <f t="shared" si="130"/>
        <v>0.13204883870712436</v>
      </c>
      <c r="AI48" s="26">
        <f t="shared" si="106"/>
        <v>-0.59181895743847868</v>
      </c>
      <c r="AJ48" s="26">
        <f t="shared" si="107"/>
        <v>2.6832551544600562</v>
      </c>
      <c r="AK48" s="26">
        <f t="shared" si="108"/>
        <v>2.2234850357287002</v>
      </c>
      <c r="AL48" s="26"/>
      <c r="AM48" s="26">
        <f t="shared" si="131"/>
        <v>3.39244220334038</v>
      </c>
      <c r="AN48" s="26">
        <f t="shared" si="109"/>
        <v>2.7144641401994924</v>
      </c>
      <c r="AO48" s="26">
        <f t="shared" si="110"/>
        <v>4.4686046244627811</v>
      </c>
      <c r="AP48" s="26">
        <f t="shared" si="111"/>
        <v>10.575510968002654</v>
      </c>
      <c r="AQ48" s="26"/>
      <c r="AR48" s="26">
        <f t="shared" si="132"/>
        <v>3.5244910420475044</v>
      </c>
      <c r="AS48" s="26">
        <f t="shared" si="112"/>
        <v>2.1226451827610138</v>
      </c>
      <c r="AT48" s="26">
        <f t="shared" si="113"/>
        <v>7.1518597789228373</v>
      </c>
      <c r="AU48" s="26">
        <f t="shared" si="114"/>
        <v>12.798996003731354</v>
      </c>
    </row>
    <row r="49" spans="1:47" x14ac:dyDescent="0.3">
      <c r="A49" t="str">
        <f>$A$13</f>
        <v>Caring, leisure and other service occupations</v>
      </c>
      <c r="B49" s="26">
        <f t="shared" si="115"/>
        <v>-1.4211241902907261</v>
      </c>
      <c r="C49" s="26">
        <f t="shared" si="116"/>
        <v>8.6643665124848042</v>
      </c>
      <c r="D49" s="26">
        <f t="shared" si="117"/>
        <v>11.390693514847555</v>
      </c>
      <c r="E49" s="26">
        <f t="shared" si="118"/>
        <v>18.633935837041633</v>
      </c>
      <c r="F49" s="26"/>
      <c r="G49" s="26">
        <f t="shared" si="119"/>
        <v>31.701705075768743</v>
      </c>
      <c r="H49" s="26">
        <f t="shared" si="120"/>
        <v>13.239989323475982</v>
      </c>
      <c r="I49" s="26">
        <f t="shared" si="121"/>
        <v>9.0480355001852217</v>
      </c>
      <c r="J49" s="26">
        <f t="shared" si="122"/>
        <v>53.98972989942996</v>
      </c>
      <c r="K49" s="26"/>
      <c r="L49" s="26">
        <f t="shared" si="123"/>
        <v>30.280580885478017</v>
      </c>
      <c r="M49" s="26">
        <f t="shared" si="124"/>
        <v>21.904355835960786</v>
      </c>
      <c r="N49" s="26">
        <f t="shared" si="125"/>
        <v>20.438729015032777</v>
      </c>
      <c r="O49" s="26">
        <f t="shared" si="126"/>
        <v>72.623665736471594</v>
      </c>
      <c r="Q49" t="str">
        <f>$A$13</f>
        <v>Caring, leisure and other service occupations</v>
      </c>
      <c r="R49" s="26">
        <f t="shared" si="127"/>
        <v>-1.2071845917455235</v>
      </c>
      <c r="S49" s="26">
        <f t="shared" si="97"/>
        <v>1.0934762625871812</v>
      </c>
      <c r="T49" s="26">
        <f t="shared" si="98"/>
        <v>-0.46393942233031993</v>
      </c>
      <c r="U49" s="26">
        <f t="shared" si="99"/>
        <v>-0.57764775148866221</v>
      </c>
      <c r="V49" s="26"/>
      <c r="W49" s="26">
        <f t="shared" si="128"/>
        <v>11.49639822008556</v>
      </c>
      <c r="X49" s="26">
        <f t="shared" si="100"/>
        <v>4.0200969657989418</v>
      </c>
      <c r="Y49" s="26">
        <f t="shared" si="101"/>
        <v>2.0336482916797003</v>
      </c>
      <c r="Z49" s="26">
        <f t="shared" si="102"/>
        <v>17.550143477564198</v>
      </c>
      <c r="AA49" s="26"/>
      <c r="AB49" s="26">
        <f t="shared" si="129"/>
        <v>10.289213628340036</v>
      </c>
      <c r="AC49" s="26">
        <f t="shared" si="103"/>
        <v>5.113573228386123</v>
      </c>
      <c r="AD49" s="26">
        <f t="shared" si="104"/>
        <v>1.5697088693493804</v>
      </c>
      <c r="AE49" s="26">
        <f t="shared" si="105"/>
        <v>16.972495726075536</v>
      </c>
      <c r="AG49" t="str">
        <f>$A$13</f>
        <v>Caring, leisure and other service occupations</v>
      </c>
      <c r="AH49" s="26">
        <f t="shared" si="130"/>
        <v>-0.21393959854520972</v>
      </c>
      <c r="AI49" s="26">
        <f t="shared" si="106"/>
        <v>7.5708902498976158</v>
      </c>
      <c r="AJ49" s="26">
        <f t="shared" si="107"/>
        <v>11.854632937177875</v>
      </c>
      <c r="AK49" s="26">
        <f t="shared" si="108"/>
        <v>19.211583588530289</v>
      </c>
      <c r="AL49" s="26"/>
      <c r="AM49" s="26">
        <f t="shared" si="131"/>
        <v>20.205306855683219</v>
      </c>
      <c r="AN49" s="26">
        <f t="shared" si="109"/>
        <v>9.2198923576770966</v>
      </c>
      <c r="AO49" s="26">
        <f t="shared" si="110"/>
        <v>7.0143872085055392</v>
      </c>
      <c r="AP49" s="26">
        <f t="shared" si="111"/>
        <v>36.43958642186584</v>
      </c>
      <c r="AQ49" s="26"/>
      <c r="AR49" s="26">
        <f t="shared" si="132"/>
        <v>19.991367257138009</v>
      </c>
      <c r="AS49" s="26">
        <f t="shared" si="112"/>
        <v>16.790782607574712</v>
      </c>
      <c r="AT49" s="26">
        <f t="shared" si="113"/>
        <v>18.869020145683415</v>
      </c>
      <c r="AU49" s="26">
        <f t="shared" si="114"/>
        <v>55.651170010396129</v>
      </c>
    </row>
    <row r="50" spans="1:47" x14ac:dyDescent="0.3">
      <c r="A50" t="str">
        <f>$A$14</f>
        <v>Sales and customer service occupations</v>
      </c>
      <c r="B50" s="26">
        <f t="shared" si="115"/>
        <v>-8.4118345784617219</v>
      </c>
      <c r="C50" s="26">
        <f t="shared" si="116"/>
        <v>-6.3847540207145244</v>
      </c>
      <c r="D50" s="26">
        <f t="shared" si="117"/>
        <v>-7.0370915271593493</v>
      </c>
      <c r="E50" s="26">
        <f t="shared" si="118"/>
        <v>-21.833680126335565</v>
      </c>
      <c r="F50" s="26"/>
      <c r="G50" s="26">
        <f t="shared" si="119"/>
        <v>0.96198536911481369</v>
      </c>
      <c r="H50" s="26">
        <f t="shared" si="120"/>
        <v>1.9843105345663332</v>
      </c>
      <c r="I50" s="26">
        <f t="shared" si="121"/>
        <v>-1.6898056562565102</v>
      </c>
      <c r="J50" s="26">
        <f t="shared" si="122"/>
        <v>1.2564902474246367</v>
      </c>
      <c r="K50" s="26"/>
      <c r="L50" s="26">
        <f t="shared" si="123"/>
        <v>-7.4498492093469082</v>
      </c>
      <c r="M50" s="26">
        <f t="shared" si="124"/>
        <v>-4.4004434861481911</v>
      </c>
      <c r="N50" s="26">
        <f t="shared" si="125"/>
        <v>-8.7268971834158595</v>
      </c>
      <c r="O50" s="26">
        <f t="shared" si="126"/>
        <v>-20.577189878910929</v>
      </c>
      <c r="Q50" t="str">
        <f>$A$14</f>
        <v>Sales and customer service occupations</v>
      </c>
      <c r="R50" s="26">
        <f t="shared" si="127"/>
        <v>-4.5587550260961009</v>
      </c>
      <c r="S50" s="26">
        <f t="shared" si="97"/>
        <v>2.068319104533991</v>
      </c>
      <c r="T50" s="26">
        <f t="shared" si="98"/>
        <v>-3.8879013492779002</v>
      </c>
      <c r="U50" s="26">
        <f t="shared" si="99"/>
        <v>-6.3783372708400208</v>
      </c>
      <c r="V50" s="26"/>
      <c r="W50" s="26">
        <f t="shared" si="128"/>
        <v>3.7791976804635539</v>
      </c>
      <c r="X50" s="26">
        <f t="shared" si="100"/>
        <v>2.4828078362314514</v>
      </c>
      <c r="Y50" s="26">
        <f t="shared" si="101"/>
        <v>-0.69762258364642182</v>
      </c>
      <c r="Z50" s="26">
        <f t="shared" si="102"/>
        <v>5.5643829330485914</v>
      </c>
      <c r="AA50" s="26"/>
      <c r="AB50" s="26">
        <f t="shared" si="129"/>
        <v>-0.77955734563254708</v>
      </c>
      <c r="AC50" s="26">
        <f t="shared" si="103"/>
        <v>4.5511269407654424</v>
      </c>
      <c r="AD50" s="26">
        <f t="shared" si="104"/>
        <v>-4.585523932924322</v>
      </c>
      <c r="AE50" s="26">
        <f t="shared" si="105"/>
        <v>-0.81395433779142934</v>
      </c>
      <c r="AG50" t="str">
        <f>$A$14</f>
        <v>Sales and customer service occupations</v>
      </c>
      <c r="AH50" s="26">
        <f t="shared" si="130"/>
        <v>-3.8530795523656423</v>
      </c>
      <c r="AI50" s="26">
        <f t="shared" si="106"/>
        <v>-8.4530731252486504</v>
      </c>
      <c r="AJ50" s="26">
        <f t="shared" si="107"/>
        <v>-3.1491901778814535</v>
      </c>
      <c r="AK50" s="26">
        <f t="shared" si="108"/>
        <v>-15.455342855495758</v>
      </c>
      <c r="AL50" s="26"/>
      <c r="AM50" s="26">
        <f t="shared" si="131"/>
        <v>-2.817212311348726</v>
      </c>
      <c r="AN50" s="26">
        <f t="shared" si="109"/>
        <v>-0.49849730166518214</v>
      </c>
      <c r="AO50" s="26">
        <f t="shared" si="110"/>
        <v>-0.99218307261007954</v>
      </c>
      <c r="AP50" s="26">
        <f t="shared" si="111"/>
        <v>-4.3078926856239832</v>
      </c>
      <c r="AQ50" s="26"/>
      <c r="AR50" s="26">
        <f t="shared" si="132"/>
        <v>-6.6702918637143682</v>
      </c>
      <c r="AS50" s="26">
        <f t="shared" si="112"/>
        <v>-8.9515704269138325</v>
      </c>
      <c r="AT50" s="26">
        <f t="shared" si="113"/>
        <v>-4.141373250491533</v>
      </c>
      <c r="AU50" s="26">
        <f t="shared" si="114"/>
        <v>-19.763235541119741</v>
      </c>
    </row>
    <row r="51" spans="1:47" x14ac:dyDescent="0.3">
      <c r="A51" t="str">
        <f>$A$15</f>
        <v>Process, plant and machine operatives</v>
      </c>
      <c r="B51" s="26">
        <f t="shared" si="115"/>
        <v>-21.839518133889968</v>
      </c>
      <c r="C51" s="26">
        <f t="shared" si="116"/>
        <v>3.7872644087459548</v>
      </c>
      <c r="D51" s="26">
        <f t="shared" si="117"/>
        <v>8.8903364941907697</v>
      </c>
      <c r="E51" s="26">
        <f t="shared" si="118"/>
        <v>-9.1619172309532644</v>
      </c>
      <c r="F51" s="26"/>
      <c r="G51" s="26">
        <f t="shared" si="119"/>
        <v>10.581482869404184</v>
      </c>
      <c r="H51" s="26">
        <f t="shared" si="120"/>
        <v>9.9353171459347074</v>
      </c>
      <c r="I51" s="26">
        <f t="shared" si="121"/>
        <v>12.513612700573155</v>
      </c>
      <c r="J51" s="26">
        <f t="shared" si="122"/>
        <v>33.030412715912064</v>
      </c>
      <c r="K51" s="26"/>
      <c r="L51" s="26">
        <f t="shared" si="123"/>
        <v>-11.258035264485784</v>
      </c>
      <c r="M51" s="26">
        <f t="shared" si="124"/>
        <v>13.722581554680662</v>
      </c>
      <c r="N51" s="26">
        <f t="shared" si="125"/>
        <v>21.403949194763925</v>
      </c>
      <c r="O51" s="26">
        <f t="shared" si="126"/>
        <v>23.8684954849588</v>
      </c>
      <c r="Q51" t="str">
        <f>$A$15</f>
        <v>Process, plant and machine operatives</v>
      </c>
      <c r="R51" s="26">
        <f t="shared" si="127"/>
        <v>-19.623488963109182</v>
      </c>
      <c r="S51" s="26">
        <f t="shared" si="97"/>
        <v>4.9986989818868182</v>
      </c>
      <c r="T51" s="26">
        <f t="shared" si="98"/>
        <v>7.2800087031103971</v>
      </c>
      <c r="U51" s="26">
        <f t="shared" si="99"/>
        <v>-7.3447812781119808</v>
      </c>
      <c r="V51" s="26"/>
      <c r="W51" s="26">
        <f t="shared" si="128"/>
        <v>8.2417300255672359</v>
      </c>
      <c r="X51" s="26">
        <f t="shared" si="100"/>
        <v>4.388397275873853</v>
      </c>
      <c r="Y51" s="26">
        <f t="shared" si="101"/>
        <v>10.220465707444056</v>
      </c>
      <c r="Z51" s="26">
        <f t="shared" si="102"/>
        <v>22.850593008885141</v>
      </c>
      <c r="AA51" s="26"/>
      <c r="AB51" s="26">
        <f t="shared" si="129"/>
        <v>-11.381758937541946</v>
      </c>
      <c r="AC51" s="26">
        <f t="shared" si="103"/>
        <v>9.3870962577606711</v>
      </c>
      <c r="AD51" s="26">
        <f t="shared" si="104"/>
        <v>17.500474410554453</v>
      </c>
      <c r="AE51" s="26">
        <f t="shared" si="105"/>
        <v>15.505811730773161</v>
      </c>
      <c r="AG51" t="str">
        <f>$A$15</f>
        <v>Process, plant and machine operatives</v>
      </c>
      <c r="AH51" s="26">
        <f t="shared" si="130"/>
        <v>-2.2160291707807129</v>
      </c>
      <c r="AI51" s="26">
        <f t="shared" si="106"/>
        <v>-1.2114345731409486</v>
      </c>
      <c r="AJ51" s="26">
        <f t="shared" si="107"/>
        <v>1.6103277910804374</v>
      </c>
      <c r="AK51" s="26">
        <f t="shared" si="108"/>
        <v>-1.8171359528412232</v>
      </c>
      <c r="AL51" s="26"/>
      <c r="AM51" s="26">
        <f t="shared" si="131"/>
        <v>2.3397528438369317</v>
      </c>
      <c r="AN51" s="26">
        <f t="shared" si="109"/>
        <v>5.5469198700608944</v>
      </c>
      <c r="AO51" s="26">
        <f t="shared" si="110"/>
        <v>2.2931469931289046</v>
      </c>
      <c r="AP51" s="26">
        <f t="shared" si="111"/>
        <v>10.179819707026727</v>
      </c>
      <c r="AQ51" s="26"/>
      <c r="AR51" s="26">
        <f t="shared" si="132"/>
        <v>0.12372367305621879</v>
      </c>
      <c r="AS51" s="26">
        <f t="shared" si="112"/>
        <v>4.3354852969199458</v>
      </c>
      <c r="AT51" s="26">
        <f t="shared" si="113"/>
        <v>3.903474784209342</v>
      </c>
      <c r="AU51" s="26">
        <f t="shared" si="114"/>
        <v>8.3626837541855039</v>
      </c>
    </row>
    <row r="52" spans="1:47" x14ac:dyDescent="0.3">
      <c r="A52" t="str">
        <f>$A$16</f>
        <v>Elementary occupations</v>
      </c>
      <c r="B52" s="26">
        <f t="shared" si="115"/>
        <v>-24.737345261112665</v>
      </c>
      <c r="C52" s="26">
        <f t="shared" si="116"/>
        <v>-5.357512807839953</v>
      </c>
      <c r="D52" s="26">
        <f t="shared" si="117"/>
        <v>-3.1104019270264622</v>
      </c>
      <c r="E52" s="26">
        <f t="shared" si="118"/>
        <v>-33.20525999597902</v>
      </c>
      <c r="F52" s="26"/>
      <c r="G52" s="26">
        <f t="shared" si="119"/>
        <v>-2.7520330687943897</v>
      </c>
      <c r="H52" s="26">
        <f t="shared" si="120"/>
        <v>-16.400373534078682</v>
      </c>
      <c r="I52" s="26">
        <f t="shared" si="121"/>
        <v>7.3343524927151513</v>
      </c>
      <c r="J52" s="26">
        <f t="shared" si="122"/>
        <v>-11.818054110157902</v>
      </c>
      <c r="K52" s="26"/>
      <c r="L52" s="26">
        <f t="shared" si="123"/>
        <v>-27.489378329907055</v>
      </c>
      <c r="M52" s="26">
        <f t="shared" si="124"/>
        <v>-21.757886341918635</v>
      </c>
      <c r="N52" s="26">
        <f t="shared" si="125"/>
        <v>4.2239505656886891</v>
      </c>
      <c r="O52" s="26">
        <f t="shared" si="126"/>
        <v>-45.023314106136922</v>
      </c>
      <c r="Q52" t="str">
        <f>$A$16</f>
        <v>Elementary occupations</v>
      </c>
      <c r="R52" s="26">
        <f t="shared" si="127"/>
        <v>-20.196200868444578</v>
      </c>
      <c r="S52" s="26">
        <f t="shared" si="97"/>
        <v>0.67715401657859786</v>
      </c>
      <c r="T52" s="26">
        <f t="shared" si="98"/>
        <v>-1.0817356253829136</v>
      </c>
      <c r="U52" s="26">
        <f t="shared" si="99"/>
        <v>-20.600782477248913</v>
      </c>
      <c r="V52" s="26"/>
      <c r="W52" s="26">
        <f t="shared" si="128"/>
        <v>-6.6066706263751911</v>
      </c>
      <c r="X52" s="26">
        <f t="shared" si="100"/>
        <v>-0.47535704323850325</v>
      </c>
      <c r="Y52" s="26">
        <f t="shared" si="101"/>
        <v>7.0766762638333329</v>
      </c>
      <c r="Z52" s="26">
        <f t="shared" si="102"/>
        <v>-5.3514057803454307E-3</v>
      </c>
      <c r="AA52" s="26"/>
      <c r="AB52" s="26">
        <f t="shared" si="129"/>
        <v>-26.802871494819769</v>
      </c>
      <c r="AC52" s="26">
        <f t="shared" si="103"/>
        <v>0.20179697334009461</v>
      </c>
      <c r="AD52" s="26">
        <f t="shared" si="104"/>
        <v>5.9949406384504194</v>
      </c>
      <c r="AE52" s="26">
        <f t="shared" si="105"/>
        <v>-20.606133883029258</v>
      </c>
      <c r="AG52" t="str">
        <f>$A$16</f>
        <v>Elementary occupations</v>
      </c>
      <c r="AH52" s="26">
        <f t="shared" si="130"/>
        <v>-4.5411443926683148</v>
      </c>
      <c r="AI52" s="26">
        <f t="shared" si="106"/>
        <v>-6.0346668244183661</v>
      </c>
      <c r="AJ52" s="26">
        <f t="shared" si="107"/>
        <v>-2.0286663016435487</v>
      </c>
      <c r="AK52" s="26">
        <f t="shared" si="108"/>
        <v>-12.604477518730278</v>
      </c>
      <c r="AL52" s="26"/>
      <c r="AM52" s="26">
        <f t="shared" si="131"/>
        <v>3.8546375575809435</v>
      </c>
      <c r="AN52" s="26">
        <f t="shared" si="109"/>
        <v>-15.925016490840292</v>
      </c>
      <c r="AO52" s="26">
        <f t="shared" si="110"/>
        <v>0.25767622888183261</v>
      </c>
      <c r="AP52" s="26">
        <f t="shared" si="111"/>
        <v>-11.8127027043775</v>
      </c>
      <c r="AQ52" s="26"/>
      <c r="AR52" s="26">
        <f t="shared" si="132"/>
        <v>-0.68650683508737131</v>
      </c>
      <c r="AS52" s="26">
        <f t="shared" si="112"/>
        <v>-21.959683315258658</v>
      </c>
      <c r="AT52" s="26">
        <f t="shared" si="113"/>
        <v>-1.770990072761716</v>
      </c>
      <c r="AU52" s="26">
        <f t="shared" si="114"/>
        <v>-24.417180223107778</v>
      </c>
    </row>
    <row r="53" spans="1:47" x14ac:dyDescent="0.3"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</row>
    <row r="54" spans="1:47" x14ac:dyDescent="0.3">
      <c r="A54" s="23" t="str">
        <f>$A$18</f>
        <v>All occupations</v>
      </c>
      <c r="B54" s="28">
        <f t="shared" si="115"/>
        <v>47.064000004790614</v>
      </c>
      <c r="C54" s="28">
        <f t="shared" si="116"/>
        <v>71.177999990747367</v>
      </c>
      <c r="D54" s="28">
        <f t="shared" si="117"/>
        <v>0.17100000334897913</v>
      </c>
      <c r="E54" s="28">
        <f t="shared" si="118"/>
        <v>118.41299999888724</v>
      </c>
      <c r="F54" s="28"/>
      <c r="G54" s="28">
        <f t="shared" si="119"/>
        <v>159.31699999925286</v>
      </c>
      <c r="H54" s="28">
        <f t="shared" si="120"/>
        <v>53.283000000959419</v>
      </c>
      <c r="I54" s="28">
        <f t="shared" si="121"/>
        <v>57.490999999288817</v>
      </c>
      <c r="J54" s="28">
        <f t="shared" si="122"/>
        <v>270.09099999950104</v>
      </c>
      <c r="K54" s="28"/>
      <c r="L54" s="28">
        <f t="shared" si="123"/>
        <v>206.38100000404347</v>
      </c>
      <c r="M54" s="28">
        <f t="shared" si="124"/>
        <v>124.46099999170679</v>
      </c>
      <c r="N54" s="28">
        <f t="shared" si="125"/>
        <v>57.662000002637797</v>
      </c>
      <c r="O54" s="28">
        <f t="shared" si="126"/>
        <v>388.50399999838828</v>
      </c>
      <c r="Q54" s="23" t="str">
        <f>$A$18</f>
        <v>All occupations</v>
      </c>
      <c r="R54" s="28">
        <f t="shared" ref="R54" si="133">W18-R18</f>
        <v>-7.695000000785285</v>
      </c>
      <c r="S54" s="28">
        <f t="shared" ref="S54" si="134">X18-S18</f>
        <v>36.622000000212552</v>
      </c>
      <c r="T54" s="28">
        <f t="shared" ref="T54" si="135">Y18-T18</f>
        <v>-22.728999999802852</v>
      </c>
      <c r="U54" s="28">
        <f t="shared" ref="U54" si="136">Z18-U18</f>
        <v>6.1979999996242441</v>
      </c>
      <c r="V54" s="28"/>
      <c r="W54" s="28">
        <f t="shared" ref="W54" si="137">AB18-W18</f>
        <v>65.154999999587062</v>
      </c>
      <c r="X54" s="28">
        <f t="shared" ref="X54" si="138">AC18-X18</f>
        <v>29.90599999953713</v>
      </c>
      <c r="Y54" s="28">
        <f t="shared" ref="Y54" si="139">AD18-Y18</f>
        <v>38.706000000059191</v>
      </c>
      <c r="Z54" s="28">
        <f t="shared" ref="Z54" si="140">AE18-Z18</f>
        <v>133.76699999918355</v>
      </c>
      <c r="AA54" s="28"/>
      <c r="AB54" s="28">
        <f t="shared" ref="AB54" si="141">AB18-R18</f>
        <v>57.459999998801777</v>
      </c>
      <c r="AC54" s="28">
        <f t="shared" ref="AC54" si="142">AC18-S18</f>
        <v>66.527999999749682</v>
      </c>
      <c r="AD54" s="28">
        <f t="shared" ref="AD54" si="143">AD18-T18</f>
        <v>15.977000000256339</v>
      </c>
      <c r="AE54" s="28">
        <f t="shared" ref="AE54" si="144">AE18-U18</f>
        <v>139.9649999988078</v>
      </c>
      <c r="AG54" s="23" t="str">
        <f>$A$18</f>
        <v>All occupations</v>
      </c>
      <c r="AH54" s="28">
        <f t="shared" ref="AH54" si="145">AM18-AH18</f>
        <v>54.759000005576127</v>
      </c>
      <c r="AI54" s="28">
        <f t="shared" ref="AI54" si="146">AN18-AI18</f>
        <v>34.555999990534701</v>
      </c>
      <c r="AJ54" s="28">
        <f t="shared" ref="AJ54" si="147">AO18-AJ18</f>
        <v>22.900000003151831</v>
      </c>
      <c r="AK54" s="28">
        <f t="shared" ref="AK54" si="148">AP18-AK18</f>
        <v>112.21499999926277</v>
      </c>
      <c r="AL54" s="28"/>
      <c r="AM54" s="28">
        <f t="shared" ref="AM54" si="149">AR18-AM18</f>
        <v>94.161999999665341</v>
      </c>
      <c r="AN54" s="28">
        <f t="shared" ref="AN54" si="150">AS18-AN18</f>
        <v>23.377000001422175</v>
      </c>
      <c r="AO54" s="28">
        <f t="shared" ref="AO54" si="151">AT18-AO18</f>
        <v>18.784999999229541</v>
      </c>
      <c r="AP54" s="28">
        <f t="shared" ref="AP54" si="152">AU18-AP18</f>
        <v>136.32400000031703</v>
      </c>
      <c r="AQ54" s="28"/>
      <c r="AR54" s="28">
        <f t="shared" ref="AR54" si="153">AR18-AH18</f>
        <v>148.92100000524147</v>
      </c>
      <c r="AS54" s="28">
        <f t="shared" ref="AS54" si="154">AS18-AI18</f>
        <v>57.932999991956876</v>
      </c>
      <c r="AT54" s="28">
        <f t="shared" ref="AT54" si="155">AT18-AJ18</f>
        <v>41.685000002381372</v>
      </c>
      <c r="AU54" s="28">
        <f t="shared" ref="AU54" si="156">AU18-AK18</f>
        <v>248.5389999995798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6" orientation="portrait" r:id="rId1"/>
  <headerFooter alignWithMargins="0"/>
  <colBreaks count="2" manualBreakCount="2">
    <brk id="15" max="1048575" man="1"/>
    <brk id="31" max="1048575" man="1"/>
  </col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6"/>
  <dimension ref="A1:P163"/>
  <sheetViews>
    <sheetView zoomScale="75" zoomScaleNormal="75" workbookViewId="0"/>
  </sheetViews>
  <sheetFormatPr defaultColWidth="9.15234375" defaultRowHeight="12.45" x14ac:dyDescent="0.3"/>
  <cols>
    <col min="1" max="1" width="11" style="156" bestFit="1" customWidth="1"/>
    <col min="2" max="9" width="9.15234375" style="156"/>
    <col min="10" max="10" width="17.53515625" style="156" customWidth="1"/>
    <col min="11" max="11" width="8.23046875" style="156" customWidth="1"/>
    <col min="12" max="12" width="52.69140625" style="90" customWidth="1"/>
    <col min="13" max="13" width="12.4609375" style="90" customWidth="1"/>
    <col min="14" max="14" width="10.15234375" style="90" customWidth="1"/>
    <col min="15" max="16384" width="9.15234375" style="90"/>
  </cols>
  <sheetData>
    <row r="1" spans="1:14" ht="15.45" x14ac:dyDescent="0.4">
      <c r="A1" s="155" t="str">
        <f>CONCATENATE("Occupation Figure 1  Growth in Employment by Occupation (SOC 2020), ",M6," and ",N6,", ",Info!B5)</f>
        <v>Occupation Figure 1  Growth in Employment by Occupation (SOC 2020), 2015-2020 and 2020-2035, East</v>
      </c>
    </row>
    <row r="2" spans="1:14" x14ac:dyDescent="0.3">
      <c r="A2" s="181" t="s">
        <v>540</v>
      </c>
    </row>
    <row r="3" spans="1:14" x14ac:dyDescent="0.3">
      <c r="L3" s="157" t="s">
        <v>439</v>
      </c>
    </row>
    <row r="5" spans="1:14" ht="12.9" x14ac:dyDescent="0.35">
      <c r="L5" s="121" t="s">
        <v>422</v>
      </c>
    </row>
    <row r="6" spans="1:14" x14ac:dyDescent="0.3">
      <c r="M6" s="177" t="str">
        <f>'Occ T2'!H151</f>
        <v>2015-2020</v>
      </c>
      <c r="N6" s="177" t="str">
        <f>'Occ T2'!I151</f>
        <v>2020-2035</v>
      </c>
    </row>
    <row r="7" spans="1:14" x14ac:dyDescent="0.3">
      <c r="L7" s="113" t="str">
        <f>'Occ T3'!A51</f>
        <v>All occupations</v>
      </c>
      <c r="M7" s="90">
        <f>'Occ T2'!H180</f>
        <v>0.76326935937192086</v>
      </c>
      <c r="N7" s="90">
        <f>'Occ T2'!I180</f>
        <v>0.54590226783473028</v>
      </c>
    </row>
    <row r="8" spans="1:14" x14ac:dyDescent="0.3">
      <c r="L8" s="113"/>
    </row>
    <row r="9" spans="1:14" x14ac:dyDescent="0.3">
      <c r="L9" s="90" t="str">
        <f>'Occ T3'!A49</f>
        <v>92 Elementary administration and service occupations</v>
      </c>
      <c r="M9" s="90">
        <f>'Occ T2'!H178</f>
        <v>-1.3887345692330855</v>
      </c>
      <c r="N9" s="90">
        <f>'Occ T2'!I178</f>
        <v>-0.13158618460941129</v>
      </c>
    </row>
    <row r="10" spans="1:14" x14ac:dyDescent="0.3">
      <c r="L10" s="90" t="str">
        <f>'Occ T3'!A48</f>
        <v>91 Elementary trades and related occupations</v>
      </c>
      <c r="M10" s="90">
        <f>'Occ T2'!H177</f>
        <v>-4.3364738225939892</v>
      </c>
      <c r="N10" s="90">
        <f>'Occ T2'!I177</f>
        <v>-0.93811338318854354</v>
      </c>
    </row>
    <row r="11" spans="1:14" x14ac:dyDescent="0.3">
      <c r="L11" s="113" t="str">
        <f>"["&amp;'Occ T3'!A47&amp;"]"</f>
        <v>[Elementary occupations]</v>
      </c>
      <c r="M11" s="90">
        <f>'Occ T1'!H88</f>
        <v>-1.787946593133205</v>
      </c>
      <c r="N11" s="90">
        <f>'Occ T1'!I88</f>
        <v>-0.2275750326569681</v>
      </c>
    </row>
    <row r="12" spans="1:14" x14ac:dyDescent="0.3">
      <c r="L12" s="113"/>
    </row>
    <row r="13" spans="1:14" x14ac:dyDescent="0.3">
      <c r="L13" s="90" t="str">
        <f>'Occ T3'!A45</f>
        <v>82 Transport and mobile machine drivers and operatives</v>
      </c>
      <c r="M13" s="90">
        <f>'Occ T2'!H176</f>
        <v>0.36976390783216573</v>
      </c>
      <c r="N13" s="90">
        <f>'Occ T2'!I176</f>
        <v>0.92453395931741955</v>
      </c>
    </row>
    <row r="14" spans="1:14" x14ac:dyDescent="0.3">
      <c r="L14" s="90" t="str">
        <f>'Occ T3'!A44</f>
        <v>81 Process, plant and machine operatives</v>
      </c>
      <c r="M14" s="90">
        <f>'Occ T2'!H175</f>
        <v>-3.0966642453412629</v>
      </c>
      <c r="N14" s="90">
        <f>'Occ T2'!I175</f>
        <v>1.4493105254052674</v>
      </c>
    </row>
    <row r="15" spans="1:14" x14ac:dyDescent="0.3">
      <c r="L15" s="113" t="str">
        <f>"["&amp;'Occ T3'!A43&amp;"]"</f>
        <v>[Process, plant and machine operatives]</v>
      </c>
      <c r="M15" s="90">
        <f>'Occ T1'!H87</f>
        <v>-0.97947940465830108</v>
      </c>
      <c r="N15" s="90">
        <f>'Occ T1'!I87</f>
        <v>1.1202101713344126</v>
      </c>
    </row>
    <row r="16" spans="1:14" x14ac:dyDescent="0.3">
      <c r="L16" s="113"/>
    </row>
    <row r="17" spans="12:14" x14ac:dyDescent="0.3">
      <c r="L17" s="90" t="str">
        <f>'Occ T3'!A41</f>
        <v>72 Customer service occupations</v>
      </c>
      <c r="M17" s="90">
        <f>'Occ T2'!H174</f>
        <v>2.0844775489070599</v>
      </c>
      <c r="N17" s="90">
        <f>'Occ T2'!I174</f>
        <v>2.6340133659368936</v>
      </c>
    </row>
    <row r="18" spans="12:14" x14ac:dyDescent="0.3">
      <c r="L18" s="90" t="str">
        <f>'Occ T3'!A40</f>
        <v>71 Sales occupations</v>
      </c>
      <c r="M18" s="90">
        <f>'Occ T2'!H173</f>
        <v>-2.5393378273740552</v>
      </c>
      <c r="N18" s="90">
        <f>'Occ T2'!I173</f>
        <v>-0.81633506146870927</v>
      </c>
    </row>
    <row r="19" spans="12:14" x14ac:dyDescent="0.3">
      <c r="L19" s="113" t="str">
        <f>"["&amp;'Occ T3'!A39&amp;"]"</f>
        <v>[Sales and customer service occupations]</v>
      </c>
      <c r="M19" s="90">
        <f>'Occ T1'!H86</f>
        <v>-1.6957742132599263</v>
      </c>
      <c r="N19" s="90">
        <f>'Occ T1'!I86</f>
        <v>3.4170420478374375E-2</v>
      </c>
    </row>
    <row r="20" spans="12:14" x14ac:dyDescent="0.3">
      <c r="L20" s="113"/>
    </row>
    <row r="21" spans="12:14" x14ac:dyDescent="0.3">
      <c r="L21" s="106" t="str">
        <f>'Occ T3'!A37</f>
        <v>63 Community and civil enforcement occupations</v>
      </c>
      <c r="M21" s="90">
        <f>'Occ T2'!H172</f>
        <v>1.6805595056316625</v>
      </c>
      <c r="N21" s="90">
        <f>'Occ T2'!I172</f>
        <v>-0.83734275386647683</v>
      </c>
    </row>
    <row r="22" spans="12:14" x14ac:dyDescent="0.3">
      <c r="L22" s="90" t="str">
        <f>'Occ T3'!A36</f>
        <v>62 Leisure, travel and related personal service occupations</v>
      </c>
      <c r="M22" s="90">
        <f>'Occ T2'!H171</f>
        <v>1.9471462043492149</v>
      </c>
      <c r="N22" s="90">
        <f>'Occ T2'!I171</f>
        <v>0.30771623498284661</v>
      </c>
    </row>
    <row r="23" spans="12:14" x14ac:dyDescent="0.3">
      <c r="L23" s="90" t="str">
        <f>'Occ T3'!A35</f>
        <v>61 Caring personal service occupations</v>
      </c>
      <c r="M23" s="90">
        <f>'Occ T2'!H170</f>
        <v>1.080611621310168</v>
      </c>
      <c r="N23" s="90">
        <f>'Occ T2'!I170</f>
        <v>1.3782722431169292</v>
      </c>
    </row>
    <row r="24" spans="12:14" x14ac:dyDescent="0.3">
      <c r="L24" s="113" t="str">
        <f>"["&amp;'Occ T3'!A34&amp;"]"</f>
        <v>[Caring, leisure and other service occupations]</v>
      </c>
      <c r="M24" s="90">
        <f>'Occ T1'!H85</f>
        <v>1.292963045234119</v>
      </c>
      <c r="N24" s="90">
        <f>'Occ T1'!I85</f>
        <v>1.1110181574021327</v>
      </c>
    </row>
    <row r="25" spans="12:14" x14ac:dyDescent="0.3">
      <c r="L25" s="113"/>
    </row>
    <row r="26" spans="12:14" x14ac:dyDescent="0.3">
      <c r="L26" s="90" t="str">
        <f>'Occ T3'!A32</f>
        <v>54 Textiles, printing and other skilled trades</v>
      </c>
      <c r="M26" s="90">
        <f>'Occ T2'!H169</f>
        <v>-3.2432521074577836</v>
      </c>
      <c r="N26" s="90">
        <f>'Occ T2'!I169</f>
        <v>0.25415257248648793</v>
      </c>
    </row>
    <row r="27" spans="12:14" x14ac:dyDescent="0.3">
      <c r="L27" s="90" t="str">
        <f>'Occ T3'!A31</f>
        <v>53 Skilled construction and building trades</v>
      </c>
      <c r="M27" s="90">
        <f>'Occ T2'!H168</f>
        <v>-2.9967919961930378</v>
      </c>
      <c r="N27" s="90">
        <f>'Occ T2'!I168</f>
        <v>-0.16960802858529966</v>
      </c>
    </row>
    <row r="28" spans="12:14" x14ac:dyDescent="0.3">
      <c r="L28" s="90" t="str">
        <f>'Occ T3'!A30</f>
        <v>52 Skilled metal, electrical and electronic trades</v>
      </c>
      <c r="M28" s="90">
        <f>'Occ T2'!H167</f>
        <v>-3.1748157917366293</v>
      </c>
      <c r="N28" s="90">
        <f>'Occ T2'!I167</f>
        <v>-4.8812864721137217E-2</v>
      </c>
    </row>
    <row r="29" spans="12:14" x14ac:dyDescent="0.3">
      <c r="L29" s="90" t="str">
        <f>'Occ T3'!A29</f>
        <v>51 Skilled agricultural and related trades</v>
      </c>
      <c r="M29" s="90">
        <f>'Occ T2'!H166</f>
        <v>-6.6735748192099269</v>
      </c>
      <c r="N29" s="90">
        <f>'Occ T2'!I166</f>
        <v>1.4394918463066508</v>
      </c>
    </row>
    <row r="30" spans="12:14" x14ac:dyDescent="0.3">
      <c r="L30" s="113" t="str">
        <f>"["&amp;'Occ T3'!A28&amp;"]"</f>
        <v>[Skilled trades occupations]</v>
      </c>
      <c r="M30" s="90">
        <f>'Occ T1'!H84</f>
        <v>-3.5316230088898615</v>
      </c>
      <c r="N30" s="90">
        <f>'Occ T1'!I84</f>
        <v>0.15007890322629169</v>
      </c>
    </row>
    <row r="31" spans="12:14" x14ac:dyDescent="0.3">
      <c r="L31" s="113"/>
    </row>
    <row r="32" spans="12:14" x14ac:dyDescent="0.3">
      <c r="L32" s="90" t="str">
        <f>'Occ T3'!A26</f>
        <v>42 Secretarial and related occupations</v>
      </c>
      <c r="M32" s="90">
        <f>'Occ T2'!H165</f>
        <v>-1.8337079873401385</v>
      </c>
      <c r="N32" s="90">
        <f>'Occ T2'!I165</f>
        <v>-1.7758477550489871</v>
      </c>
    </row>
    <row r="33" spans="12:14" x14ac:dyDescent="0.3">
      <c r="L33" s="90" t="str">
        <f>'Occ T3'!A25</f>
        <v>41 Administrative occupations</v>
      </c>
      <c r="M33" s="90">
        <f>'Occ T2'!H164</f>
        <v>0.1647529298403283</v>
      </c>
      <c r="N33" s="90">
        <f>'Occ T2'!I164</f>
        <v>-0.92632400249459401</v>
      </c>
    </row>
    <row r="34" spans="12:14" x14ac:dyDescent="0.3">
      <c r="L34" s="113" t="str">
        <f>"["&amp;'Occ T3'!A24&amp;"]"</f>
        <v>[Administrative and secretarial occupations]</v>
      </c>
      <c r="M34" s="90">
        <f>'Occ T1'!H83</f>
        <v>-0.27230608260562228</v>
      </c>
      <c r="N34" s="90">
        <f>'Occ T1'!I83</f>
        <v>-1.0952074698839409</v>
      </c>
    </row>
    <row r="35" spans="12:14" x14ac:dyDescent="0.3">
      <c r="L35" s="113"/>
    </row>
    <row r="36" spans="12:14" x14ac:dyDescent="0.3">
      <c r="L36" s="90" t="str">
        <f>'Occ T3'!A22</f>
        <v>35 Business and public service associate professionals</v>
      </c>
      <c r="M36" s="90">
        <f>'Occ T2'!H163</f>
        <v>2.0095681633256923</v>
      </c>
      <c r="N36" s="90">
        <f>'Occ T2'!I163</f>
        <v>0.19440237999988064</v>
      </c>
    </row>
    <row r="37" spans="12:14" x14ac:dyDescent="0.3">
      <c r="L37" s="90" t="str">
        <f>'Occ T3'!A21</f>
        <v>34 Culture, media and sports occupations</v>
      </c>
      <c r="M37" s="90">
        <f>'Occ T2'!H162</f>
        <v>3.5136088124311238</v>
      </c>
      <c r="N37" s="90">
        <f>'Occ T2'!I162</f>
        <v>0.30999705484293649</v>
      </c>
    </row>
    <row r="38" spans="12:14" x14ac:dyDescent="0.3">
      <c r="L38" s="90" t="str">
        <f>'Occ T3'!A20</f>
        <v>33 Protective service occupations</v>
      </c>
      <c r="M38" s="90">
        <f>'Occ T2'!H161</f>
        <v>1.2014625222531494</v>
      </c>
      <c r="N38" s="90">
        <f>'Occ T2'!I161</f>
        <v>2.638287682793039</v>
      </c>
    </row>
    <row r="39" spans="12:14" x14ac:dyDescent="0.3">
      <c r="L39" s="90" t="str">
        <f>'Occ T3'!A19</f>
        <v>32 Health and social care associate professionals</v>
      </c>
      <c r="M39" s="90">
        <f>'Occ T2'!H160</f>
        <v>3.7068034208610712</v>
      </c>
      <c r="N39" s="90">
        <f>'Occ T2'!I160</f>
        <v>0.92842394661138972</v>
      </c>
    </row>
    <row r="40" spans="12:14" x14ac:dyDescent="0.3">
      <c r="L40" s="90" t="str">
        <f>'Occ T3'!A18</f>
        <v>31 Science, engineering and technology associate professionals</v>
      </c>
      <c r="M40" s="90">
        <f>'Occ T2'!H159</f>
        <v>5.1271833935540245</v>
      </c>
      <c r="N40" s="90">
        <f>'Occ T2'!I159</f>
        <v>-0.23224358115438992</v>
      </c>
    </row>
    <row r="41" spans="12:14" x14ac:dyDescent="0.3">
      <c r="L41" s="113" t="str">
        <f>"["&amp;'Occ T3'!A17&amp;"]"</f>
        <v>[Associate professional occupations]</v>
      </c>
      <c r="M41" s="90">
        <f>'Occ T1'!H82</f>
        <v>2.8611394165836579</v>
      </c>
      <c r="N41" s="90">
        <f>'Occ T1'!I82</f>
        <v>0.45774018284301388</v>
      </c>
    </row>
    <row r="42" spans="12:14" x14ac:dyDescent="0.3">
      <c r="L42" s="113"/>
    </row>
    <row r="43" spans="12:14" x14ac:dyDescent="0.3">
      <c r="L43" s="90" t="str">
        <f>'Occ T3'!A15</f>
        <v>24 Business, media and public service professionals</v>
      </c>
      <c r="M43" s="90">
        <f>'Occ T2'!H158</f>
        <v>4.8298739097845989</v>
      </c>
      <c r="N43" s="90">
        <f>'Occ T2'!I158</f>
        <v>1.7000215177650269</v>
      </c>
    </row>
    <row r="44" spans="12:14" x14ac:dyDescent="0.3">
      <c r="L44" s="90" t="str">
        <f>'Occ T3'!A14</f>
        <v>23 Teaching and other educational professionals</v>
      </c>
      <c r="M44" s="90">
        <f>'Occ T2'!H157</f>
        <v>3.2668508354085413</v>
      </c>
      <c r="N44" s="90">
        <f>'Occ T2'!I157</f>
        <v>0.78622586089196478</v>
      </c>
    </row>
    <row r="45" spans="12:14" x14ac:dyDescent="0.3">
      <c r="L45" s="90" t="str">
        <f>'Occ T3'!A13</f>
        <v>22 Health professionals</v>
      </c>
      <c r="M45" s="90">
        <f>'Occ T2'!H156</f>
        <v>3.3263002992039548</v>
      </c>
      <c r="N45" s="90">
        <f>'Occ T2'!I156</f>
        <v>1.3224450025044021</v>
      </c>
    </row>
    <row r="46" spans="12:14" x14ac:dyDescent="0.3">
      <c r="L46" s="90" t="str">
        <f>'Occ T3'!A12</f>
        <v>21 Science, research, engineering and technology professionals</v>
      </c>
      <c r="M46" s="90">
        <f>'Occ T2'!H155</f>
        <v>3.3008095717167008</v>
      </c>
      <c r="N46" s="90">
        <f>'Occ T2'!I155</f>
        <v>1.1173695766667269</v>
      </c>
    </row>
    <row r="47" spans="12:14" x14ac:dyDescent="0.3">
      <c r="L47" s="113" t="str">
        <f>"["&amp;'Occ T3'!A11&amp;"]"</f>
        <v>[Professional occupations]</v>
      </c>
      <c r="M47" s="90">
        <f>'Occ T1'!H81</f>
        <v>3.7506154076215381</v>
      </c>
      <c r="N47" s="90">
        <f>'Occ T1'!I81</f>
        <v>1.2669980623998933</v>
      </c>
    </row>
    <row r="49" spans="12:14" x14ac:dyDescent="0.3">
      <c r="L49" s="106" t="str">
        <f>'Occ T3'!A9</f>
        <v>12 Other managers and proprietors</v>
      </c>
      <c r="M49" s="90">
        <f>'Occ T2'!H154</f>
        <v>1.1897846321342831</v>
      </c>
      <c r="N49" s="90">
        <f>'Occ T2'!I154</f>
        <v>2.5262673128389146</v>
      </c>
    </row>
    <row r="50" spans="12:14" x14ac:dyDescent="0.3">
      <c r="L50" s="106" t="str">
        <f>'Occ T3'!A8</f>
        <v>11 Corporate managers and directors</v>
      </c>
      <c r="M50" s="90">
        <f>'Occ T2'!H153</f>
        <v>3.5794963005086888</v>
      </c>
      <c r="N50" s="90">
        <f>'Occ T2'!I153</f>
        <v>0.3041836297678735</v>
      </c>
    </row>
    <row r="51" spans="12:14" x14ac:dyDescent="0.3">
      <c r="L51" s="113" t="str">
        <f>"["&amp;'Occ T3'!A7&amp;"]"</f>
        <v>[Managers, directors and senior officials]</v>
      </c>
      <c r="M51" s="90">
        <f>'Occ T1'!H80</f>
        <v>2.833630031543577</v>
      </c>
      <c r="N51" s="90">
        <f>'Occ T1'!I80</f>
        <v>1.0387408147528587</v>
      </c>
    </row>
    <row r="80" spans="1:1" ht="15.45" x14ac:dyDescent="0.4">
      <c r="A80" s="155" t="str">
        <f>CONCATENATE("Occupation Figure 1.1  Change in Employment by Occupation (SOC 2020), ",M81," and ",N81,", ",Info!B5)</f>
        <v>Occupation Figure 1.1  Change in Employment by Occupation (SOC 2020), 2015-2020 and 2020-2035, East</v>
      </c>
    </row>
    <row r="81" spans="12:14" x14ac:dyDescent="0.3">
      <c r="M81" s="106" t="str">
        <f>'Occ F1'!M6</f>
        <v>2015-2020</v>
      </c>
      <c r="N81" s="106" t="str">
        <f>'Occ F1'!N6</f>
        <v>2020-2035</v>
      </c>
    </row>
    <row r="82" spans="12:14" x14ac:dyDescent="0.3">
      <c r="L82" s="10" t="str">
        <f>name!D4</f>
        <v>11 Corporate managers and directors</v>
      </c>
      <c r="M82" s="93">
        <f>'Occ T2'!D8-'Occ T2'!B8</f>
        <v>41.34851551639224</v>
      </c>
      <c r="N82" s="93">
        <f>'Occ T2'!F119</f>
        <v>11.952264123104271</v>
      </c>
    </row>
    <row r="83" spans="12:14" x14ac:dyDescent="0.3">
      <c r="L83" s="10" t="str">
        <f>name!D5</f>
        <v>12 Other managers and proprietors</v>
      </c>
      <c r="M83" s="93">
        <f>'Occ T2'!D9-'Occ T2'!B9</f>
        <v>6.2278765585959377</v>
      </c>
      <c r="N83" s="93">
        <f>'Occ T2'!F120</f>
        <v>49.225208085441466</v>
      </c>
    </row>
    <row r="84" spans="12:14" x14ac:dyDescent="0.3">
      <c r="L84" s="10" t="str">
        <f>name!D6</f>
        <v>21 Science, research, engineering and technology professionals</v>
      </c>
      <c r="M84" s="93">
        <f>'Occ T2'!D10-'Occ T2'!B10</f>
        <v>32.865204835191861</v>
      </c>
      <c r="N84" s="93">
        <f>'Occ T2'!F121</f>
        <v>39.771130633518709</v>
      </c>
    </row>
    <row r="85" spans="12:14" x14ac:dyDescent="0.3">
      <c r="L85" s="10" t="str">
        <f>name!D7</f>
        <v>22 Health professionals</v>
      </c>
      <c r="M85" s="93">
        <f>'Occ T2'!D11-'Occ T2'!B11</f>
        <v>18.004810896696696</v>
      </c>
      <c r="N85" s="93">
        <f>'Occ T2'!F122</f>
        <v>25.985600013100608</v>
      </c>
    </row>
    <row r="86" spans="12:14" x14ac:dyDescent="0.3">
      <c r="L86" s="10" t="str">
        <f>name!D8</f>
        <v>23 Teaching and other educational professionals</v>
      </c>
      <c r="M86" s="93">
        <f>'Occ T2'!D12-'Occ T2'!B12</f>
        <v>22.417159697251009</v>
      </c>
      <c r="N86" s="93">
        <f>'Occ T2'!F123</f>
        <v>18.819618870071309</v>
      </c>
    </row>
    <row r="87" spans="12:14" x14ac:dyDescent="0.3">
      <c r="L87" s="10" t="str">
        <f>name!D9</f>
        <v>24 Business, media and public service professionals</v>
      </c>
      <c r="M87" s="93">
        <f>'Occ T2'!D13-'Occ T2'!B13</f>
        <v>45.225712401714702</v>
      </c>
      <c r="N87" s="93">
        <f>'Occ T2'!F124</f>
        <v>61.931736239256594</v>
      </c>
    </row>
    <row r="88" spans="12:14" x14ac:dyDescent="0.3">
      <c r="L88" s="10" t="str">
        <f>name!D10</f>
        <v>31 Science, engineering and technology associate professionals</v>
      </c>
      <c r="M88" s="93">
        <f>'Occ T2'!D14-'Occ T2'!B14</f>
        <v>14.74576208270912</v>
      </c>
      <c r="N88" s="93">
        <f>'Occ T2'!F125</f>
        <v>-2.2848968922760093</v>
      </c>
    </row>
    <row r="89" spans="12:14" x14ac:dyDescent="0.3">
      <c r="L89" s="10" t="str">
        <f>name!D11</f>
        <v>32 Health and social care associate professionals</v>
      </c>
      <c r="M89" s="93">
        <f>'Occ T2'!D15-'Occ T2'!B15</f>
        <v>8.7010556554152387</v>
      </c>
      <c r="N89" s="93">
        <f>'Occ T2'!F126</f>
        <v>7.7754781570024676</v>
      </c>
    </row>
    <row r="90" spans="12:14" x14ac:dyDescent="0.3">
      <c r="L90" s="10" t="str">
        <f>name!D12</f>
        <v>33 Protective service occupations</v>
      </c>
      <c r="M90" s="93">
        <f>'Occ T2'!D16-'Occ T2'!B16</f>
        <v>1.8470895608749309</v>
      </c>
      <c r="N90" s="93">
        <f>'Occ T2'!F127</f>
        <v>15.227568546365063</v>
      </c>
    </row>
    <row r="91" spans="12:14" x14ac:dyDescent="0.3">
      <c r="L91" s="10" t="str">
        <f>name!D13</f>
        <v>34 Culture, media and sports occupations</v>
      </c>
      <c r="M91" s="93">
        <f>'Occ T2'!D17-'Occ T2'!B17</f>
        <v>11.53925116471099</v>
      </c>
      <c r="N91" s="93">
        <f>'Occ T2'!F128</f>
        <v>3.4580078413247719</v>
      </c>
    </row>
    <row r="92" spans="12:14" x14ac:dyDescent="0.3">
      <c r="L92" s="10" t="str">
        <f>name!D14</f>
        <v>35 Business and public service associate professionals</v>
      </c>
      <c r="M92" s="93">
        <f>'Occ T2'!D18-'Occ T2'!B18</f>
        <v>19.06192131604513</v>
      </c>
      <c r="N92" s="93">
        <f>'Occ T2'!F129</f>
        <v>5.9505496779578664</v>
      </c>
    </row>
    <row r="93" spans="12:14" x14ac:dyDescent="0.3">
      <c r="L93" s="10" t="str">
        <f>name!D15</f>
        <v>41 Administrative occupations</v>
      </c>
      <c r="M93" s="93">
        <f>'Occ T2'!D19-'Occ T2'!B19</f>
        <v>2.1456346100832775</v>
      </c>
      <c r="N93" s="93">
        <f>'Occ T2'!F130</f>
        <v>-34.104315212636351</v>
      </c>
    </row>
    <row r="94" spans="12:14" x14ac:dyDescent="0.3">
      <c r="L94" s="10" t="str">
        <f>name!D16</f>
        <v>42 Secretarial and related occupations</v>
      </c>
      <c r="M94" s="93">
        <f>'Occ T2'!D20-'Occ T2'!B20</f>
        <v>-6.6853769336353963</v>
      </c>
      <c r="N94" s="93">
        <f>'Occ T2'!F131</f>
        <v>-16.251361028731445</v>
      </c>
    </row>
    <row r="95" spans="12:14" x14ac:dyDescent="0.3">
      <c r="L95" s="10" t="str">
        <f>name!D17</f>
        <v>51 Skilled agricultural and related trades</v>
      </c>
      <c r="M95" s="93">
        <f>'Occ T2'!D21-'Occ T2'!B21</f>
        <v>-11.425806004674389</v>
      </c>
      <c r="N95" s="93">
        <f>'Occ T2'!F132</f>
        <v>6.623388735060626</v>
      </c>
    </row>
    <row r="96" spans="12:14" x14ac:dyDescent="0.3">
      <c r="L96" s="10" t="str">
        <f>name!D18</f>
        <v>52 Skilled metal, electrical and electronic trades</v>
      </c>
      <c r="M96" s="93">
        <f>'Occ T2'!D22-'Occ T2'!B22</f>
        <v>-17.580007862255542</v>
      </c>
      <c r="N96" s="93">
        <f>'Occ T2'!F133</f>
        <v>-0.73280054780798309</v>
      </c>
    </row>
    <row r="97" spans="12:14" x14ac:dyDescent="0.3">
      <c r="L97" s="10" t="str">
        <f>name!D19</f>
        <v>53 Skilled construction and building trades</v>
      </c>
      <c r="M97" s="93">
        <f>'Occ T2'!D23-'Occ T2'!B23</f>
        <v>-13.560142754733477</v>
      </c>
      <c r="N97" s="93">
        <f>'Occ T2'!F134</f>
        <v>-2.074831155631415</v>
      </c>
    </row>
    <row r="98" spans="12:14" x14ac:dyDescent="0.3">
      <c r="L98" s="10" t="str">
        <f>name!D20</f>
        <v>54 Textiles, printing and other skilled trades</v>
      </c>
      <c r="M98" s="93">
        <f>'Occ T2'!D24-'Occ T2'!B24</f>
        <v>-10.89873922527029</v>
      </c>
      <c r="N98" s="93">
        <f>'Occ T2'!F135</f>
        <v>2.3600751617724072</v>
      </c>
    </row>
    <row r="99" spans="12:14" x14ac:dyDescent="0.3">
      <c r="L99" s="10" t="str">
        <f>name!D21</f>
        <v>61 Caring personal service occupations</v>
      </c>
      <c r="M99" s="93">
        <f>'Occ T2'!D25-'Occ T2'!B25</f>
        <v>11.702184829725695</v>
      </c>
      <c r="N99" s="93">
        <f>'Occ T2'!F136</f>
        <v>50.977724785936459</v>
      </c>
    </row>
    <row r="100" spans="12:14" x14ac:dyDescent="0.3">
      <c r="L100" s="10" t="str">
        <f>name!D22</f>
        <v>62 Leisure, travel and related personal service occupations</v>
      </c>
      <c r="M100" s="93">
        <f>'Occ T2'!D26-'Occ T2'!B26</f>
        <v>6.6587091696413125</v>
      </c>
      <c r="N100" s="93">
        <f>'Occ T2'!F137</f>
        <v>3.4166896791630705</v>
      </c>
    </row>
    <row r="101" spans="12:14" x14ac:dyDescent="0.3">
      <c r="L101" s="10" t="str">
        <f>name!D23</f>
        <v>63 Community and civil enforcement occupations</v>
      </c>
      <c r="M101" s="93">
        <f>'Occ T2'!D27-'Occ T2'!B27</f>
        <v>0.27304183767534784</v>
      </c>
      <c r="N101" s="93">
        <f>'Occ T2'!F138</f>
        <v>-0.40468456566999356</v>
      </c>
    </row>
    <row r="102" spans="12:14" x14ac:dyDescent="0.3">
      <c r="L102" s="10" t="str">
        <f>name!D24</f>
        <v>71 Sales occupations</v>
      </c>
      <c r="M102" s="93">
        <f>'Occ T2'!D28-'Occ T2'!B28</f>
        <v>-26.720551387506958</v>
      </c>
      <c r="N102" s="93">
        <f>'Occ T2'!F139</f>
        <v>-22.525207462070767</v>
      </c>
    </row>
    <row r="103" spans="12:14" x14ac:dyDescent="0.3">
      <c r="L103" s="10" t="str">
        <f>name!D25</f>
        <v>72 Customer service occupations</v>
      </c>
      <c r="M103" s="93">
        <f>'Occ T2'!D29-'Occ T2'!B29</f>
        <v>4.8868712611710734</v>
      </c>
      <c r="N103" s="93">
        <f>'Occ T2'!F140</f>
        <v>23.781697709495489</v>
      </c>
    </row>
    <row r="104" spans="12:14" x14ac:dyDescent="0.3">
      <c r="L104" s="10" t="str">
        <f>name!D26</f>
        <v>81 Process, plant and machine operatives</v>
      </c>
      <c r="M104" s="93">
        <f>'Occ T2'!D30-'Occ T2'!B30</f>
        <v>-11.272597689071134</v>
      </c>
      <c r="N104" s="93">
        <f>'Occ T2'!F141</f>
        <v>15.943429451522164</v>
      </c>
    </row>
    <row r="105" spans="12:14" x14ac:dyDescent="0.3">
      <c r="L105" s="10" t="str">
        <f>name!D27</f>
        <v>82 Transport and mobile machine drivers and operatives</v>
      </c>
      <c r="M105" s="93">
        <f>'Occ T2'!D31-'Occ T2'!B31</f>
        <v>2.1106804581175709</v>
      </c>
      <c r="N105" s="93">
        <f>'Occ T2'!F142</f>
        <v>17.086983264389815</v>
      </c>
    </row>
    <row r="106" spans="12:14" x14ac:dyDescent="0.3">
      <c r="L106" s="10" t="str">
        <f>name!D28</f>
        <v>91 Elementary trades and related occupations</v>
      </c>
      <c r="M106" s="93">
        <f>'Occ T2'!D32-'Occ T2'!B32</f>
        <v>-10.914974181235365</v>
      </c>
      <c r="N106" s="93">
        <f>'Occ T2'!F143</f>
        <v>-5.7990214938288744</v>
      </c>
    </row>
    <row r="107" spans="12:14" x14ac:dyDescent="0.3">
      <c r="L107" s="10" t="str">
        <f>name!D29</f>
        <v>92 Elementary administration and service occupations</v>
      </c>
      <c r="M107" s="93">
        <f>'Occ T2'!D33-'Occ T2'!B33</f>
        <v>-22.290285814742049</v>
      </c>
      <c r="N107" s="93">
        <f>'Occ T2'!F144</f>
        <v>-6.0190326163294685</v>
      </c>
    </row>
    <row r="108" spans="12:14" x14ac:dyDescent="0.3">
      <c r="L108" s="10"/>
      <c r="M108" s="93"/>
      <c r="N108" s="93"/>
    </row>
    <row r="109" spans="12:14" x14ac:dyDescent="0.3">
      <c r="L109" s="10" t="str">
        <f>name!D3</f>
        <v>All occupations</v>
      </c>
      <c r="M109" s="93">
        <f>'Occ T2'!D35-'Occ T2'!B35</f>
        <v>118.41299999888815</v>
      </c>
      <c r="N109" s="93">
        <f>'Occ T2'!F146</f>
        <v>270.09099999949967</v>
      </c>
    </row>
    <row r="150" spans="1:16" ht="15.45" x14ac:dyDescent="0.4">
      <c r="A150" s="155" t="str">
        <f>CONCATENATE("Occupation Figure 1.2  Change in Employment by Occupation (SOC 2020), ",M152," and ",N152,", ",Info!B5)</f>
        <v>Occupation Figure 1.2  Change in Employment by Occupation (SOC 2020), 2015 - 2020 and 2020-2035, East</v>
      </c>
    </row>
    <row r="151" spans="1:16" x14ac:dyDescent="0.3">
      <c r="P151" s="93"/>
    </row>
    <row r="152" spans="1:16" x14ac:dyDescent="0.3">
      <c r="M152" s="90" t="str">
        <f>'Occ T1'!B6&amp;" - "&amp;'Occ T1'!D6</f>
        <v>2015 - 2020</v>
      </c>
      <c r="N152" s="90" t="str">
        <f>'Occ T1'!H4</f>
        <v>2020-2035</v>
      </c>
      <c r="P152" s="93"/>
    </row>
    <row r="153" spans="1:16" x14ac:dyDescent="0.3">
      <c r="L153" s="10" t="str">
        <f>name!E4</f>
        <v>Managers, directors and senior officials</v>
      </c>
      <c r="M153" s="93">
        <f>'Occ T1'!D8-'Occ T1'!B8</f>
        <v>47.576392074988235</v>
      </c>
      <c r="N153" s="93">
        <f>'Occ T1'!H8</f>
        <v>61.177472208545737</v>
      </c>
      <c r="P153" s="93"/>
    </row>
    <row r="154" spans="1:16" x14ac:dyDescent="0.3">
      <c r="L154" s="10" t="str">
        <f>name!E5</f>
        <v>Professional occupations</v>
      </c>
      <c r="M154" s="93">
        <f>'Occ T1'!D9-'Occ T1'!B9</f>
        <v>118.51288783085431</v>
      </c>
      <c r="N154" s="93">
        <f>'Occ T1'!H9</f>
        <v>146.50808575594715</v>
      </c>
      <c r="P154" s="93"/>
    </row>
    <row r="155" spans="1:16" x14ac:dyDescent="0.3">
      <c r="L155" s="10" t="str">
        <f>name!E6</f>
        <v>Associate professional occupations</v>
      </c>
      <c r="M155" s="93">
        <f>'Occ T1'!D10-'Occ T1'!B10</f>
        <v>55.895079779755406</v>
      </c>
      <c r="N155" s="93">
        <f>'Occ T1'!H10</f>
        <v>30.126707330374188</v>
      </c>
      <c r="P155" s="93"/>
    </row>
    <row r="156" spans="1:16" x14ac:dyDescent="0.3">
      <c r="L156" s="10" t="str">
        <f>name!E7</f>
        <v>Administrative and secretarial occupations</v>
      </c>
      <c r="M156" s="93">
        <f>'Occ T1'!D11-'Occ T1'!B11</f>
        <v>-4.5397423235521046</v>
      </c>
      <c r="N156" s="93">
        <f>'Occ T1'!H11</f>
        <v>-50.355676241367803</v>
      </c>
      <c r="P156" s="93"/>
    </row>
    <row r="157" spans="1:16" x14ac:dyDescent="0.3">
      <c r="L157" s="10" t="str">
        <f>name!E8</f>
        <v>Skilled trades occupations</v>
      </c>
      <c r="M157" s="93">
        <f>'Occ T1'!D12-'Occ T1'!B12</f>
        <v>-53.464695846933694</v>
      </c>
      <c r="N157" s="93">
        <f>'Occ T1'!H12</f>
        <v>6.1758321933936031</v>
      </c>
      <c r="P157" s="93"/>
    </row>
    <row r="158" spans="1:16" x14ac:dyDescent="0.3">
      <c r="L158" s="10" t="str">
        <f>name!E9</f>
        <v>Caring, leisure and other service occupations</v>
      </c>
      <c r="M158" s="93">
        <f>'Occ T1'!D13-'Occ T1'!B13</f>
        <v>18.633935837042372</v>
      </c>
      <c r="N158" s="93">
        <f>'Occ T1'!H13</f>
        <v>53.989729899429562</v>
      </c>
      <c r="P158" s="93"/>
    </row>
    <row r="159" spans="1:16" x14ac:dyDescent="0.3">
      <c r="L159" s="10" t="str">
        <f>name!E10</f>
        <v>Sales and customer service occupations</v>
      </c>
      <c r="M159" s="93">
        <f>'Occ T1'!D14-'Occ T1'!B14</f>
        <v>-21.833680126335878</v>
      </c>
      <c r="N159" s="93">
        <f>'Occ T1'!H14</f>
        <v>1.2564902474247219</v>
      </c>
      <c r="P159" s="93"/>
    </row>
    <row r="160" spans="1:16" x14ac:dyDescent="0.3">
      <c r="L160" s="10" t="str">
        <f>name!E11</f>
        <v>Process, plant and machine operatives</v>
      </c>
      <c r="M160" s="93">
        <f>'Occ T1'!D15-'Occ T1'!B15</f>
        <v>-9.1619172309535486</v>
      </c>
      <c r="N160" s="93">
        <f>'Occ T1'!H15</f>
        <v>33.030412715911979</v>
      </c>
      <c r="P160" s="93"/>
    </row>
    <row r="161" spans="12:16" x14ac:dyDescent="0.3">
      <c r="L161" s="10" t="str">
        <f>name!E12</f>
        <v>Elementary occupations</v>
      </c>
      <c r="M161" s="93">
        <f>'Occ T1'!D16-'Occ T1'!B16</f>
        <v>-33.205259995977372</v>
      </c>
      <c r="N161" s="93">
        <f>'Occ T1'!H16</f>
        <v>-11.818054110158357</v>
      </c>
      <c r="P161" s="93"/>
    </row>
    <row r="162" spans="12:16" x14ac:dyDescent="0.3">
      <c r="L162" s="10"/>
      <c r="M162" s="93"/>
      <c r="N162" s="93"/>
      <c r="P162" s="93"/>
    </row>
    <row r="163" spans="12:16" x14ac:dyDescent="0.3">
      <c r="L163" s="10" t="str">
        <f>name!E3</f>
        <v>All occupations</v>
      </c>
      <c r="M163" s="93">
        <f>'Occ T1'!D18-'Occ T1'!B18</f>
        <v>118.41299999888815</v>
      </c>
      <c r="N163" s="93">
        <f>'Occ T1'!H18</f>
        <v>270.09099999950075</v>
      </c>
    </row>
  </sheetData>
  <conditionalFormatting sqref="L17:L18 L6:N6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rowBreaks count="2" manualBreakCount="2">
    <brk id="78" max="16383" man="1"/>
    <brk id="149" max="9" man="1"/>
  </rowBreaks>
  <colBreaks count="1" manualBreakCount="1">
    <brk id="10" max="147" man="1"/>
  </col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BO508"/>
  <sheetViews>
    <sheetView zoomScale="75" zoomScaleNormal="75" workbookViewId="0"/>
  </sheetViews>
  <sheetFormatPr defaultColWidth="9.15234375" defaultRowHeight="12.45" x14ac:dyDescent="0.3"/>
  <cols>
    <col min="1" max="1" width="17" style="80" customWidth="1"/>
    <col min="2" max="8" width="9.15234375" style="80"/>
    <col min="9" max="9" width="31.84375" style="80" customWidth="1"/>
    <col min="10" max="10" width="11.23046875" style="80" customWidth="1"/>
    <col min="11" max="11" width="6.15234375" style="80" customWidth="1"/>
    <col min="12" max="12" width="52.23046875" customWidth="1"/>
    <col min="13" max="38" width="15.69140625" customWidth="1"/>
    <col min="39" max="39" width="7.69140625" customWidth="1"/>
    <col min="40" max="63" width="6.23046875" customWidth="1"/>
  </cols>
  <sheetData>
    <row r="1" spans="1:67" ht="15.45" x14ac:dyDescent="0.4">
      <c r="A1" s="79" t="str">
        <f>CONCATENATE("Occupation Figure 2  Employment by Occupation (SOC 2020), ",$M$2,"-",$O$2,", ",Info!B5)</f>
        <v>Occupation Figure 2  Employment by Occupation (SOC 2020), 2010-2035, East</v>
      </c>
      <c r="L1" s="45"/>
    </row>
    <row r="2" spans="1:67" x14ac:dyDescent="0.3">
      <c r="A2" s="181" t="s">
        <v>540</v>
      </c>
      <c r="L2" s="15" t="s">
        <v>28</v>
      </c>
      <c r="M2" s="47">
        <f>M4</f>
        <v>2010</v>
      </c>
      <c r="N2" s="46" t="s">
        <v>27</v>
      </c>
      <c r="O2" s="47">
        <f>MAX(Q4:BO4)</f>
        <v>2035</v>
      </c>
    </row>
    <row r="3" spans="1:67" x14ac:dyDescent="0.3">
      <c r="L3" s="15"/>
      <c r="M3" s="15"/>
      <c r="N3" s="46"/>
      <c r="O3" s="15"/>
    </row>
    <row r="4" spans="1:67" x14ac:dyDescent="0.3">
      <c r="L4" s="1" t="s">
        <v>35</v>
      </c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47"/>
      <c r="AN4" s="47"/>
      <c r="AO4" s="47"/>
      <c r="AP4" s="47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</row>
    <row r="5" spans="1:67" x14ac:dyDescent="0.3">
      <c r="L5" s="16" t="str">
        <f>'Occ T3'!A7</f>
        <v>Managers, directors and senior officials</v>
      </c>
      <c r="M5" s="86">
        <f t="shared" ref="M5:P5" si="0">SUM(M6:M7)</f>
        <v>250.53158095904826</v>
      </c>
      <c r="N5" s="86">
        <f t="shared" si="0"/>
        <v>275.94772814445753</v>
      </c>
      <c r="O5" s="86">
        <f t="shared" si="0"/>
        <v>291.66531512293665</v>
      </c>
      <c r="P5" s="86">
        <f t="shared" si="0"/>
        <v>295.79677503361131</v>
      </c>
      <c r="Q5" s="86">
        <f>SUM(Q6:Q7)</f>
        <v>302.38511050984278</v>
      </c>
      <c r="R5" s="86">
        <f t="shared" ref="R5:AL5" si="1">SUM(R6:R7)</f>
        <v>317.29921203279753</v>
      </c>
      <c r="S5" s="86">
        <f t="shared" si="1"/>
        <v>319.52450532558839</v>
      </c>
      <c r="T5" s="86">
        <f t="shared" si="1"/>
        <v>347.57246499163921</v>
      </c>
      <c r="U5" s="86">
        <f t="shared" si="1"/>
        <v>347.58694273659876</v>
      </c>
      <c r="V5" s="86">
        <f t="shared" si="1"/>
        <v>358.84616174802488</v>
      </c>
      <c r="W5" s="86">
        <f t="shared" si="1"/>
        <v>364.87560410778576</v>
      </c>
      <c r="X5" s="86">
        <f t="shared" si="1"/>
        <v>355.06457919757725</v>
      </c>
      <c r="Y5" s="86">
        <f t="shared" si="1"/>
        <v>359.79970166568268</v>
      </c>
      <c r="Z5" s="86">
        <f t="shared" si="1"/>
        <v>365.68273471517546</v>
      </c>
      <c r="AA5" s="86">
        <f t="shared" si="1"/>
        <v>372.06433306835572</v>
      </c>
      <c r="AB5" s="86">
        <f t="shared" si="1"/>
        <v>377.19167855722014</v>
      </c>
      <c r="AC5" s="86">
        <f t="shared" si="1"/>
        <v>382.03809323563019</v>
      </c>
      <c r="AD5" s="86">
        <f t="shared" si="1"/>
        <v>386.76316687803052</v>
      </c>
      <c r="AE5" s="86">
        <f t="shared" si="1"/>
        <v>391.47881155582786</v>
      </c>
      <c r="AF5" s="86">
        <f t="shared" si="1"/>
        <v>396.14293567017103</v>
      </c>
      <c r="AG5" s="86">
        <f t="shared" si="1"/>
        <v>400.90845492075584</v>
      </c>
      <c r="AH5" s="86">
        <f t="shared" si="1"/>
        <v>405.70212483169496</v>
      </c>
      <c r="AI5" s="86">
        <f t="shared" si="1"/>
        <v>410.56352137955912</v>
      </c>
      <c r="AJ5" s="86">
        <f t="shared" si="1"/>
        <v>415.5935409233594</v>
      </c>
      <c r="AK5" s="86">
        <f t="shared" si="1"/>
        <v>420.76219224548561</v>
      </c>
      <c r="AL5" s="86">
        <f t="shared" si="1"/>
        <v>426.0530763163315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</row>
    <row r="6" spans="1:67" x14ac:dyDescent="0.3">
      <c r="L6" s="232" t="str">
        <f>'Occ T3'!A8</f>
        <v>11 Corporate managers and directors</v>
      </c>
      <c r="M6" s="11">
        <v>173.02330483594645</v>
      </c>
      <c r="N6" s="11">
        <v>189.5526330335656</v>
      </c>
      <c r="O6" s="11">
        <v>197.83808962161356</v>
      </c>
      <c r="P6" s="11">
        <v>203.22629261383048</v>
      </c>
      <c r="Q6" s="11">
        <v>199.72401344796415</v>
      </c>
      <c r="R6" s="11">
        <v>215.07175900141254</v>
      </c>
      <c r="S6" s="11">
        <v>226.34980465913958</v>
      </c>
      <c r="T6" s="11">
        <v>243.93479776014036</v>
      </c>
      <c r="U6" s="11">
        <v>243.2112154477704</v>
      </c>
      <c r="V6" s="11">
        <v>251.33188958578569</v>
      </c>
      <c r="W6" s="11">
        <v>256.42027451780478</v>
      </c>
      <c r="X6" s="11">
        <v>229.22278483378187</v>
      </c>
      <c r="Y6" s="11">
        <v>231.95534719581119</v>
      </c>
      <c r="Z6" s="11">
        <v>235.3943986152662</v>
      </c>
      <c r="AA6" s="11">
        <v>239.02243544585556</v>
      </c>
      <c r="AB6" s="11">
        <v>241.82674878761222</v>
      </c>
      <c r="AC6" s="11">
        <v>244.44864110609981</v>
      </c>
      <c r="AD6" s="11">
        <v>247.02130012565266</v>
      </c>
      <c r="AE6" s="11">
        <v>249.56021471541007</v>
      </c>
      <c r="AF6" s="11">
        <v>252.07990402664956</v>
      </c>
      <c r="AG6" s="11">
        <v>254.66698521831461</v>
      </c>
      <c r="AH6" s="11">
        <v>257.29284251130832</v>
      </c>
      <c r="AI6" s="11">
        <v>259.94466561127115</v>
      </c>
      <c r="AJ6" s="11">
        <v>262.66798787364843</v>
      </c>
      <c r="AK6" s="11">
        <v>265.51380454324772</v>
      </c>
      <c r="AL6" s="11">
        <v>268.37253864090906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</row>
    <row r="7" spans="1:67" x14ac:dyDescent="0.3">
      <c r="L7" s="232" t="str">
        <f>'Occ T3'!A9</f>
        <v>12 Other managers and proprietors</v>
      </c>
      <c r="M7" s="11">
        <v>77.508276123101822</v>
      </c>
      <c r="N7" s="11">
        <v>86.395095110891958</v>
      </c>
      <c r="O7" s="11">
        <v>93.82722550132307</v>
      </c>
      <c r="P7" s="11">
        <v>92.570482419780859</v>
      </c>
      <c r="Q7" s="11">
        <v>102.66109706187862</v>
      </c>
      <c r="R7" s="11">
        <v>102.22745303138501</v>
      </c>
      <c r="S7" s="11">
        <v>93.174700666448814</v>
      </c>
      <c r="T7" s="11">
        <v>103.63766723149882</v>
      </c>
      <c r="U7" s="11">
        <v>104.37572728882833</v>
      </c>
      <c r="V7" s="11">
        <v>107.51427216223921</v>
      </c>
      <c r="W7" s="11">
        <v>108.45532958998095</v>
      </c>
      <c r="X7" s="11">
        <v>125.84179436379539</v>
      </c>
      <c r="Y7" s="11">
        <v>127.8443544698715</v>
      </c>
      <c r="Z7" s="11">
        <v>130.28833609990923</v>
      </c>
      <c r="AA7" s="11">
        <v>133.04189762250013</v>
      </c>
      <c r="AB7" s="11">
        <v>135.36492976960793</v>
      </c>
      <c r="AC7" s="11">
        <v>137.5894521295304</v>
      </c>
      <c r="AD7" s="11">
        <v>139.74186675237786</v>
      </c>
      <c r="AE7" s="11">
        <v>141.91859684041782</v>
      </c>
      <c r="AF7" s="11">
        <v>144.06303164352147</v>
      </c>
      <c r="AG7" s="11">
        <v>146.24146970244121</v>
      </c>
      <c r="AH7" s="11">
        <v>148.40928232038667</v>
      </c>
      <c r="AI7" s="11">
        <v>150.61885576828794</v>
      </c>
      <c r="AJ7" s="11">
        <v>152.92555304971097</v>
      </c>
      <c r="AK7" s="11">
        <v>155.24838770223789</v>
      </c>
      <c r="AL7" s="11">
        <v>157.68053767542241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</row>
    <row r="8" spans="1:67" x14ac:dyDescent="0.3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</row>
    <row r="9" spans="1:67" x14ac:dyDescent="0.3">
      <c r="L9" s="16" t="str">
        <f>'Occ T3'!A11</f>
        <v>Professional occupations</v>
      </c>
      <c r="M9" s="86">
        <f t="shared" ref="M9:P9" si="2">SUM(M10:M13)</f>
        <v>541.28766279981619</v>
      </c>
      <c r="N9" s="86">
        <f t="shared" si="2"/>
        <v>532.44890669823803</v>
      </c>
      <c r="O9" s="86">
        <f t="shared" si="2"/>
        <v>552.47471240781999</v>
      </c>
      <c r="P9" s="86">
        <f t="shared" si="2"/>
        <v>564.72835037953723</v>
      </c>
      <c r="Q9" s="86">
        <f>SUM(Q10:Q13)</f>
        <v>587.519808054539</v>
      </c>
      <c r="R9" s="86">
        <f t="shared" ref="R9:AL9" si="3">SUM(R10:R13)</f>
        <v>586.3042977264812</v>
      </c>
      <c r="S9" s="86">
        <f t="shared" si="3"/>
        <v>610.32986627265791</v>
      </c>
      <c r="T9" s="86">
        <f t="shared" si="3"/>
        <v>629.40793673220151</v>
      </c>
      <c r="U9" s="86">
        <f t="shared" si="3"/>
        <v>642.80901960338974</v>
      </c>
      <c r="V9" s="86">
        <f t="shared" si="3"/>
        <v>679.33227526654014</v>
      </c>
      <c r="W9" s="86">
        <f t="shared" si="3"/>
        <v>704.81718555733551</v>
      </c>
      <c r="X9" s="86">
        <f t="shared" si="3"/>
        <v>723.40131291477041</v>
      </c>
      <c r="Y9" s="86">
        <f t="shared" si="3"/>
        <v>730.17947827293835</v>
      </c>
      <c r="Z9" s="86">
        <f t="shared" si="3"/>
        <v>740.17634957459893</v>
      </c>
      <c r="AA9" s="86">
        <f t="shared" si="3"/>
        <v>751.24126464876872</v>
      </c>
      <c r="AB9" s="86">
        <f t="shared" si="3"/>
        <v>760.56664547867615</v>
      </c>
      <c r="AC9" s="86">
        <f t="shared" si="3"/>
        <v>769.66244730238873</v>
      </c>
      <c r="AD9" s="86">
        <f t="shared" si="3"/>
        <v>778.73032661552588</v>
      </c>
      <c r="AE9" s="86">
        <f t="shared" si="3"/>
        <v>787.82385408593461</v>
      </c>
      <c r="AF9" s="86">
        <f t="shared" si="3"/>
        <v>796.41895469312499</v>
      </c>
      <c r="AG9" s="86">
        <f t="shared" si="3"/>
        <v>805.16280913312812</v>
      </c>
      <c r="AH9" s="86">
        <f t="shared" si="3"/>
        <v>814.07531055115157</v>
      </c>
      <c r="AI9" s="86">
        <f t="shared" si="3"/>
        <v>823.51884200782047</v>
      </c>
      <c r="AJ9" s="86">
        <f t="shared" si="3"/>
        <v>832.64331434036831</v>
      </c>
      <c r="AK9" s="86">
        <f t="shared" si="3"/>
        <v>842.02727549939709</v>
      </c>
      <c r="AL9" s="86">
        <f t="shared" si="3"/>
        <v>851.32527131328266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</row>
    <row r="10" spans="1:67" x14ac:dyDescent="0.3">
      <c r="L10" s="232" t="str">
        <f>'Occ T3'!A12</f>
        <v>21 Science, research, engineering and technology professionals</v>
      </c>
      <c r="M10" s="11">
        <v>160.59505817477481</v>
      </c>
      <c r="N10" s="11">
        <v>152.01345299056035</v>
      </c>
      <c r="O10" s="11">
        <v>164.46647811107812</v>
      </c>
      <c r="P10" s="11">
        <v>166.74471403651714</v>
      </c>
      <c r="Q10" s="11">
        <v>180.71259597485019</v>
      </c>
      <c r="R10" s="11">
        <v>186.41484950766176</v>
      </c>
      <c r="S10" s="11">
        <v>190.70452275742517</v>
      </c>
      <c r="T10" s="11">
        <v>196.56285581275392</v>
      </c>
      <c r="U10" s="11">
        <v>197.80239677026125</v>
      </c>
      <c r="V10" s="11">
        <v>211.52119916310374</v>
      </c>
      <c r="W10" s="11">
        <v>219.28005434285362</v>
      </c>
      <c r="X10" s="11">
        <v>220.49758080176153</v>
      </c>
      <c r="Y10" s="11">
        <v>222.98706038643971</v>
      </c>
      <c r="Z10" s="11">
        <v>226.14164803709861</v>
      </c>
      <c r="AA10" s="11">
        <v>229.57233613967657</v>
      </c>
      <c r="AB10" s="11">
        <v>232.31387681230299</v>
      </c>
      <c r="AC10" s="11">
        <v>234.95594478425605</v>
      </c>
      <c r="AD10" s="11">
        <v>237.54974623088151</v>
      </c>
      <c r="AE10" s="11">
        <v>240.20064722044896</v>
      </c>
      <c r="AF10" s="11">
        <v>242.78347032026173</v>
      </c>
      <c r="AG10" s="11">
        <v>245.41218889055011</v>
      </c>
      <c r="AH10" s="11">
        <v>248.05990275290827</v>
      </c>
      <c r="AI10" s="11">
        <v>250.79355534128695</v>
      </c>
      <c r="AJ10" s="11">
        <v>253.45983325514501</v>
      </c>
      <c r="AK10" s="11">
        <v>256.29829814130613</v>
      </c>
      <c r="AL10" s="11">
        <v>259.05118497637233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</row>
    <row r="11" spans="1:67" x14ac:dyDescent="0.3">
      <c r="L11" s="232" t="str">
        <f>'Occ T3'!A13</f>
        <v>22 Health professionals</v>
      </c>
      <c r="M11" s="11">
        <v>86.962381198567428</v>
      </c>
      <c r="N11" s="11">
        <v>94.576508562927145</v>
      </c>
      <c r="O11" s="11">
        <v>97.372396667379391</v>
      </c>
      <c r="P11" s="11">
        <v>101.10635537082707</v>
      </c>
      <c r="Q11" s="11">
        <v>104.83754849754573</v>
      </c>
      <c r="R11" s="11">
        <v>101.29090452362664</v>
      </c>
      <c r="S11" s="11">
        <v>107.00808942421364</v>
      </c>
      <c r="T11" s="11">
        <v>118.64489440273192</v>
      </c>
      <c r="U11" s="11">
        <v>115.04122528638162</v>
      </c>
      <c r="V11" s="11">
        <v>122.61083730173362</v>
      </c>
      <c r="W11" s="11">
        <v>119.29571542032333</v>
      </c>
      <c r="X11" s="11">
        <v>123.12825630965818</v>
      </c>
      <c r="Y11" s="11">
        <v>124.28746810686623</v>
      </c>
      <c r="Z11" s="11">
        <v>125.95202849156688</v>
      </c>
      <c r="AA11" s="11">
        <v>127.7664370000704</v>
      </c>
      <c r="AB11" s="11">
        <v>129.3840758209306</v>
      </c>
      <c r="AC11" s="11">
        <v>131.00484308693237</v>
      </c>
      <c r="AD11" s="11">
        <v>132.69448203270747</v>
      </c>
      <c r="AE11" s="11">
        <v>134.39297511247699</v>
      </c>
      <c r="AF11" s="11">
        <v>135.86460896495868</v>
      </c>
      <c r="AG11" s="11">
        <v>137.41673916379321</v>
      </c>
      <c r="AH11" s="11">
        <v>138.9392373652951</v>
      </c>
      <c r="AI11" s="11">
        <v>140.51253863138993</v>
      </c>
      <c r="AJ11" s="11">
        <v>142.11641227035574</v>
      </c>
      <c r="AK11" s="11">
        <v>143.72458177923792</v>
      </c>
      <c r="AL11" s="11">
        <v>145.28131543342394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</row>
    <row r="12" spans="1:67" x14ac:dyDescent="0.3">
      <c r="L12" s="232" t="str">
        <f>'Occ T3'!A14</f>
        <v>23 Teaching and other educational professionals</v>
      </c>
      <c r="M12" s="11">
        <v>125.18642400438232</v>
      </c>
      <c r="N12" s="11">
        <v>127.70734434554083</v>
      </c>
      <c r="O12" s="11">
        <v>127.92194424250424</v>
      </c>
      <c r="P12" s="11">
        <v>129.1557851993789</v>
      </c>
      <c r="Q12" s="11">
        <v>131.45125862089529</v>
      </c>
      <c r="R12" s="11">
        <v>128.56143721289453</v>
      </c>
      <c r="S12" s="11">
        <v>134.58947475697715</v>
      </c>
      <c r="T12" s="11">
        <v>129.12814548260266</v>
      </c>
      <c r="U12" s="11">
        <v>138.49662393697221</v>
      </c>
      <c r="V12" s="11">
        <v>145.1957743366284</v>
      </c>
      <c r="W12" s="11">
        <v>150.97859691014554</v>
      </c>
      <c r="X12" s="11">
        <v>151.51259254006149</v>
      </c>
      <c r="Y12" s="11">
        <v>151.69596094322111</v>
      </c>
      <c r="Z12" s="11">
        <v>153.0553554266271</v>
      </c>
      <c r="AA12" s="11">
        <v>154.72057377780882</v>
      </c>
      <c r="AB12" s="11">
        <v>156.21158434273588</v>
      </c>
      <c r="AC12" s="11">
        <v>157.61843277164326</v>
      </c>
      <c r="AD12" s="11">
        <v>159.02835723722785</v>
      </c>
      <c r="AE12" s="11">
        <v>160.42108140078179</v>
      </c>
      <c r="AF12" s="11">
        <v>161.65729949618148</v>
      </c>
      <c r="AG12" s="11">
        <v>162.93535065746647</v>
      </c>
      <c r="AH12" s="11">
        <v>164.2718321987048</v>
      </c>
      <c r="AI12" s="11">
        <v>165.645361879712</v>
      </c>
      <c r="AJ12" s="11">
        <v>167.02674803280416</v>
      </c>
      <c r="AK12" s="11">
        <v>168.41171598148318</v>
      </c>
      <c r="AL12" s="11">
        <v>169.79821578021685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</row>
    <row r="13" spans="1:67" x14ac:dyDescent="0.3">
      <c r="L13" s="232" t="str">
        <f>'Occ T3'!A15</f>
        <v>24 Business, media and public service professionals</v>
      </c>
      <c r="M13" s="11">
        <v>168.54379942209161</v>
      </c>
      <c r="N13" s="11">
        <v>158.15160079920966</v>
      </c>
      <c r="O13" s="11">
        <v>162.71389338685825</v>
      </c>
      <c r="P13" s="11">
        <v>167.72149577281417</v>
      </c>
      <c r="Q13" s="11">
        <v>170.51840496124788</v>
      </c>
      <c r="R13" s="11">
        <v>170.0371064822983</v>
      </c>
      <c r="S13" s="11">
        <v>178.0277793340419</v>
      </c>
      <c r="T13" s="11">
        <v>185.072041034113</v>
      </c>
      <c r="U13" s="11">
        <v>191.46877360977464</v>
      </c>
      <c r="V13" s="11">
        <v>200.00446446507434</v>
      </c>
      <c r="W13" s="11">
        <v>215.262818884013</v>
      </c>
      <c r="X13" s="11">
        <v>228.2628832632891</v>
      </c>
      <c r="Y13" s="11">
        <v>231.20898883641129</v>
      </c>
      <c r="Z13" s="11">
        <v>235.02731761930636</v>
      </c>
      <c r="AA13" s="11">
        <v>239.18191773121296</v>
      </c>
      <c r="AB13" s="11">
        <v>242.65710850270656</v>
      </c>
      <c r="AC13" s="11">
        <v>246.08322665955711</v>
      </c>
      <c r="AD13" s="11">
        <v>249.45774111470905</v>
      </c>
      <c r="AE13" s="11">
        <v>252.80915035222691</v>
      </c>
      <c r="AF13" s="11">
        <v>256.11357591172305</v>
      </c>
      <c r="AG13" s="11">
        <v>259.39853042131841</v>
      </c>
      <c r="AH13" s="11">
        <v>262.80433823424335</v>
      </c>
      <c r="AI13" s="11">
        <v>266.56738615543151</v>
      </c>
      <c r="AJ13" s="11">
        <v>270.04032078206336</v>
      </c>
      <c r="AK13" s="11">
        <v>273.59267959736985</v>
      </c>
      <c r="AL13" s="11">
        <v>277.19455512326959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</row>
    <row r="14" spans="1:67" x14ac:dyDescent="0.3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</row>
    <row r="15" spans="1:67" x14ac:dyDescent="0.3">
      <c r="L15" s="16" t="str">
        <f>'Occ T3'!A17</f>
        <v>Associate professional occupations</v>
      </c>
      <c r="M15" s="86">
        <f>SUM(M16:M20)</f>
        <v>327.49154074797445</v>
      </c>
      <c r="N15" s="86">
        <f t="shared" ref="N15:P15" si="4">SUM(N16:N20)</f>
        <v>329.47295831485292</v>
      </c>
      <c r="O15" s="86">
        <f t="shared" si="4"/>
        <v>351.87884822286418</v>
      </c>
      <c r="P15" s="86">
        <f t="shared" si="4"/>
        <v>347.01508816452065</v>
      </c>
      <c r="Q15" s="86">
        <f>SUM(Q16:Q20)</f>
        <v>364.82696106677997</v>
      </c>
      <c r="R15" s="86">
        <f t="shared" ref="R15:AL15" si="5">SUM(R16:R20)</f>
        <v>368.99148710427676</v>
      </c>
      <c r="S15" s="86">
        <f t="shared" si="5"/>
        <v>385.10562708015289</v>
      </c>
      <c r="T15" s="86">
        <f t="shared" si="5"/>
        <v>398.57747732864016</v>
      </c>
      <c r="U15" s="86">
        <f t="shared" si="5"/>
        <v>396.91970913559874</v>
      </c>
      <c r="V15" s="86">
        <f t="shared" si="5"/>
        <v>398.19745908852406</v>
      </c>
      <c r="W15" s="86">
        <f t="shared" si="5"/>
        <v>424.88656688403216</v>
      </c>
      <c r="X15" s="86">
        <f t="shared" si="5"/>
        <v>400.63863159207096</v>
      </c>
      <c r="Y15" s="86">
        <f t="shared" si="5"/>
        <v>403.11757499445952</v>
      </c>
      <c r="Z15" s="86">
        <f t="shared" si="5"/>
        <v>407.29770555164839</v>
      </c>
      <c r="AA15" s="86">
        <f t="shared" si="5"/>
        <v>412.45796144595852</v>
      </c>
      <c r="AB15" s="86">
        <f t="shared" si="5"/>
        <v>416.55702449984153</v>
      </c>
      <c r="AC15" s="86">
        <f t="shared" si="5"/>
        <v>420.32105766622647</v>
      </c>
      <c r="AD15" s="86">
        <f t="shared" si="5"/>
        <v>423.93041939681325</v>
      </c>
      <c r="AE15" s="86">
        <f t="shared" si="5"/>
        <v>427.33041074611947</v>
      </c>
      <c r="AF15" s="86">
        <f t="shared" si="5"/>
        <v>430.83353309987501</v>
      </c>
      <c r="AG15" s="86">
        <f t="shared" si="5"/>
        <v>434.4172624653603</v>
      </c>
      <c r="AH15" s="86">
        <f t="shared" si="5"/>
        <v>438.38599803420607</v>
      </c>
      <c r="AI15" s="86">
        <f t="shared" si="5"/>
        <v>442.56381461445255</v>
      </c>
      <c r="AJ15" s="86">
        <f t="shared" si="5"/>
        <v>446.66512120311592</v>
      </c>
      <c r="AK15" s="86">
        <f t="shared" si="5"/>
        <v>450.79571419667457</v>
      </c>
      <c r="AL15" s="86">
        <f t="shared" si="5"/>
        <v>455.01327421440635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</row>
    <row r="16" spans="1:67" x14ac:dyDescent="0.3">
      <c r="L16" s="232" t="str">
        <f>'Occ T3'!A18</f>
        <v>31 Science, engineering and technology associate professionals</v>
      </c>
      <c r="M16" s="11">
        <v>50.534391014696787</v>
      </c>
      <c r="N16" s="11">
        <v>48.709099866672162</v>
      </c>
      <c r="O16" s="11">
        <v>52.814786147666041</v>
      </c>
      <c r="P16" s="11">
        <v>53.725814952020649</v>
      </c>
      <c r="Q16" s="11">
        <v>51.506807785052622</v>
      </c>
      <c r="R16" s="11">
        <v>51.916227810861997</v>
      </c>
      <c r="S16" s="11">
        <v>53.924395387402335</v>
      </c>
      <c r="T16" s="11">
        <v>62.568964165197805</v>
      </c>
      <c r="U16" s="11">
        <v>61.524027470938599</v>
      </c>
      <c r="V16" s="11">
        <v>60.866837475210005</v>
      </c>
      <c r="W16" s="11">
        <v>66.661989893571118</v>
      </c>
      <c r="X16" s="11">
        <v>56.833398901733204</v>
      </c>
      <c r="Y16" s="11">
        <v>57.341979017524956</v>
      </c>
      <c r="Z16" s="11">
        <v>58.031275829374962</v>
      </c>
      <c r="AA16" s="11">
        <v>58.752649317833423</v>
      </c>
      <c r="AB16" s="11">
        <v>59.279962103038798</v>
      </c>
      <c r="AC16" s="11">
        <v>59.767481807285165</v>
      </c>
      <c r="AD16" s="11">
        <v>60.221449708665233</v>
      </c>
      <c r="AE16" s="11">
        <v>60.654138303372406</v>
      </c>
      <c r="AF16" s="11">
        <v>61.064391170303459</v>
      </c>
      <c r="AG16" s="11">
        <v>61.609658111167626</v>
      </c>
      <c r="AH16" s="11">
        <v>62.14448965088755</v>
      </c>
      <c r="AI16" s="11">
        <v>62.703662805021423</v>
      </c>
      <c r="AJ16" s="11">
        <v>63.262119642625301</v>
      </c>
      <c r="AK16" s="11">
        <v>63.829251891889626</v>
      </c>
      <c r="AL16" s="11">
        <v>64.377093001295108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</row>
    <row r="17" spans="12:67" x14ac:dyDescent="0.3">
      <c r="L17" s="232" t="str">
        <f>'Occ T3'!A19</f>
        <v>32 Health and social care associate professionals</v>
      </c>
      <c r="M17" s="11">
        <v>32.993586253713211</v>
      </c>
      <c r="N17" s="11">
        <v>42.747966991962436</v>
      </c>
      <c r="O17" s="11">
        <v>42.62485227837773</v>
      </c>
      <c r="P17" s="11">
        <v>42.436383057339647</v>
      </c>
      <c r="Q17" s="11">
        <v>43.433956162132816</v>
      </c>
      <c r="R17" s="11">
        <v>43.592593838917885</v>
      </c>
      <c r="S17" s="11">
        <v>46.286991382098996</v>
      </c>
      <c r="T17" s="11">
        <v>47.180307566223533</v>
      </c>
      <c r="U17" s="11">
        <v>49.975382230393826</v>
      </c>
      <c r="V17" s="11">
        <v>51.784387361927934</v>
      </c>
      <c r="W17" s="11">
        <v>52.293649494333124</v>
      </c>
      <c r="X17" s="11">
        <v>50.712966695459613</v>
      </c>
      <c r="Y17" s="11">
        <v>51.164293034183203</v>
      </c>
      <c r="Z17" s="11">
        <v>51.834672262749578</v>
      </c>
      <c r="AA17" s="11">
        <v>52.584370592296978</v>
      </c>
      <c r="AB17" s="11">
        <v>53.263865114478065</v>
      </c>
      <c r="AC17" s="11">
        <v>53.930300808996051</v>
      </c>
      <c r="AD17" s="11">
        <v>54.617517740973561</v>
      </c>
      <c r="AE17" s="11">
        <v>55.239292680818281</v>
      </c>
      <c r="AF17" s="11">
        <v>55.885156366827331</v>
      </c>
      <c r="AG17" s="11">
        <v>56.531584635646752</v>
      </c>
      <c r="AH17" s="11">
        <v>57.276618010484867</v>
      </c>
      <c r="AI17" s="11">
        <v>57.954388642017513</v>
      </c>
      <c r="AJ17" s="11">
        <v>58.62719596361071</v>
      </c>
      <c r="AK17" s="11">
        <v>59.328538340947986</v>
      </c>
      <c r="AL17" s="11">
        <v>60.069127651335592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</row>
    <row r="18" spans="12:67" x14ac:dyDescent="0.3">
      <c r="L18" s="232" t="str">
        <f>'Occ T3'!A20</f>
        <v>33 Protective service occupations</v>
      </c>
      <c r="M18" s="11">
        <v>26.213097277063227</v>
      </c>
      <c r="N18" s="11">
        <v>29.742136500500283</v>
      </c>
      <c r="O18" s="11">
        <v>30.258444648770588</v>
      </c>
      <c r="P18" s="11">
        <v>28.2817339868094</v>
      </c>
      <c r="Q18" s="11">
        <v>28.812425216917369</v>
      </c>
      <c r="R18" s="11">
        <v>30.017339672230531</v>
      </c>
      <c r="S18" s="11">
        <v>31.624362941110732</v>
      </c>
      <c r="T18" s="11">
        <v>30.323371152021782</v>
      </c>
      <c r="U18" s="11">
        <v>29.820559789852695</v>
      </c>
      <c r="V18" s="11">
        <v>29.436057957041882</v>
      </c>
      <c r="W18" s="11">
        <v>31.864429233105461</v>
      </c>
      <c r="X18" s="11">
        <v>35.789590195002148</v>
      </c>
      <c r="Y18" s="11">
        <v>36.598116656080769</v>
      </c>
      <c r="Z18" s="11">
        <v>37.444606398539229</v>
      </c>
      <c r="AA18" s="11">
        <v>38.397513819953694</v>
      </c>
      <c r="AB18" s="11">
        <v>39.207054120304214</v>
      </c>
      <c r="AC18" s="11">
        <v>39.954755429326262</v>
      </c>
      <c r="AD18" s="11">
        <v>40.679008142148376</v>
      </c>
      <c r="AE18" s="11">
        <v>41.338040547887353</v>
      </c>
      <c r="AF18" s="11">
        <v>42.130736664992817</v>
      </c>
      <c r="AG18" s="11">
        <v>42.861819162613571</v>
      </c>
      <c r="AH18" s="11">
        <v>43.691136155286536</v>
      </c>
      <c r="AI18" s="11">
        <v>44.469526084541251</v>
      </c>
      <c r="AJ18" s="11">
        <v>45.398212187764884</v>
      </c>
      <c r="AK18" s="11">
        <v>46.153505369766741</v>
      </c>
      <c r="AL18" s="11">
        <v>47.091997779470525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</row>
    <row r="19" spans="12:67" x14ac:dyDescent="0.3">
      <c r="L19" s="232" t="str">
        <f>'Occ T3'!A21</f>
        <v>34 Culture, media and sports occupations</v>
      </c>
      <c r="M19" s="11">
        <v>45.251186994937946</v>
      </c>
      <c r="N19" s="11">
        <v>49.073454337858777</v>
      </c>
      <c r="O19" s="11">
        <v>58.064078271214193</v>
      </c>
      <c r="P19" s="11">
        <v>51.625342797283139</v>
      </c>
      <c r="Q19" s="11">
        <v>61.843981336318834</v>
      </c>
      <c r="R19" s="11">
        <v>61.226797374406303</v>
      </c>
      <c r="S19" s="11">
        <v>69.301754245864402</v>
      </c>
      <c r="T19" s="11">
        <v>65.069822246527067</v>
      </c>
      <c r="U19" s="11">
        <v>62.835335429945395</v>
      </c>
      <c r="V19" s="11">
        <v>60.405627510625095</v>
      </c>
      <c r="W19" s="11">
        <v>72.766048539117293</v>
      </c>
      <c r="X19" s="11">
        <v>67.866212808950465</v>
      </c>
      <c r="Y19" s="11">
        <v>67.269116300111151</v>
      </c>
      <c r="Z19" s="11">
        <v>67.560890703231209</v>
      </c>
      <c r="AA19" s="11">
        <v>68.410813695671493</v>
      </c>
      <c r="AB19" s="11">
        <v>69.154948490125918</v>
      </c>
      <c r="AC19" s="11">
        <v>69.816562357055957</v>
      </c>
      <c r="AD19" s="11">
        <v>70.461257297435793</v>
      </c>
      <c r="AE19" s="11">
        <v>71.094044761115327</v>
      </c>
      <c r="AF19" s="11">
        <v>71.729369325176421</v>
      </c>
      <c r="AG19" s="11">
        <v>72.384358385515981</v>
      </c>
      <c r="AH19" s="11">
        <v>73.18758093961462</v>
      </c>
      <c r="AI19" s="11">
        <v>74.074078489284545</v>
      </c>
      <c r="AJ19" s="11">
        <v>74.754086597530602</v>
      </c>
      <c r="AK19" s="11">
        <v>75.53788929036314</v>
      </c>
      <c r="AL19" s="11">
        <v>76.224056380442065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</row>
    <row r="20" spans="12:67" x14ac:dyDescent="0.3">
      <c r="L20" s="232" t="str">
        <f>'Occ T3'!A22</f>
        <v>35 Business and public service associate professionals</v>
      </c>
      <c r="M20" s="11">
        <v>172.49927920756329</v>
      </c>
      <c r="N20" s="11">
        <v>159.20030061785928</v>
      </c>
      <c r="O20" s="11">
        <v>168.11668687683562</v>
      </c>
      <c r="P20" s="11">
        <v>170.9458133710678</v>
      </c>
      <c r="Q20" s="11">
        <v>179.2297905663583</v>
      </c>
      <c r="R20" s="11">
        <v>182.23852840786006</v>
      </c>
      <c r="S20" s="11">
        <v>183.96812312367643</v>
      </c>
      <c r="T20" s="11">
        <v>193.43501219866997</v>
      </c>
      <c r="U20" s="11">
        <v>192.76440421446824</v>
      </c>
      <c r="V20" s="11">
        <v>195.7045487837191</v>
      </c>
      <c r="W20" s="11">
        <v>201.30044972390519</v>
      </c>
      <c r="X20" s="11">
        <v>189.43646299092555</v>
      </c>
      <c r="Y20" s="11">
        <v>190.74406998655945</v>
      </c>
      <c r="Z20" s="11">
        <v>192.42626035775342</v>
      </c>
      <c r="AA20" s="11">
        <v>194.31261402020291</v>
      </c>
      <c r="AB20" s="11">
        <v>195.65119467189456</v>
      </c>
      <c r="AC20" s="11">
        <v>196.85195726356301</v>
      </c>
      <c r="AD20" s="11">
        <v>197.95118650759031</v>
      </c>
      <c r="AE20" s="11">
        <v>199.00489445292607</v>
      </c>
      <c r="AF20" s="11">
        <v>200.02387957257497</v>
      </c>
      <c r="AG20" s="11">
        <v>201.02984217041634</v>
      </c>
      <c r="AH20" s="11">
        <v>202.08617327793249</v>
      </c>
      <c r="AI20" s="11">
        <v>203.36215859358782</v>
      </c>
      <c r="AJ20" s="11">
        <v>204.62350681158443</v>
      </c>
      <c r="AK20" s="11">
        <v>205.94652930370702</v>
      </c>
      <c r="AL20" s="11">
        <v>207.25099940186306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</row>
    <row r="21" spans="12:67" x14ac:dyDescent="0.3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</row>
    <row r="22" spans="12:67" x14ac:dyDescent="0.3">
      <c r="L22" s="16" t="str">
        <f>'Occ T3'!A24</f>
        <v>Administrative and secretarial occupations</v>
      </c>
      <c r="M22" s="86">
        <f t="shared" ref="M22:P22" si="6">SUM(M23:M24)</f>
        <v>329.16627027846175</v>
      </c>
      <c r="N22" s="86">
        <f t="shared" si="6"/>
        <v>313.39513782678415</v>
      </c>
      <c r="O22" s="86">
        <f t="shared" si="6"/>
        <v>320.32503302744897</v>
      </c>
      <c r="P22" s="86">
        <f t="shared" si="6"/>
        <v>313.30973134343765</v>
      </c>
      <c r="Q22" s="86">
        <f>SUM(Q23:Q24)</f>
        <v>326.67950664694791</v>
      </c>
      <c r="R22" s="86">
        <f t="shared" ref="R22:AL22" si="7">SUM(R23:R24)</f>
        <v>335.25022176360835</v>
      </c>
      <c r="S22" s="86">
        <f t="shared" si="7"/>
        <v>323.91086020599539</v>
      </c>
      <c r="T22" s="86">
        <f t="shared" si="7"/>
        <v>337.03950831976692</v>
      </c>
      <c r="U22" s="86">
        <f t="shared" si="7"/>
        <v>338.05447395958458</v>
      </c>
      <c r="V22" s="86">
        <f t="shared" si="7"/>
        <v>328.08114463886125</v>
      </c>
      <c r="W22" s="86">
        <f t="shared" si="7"/>
        <v>330.71047944005625</v>
      </c>
      <c r="X22" s="86">
        <f t="shared" si="7"/>
        <v>318.94749676296499</v>
      </c>
      <c r="Y22" s="86">
        <f t="shared" si="7"/>
        <v>317.372850283437</v>
      </c>
      <c r="Z22" s="86">
        <f t="shared" si="7"/>
        <v>316.26826188397877</v>
      </c>
      <c r="AA22" s="86">
        <f t="shared" si="7"/>
        <v>315.34042629994099</v>
      </c>
      <c r="AB22" s="86">
        <f t="shared" si="7"/>
        <v>313.02846052458028</v>
      </c>
      <c r="AC22" s="86">
        <f t="shared" si="7"/>
        <v>310.06611080385852</v>
      </c>
      <c r="AD22" s="86">
        <f t="shared" si="7"/>
        <v>306.69504091386898</v>
      </c>
      <c r="AE22" s="86">
        <f t="shared" si="7"/>
        <v>303.94158488571844</v>
      </c>
      <c r="AF22" s="86">
        <f t="shared" si="7"/>
        <v>301.25916677038515</v>
      </c>
      <c r="AG22" s="86">
        <f t="shared" si="7"/>
        <v>298.88774388293837</v>
      </c>
      <c r="AH22" s="86">
        <f t="shared" si="7"/>
        <v>295.91511646923959</v>
      </c>
      <c r="AI22" s="86">
        <f t="shared" si="7"/>
        <v>291.85243874857252</v>
      </c>
      <c r="AJ22" s="86">
        <f t="shared" si="7"/>
        <v>288.25581717771729</v>
      </c>
      <c r="AK22" s="86">
        <f t="shared" si="7"/>
        <v>284.30986483481462</v>
      </c>
      <c r="AL22" s="86">
        <f t="shared" si="7"/>
        <v>280.35480319868844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</row>
    <row r="23" spans="12:67" x14ac:dyDescent="0.3">
      <c r="L23" s="232" t="str">
        <f>'Occ T3'!A25</f>
        <v>41 Administrative occupations</v>
      </c>
      <c r="M23" s="11">
        <v>243.23788298159263</v>
      </c>
      <c r="N23" s="11">
        <v>237.53806700245087</v>
      </c>
      <c r="O23" s="11">
        <v>245.05218906985669</v>
      </c>
      <c r="P23" s="11">
        <v>236.14014811580279</v>
      </c>
      <c r="Q23" s="11">
        <v>246.81191221113789</v>
      </c>
      <c r="R23" s="11">
        <v>259.61010329935812</v>
      </c>
      <c r="S23" s="11">
        <v>251.43295566270999</v>
      </c>
      <c r="T23" s="11">
        <v>262.23934712602193</v>
      </c>
      <c r="U23" s="11">
        <v>259.93632259162723</v>
      </c>
      <c r="V23" s="11">
        <v>256.31375667122313</v>
      </c>
      <c r="W23" s="11">
        <v>261.75573790944139</v>
      </c>
      <c r="X23" s="11">
        <v>242.38730993122846</v>
      </c>
      <c r="Y23" s="11">
        <v>241.92906217931639</v>
      </c>
      <c r="Z23" s="11">
        <v>241.92209429010873</v>
      </c>
      <c r="AA23" s="11">
        <v>242.1356869028036</v>
      </c>
      <c r="AB23" s="11">
        <v>241.46847811395256</v>
      </c>
      <c r="AC23" s="11">
        <v>240.46776058128904</v>
      </c>
      <c r="AD23" s="11">
        <v>239.26671112246243</v>
      </c>
      <c r="AE23" s="11">
        <v>237.93957338212837</v>
      </c>
      <c r="AF23" s="11">
        <v>236.55487726647885</v>
      </c>
      <c r="AG23" s="11">
        <v>235.24521854709209</v>
      </c>
      <c r="AH23" s="11">
        <v>233.84740926544259</v>
      </c>
      <c r="AI23" s="11">
        <v>232.34761112450167</v>
      </c>
      <c r="AJ23" s="11">
        <v>230.89084742006895</v>
      </c>
      <c r="AK23" s="11">
        <v>229.37489359893732</v>
      </c>
      <c r="AL23" s="11">
        <v>227.65142269680504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</row>
    <row r="24" spans="12:67" x14ac:dyDescent="0.3">
      <c r="L24" s="232" t="str">
        <f>'Occ T3'!A26</f>
        <v>42 Secretarial and related occupations</v>
      </c>
      <c r="M24" s="11">
        <v>85.928387296869147</v>
      </c>
      <c r="N24" s="11">
        <v>75.857070824333263</v>
      </c>
      <c r="O24" s="11">
        <v>75.272843957592272</v>
      </c>
      <c r="P24" s="11">
        <v>77.169583227634845</v>
      </c>
      <c r="Q24" s="11">
        <v>79.86759443581002</v>
      </c>
      <c r="R24" s="11">
        <v>75.640118464250264</v>
      </c>
      <c r="S24" s="11">
        <v>72.477904543285391</v>
      </c>
      <c r="T24" s="11">
        <v>74.800161193744984</v>
      </c>
      <c r="U24" s="11">
        <v>78.118151367957353</v>
      </c>
      <c r="V24" s="11">
        <v>71.767387967638115</v>
      </c>
      <c r="W24" s="11">
        <v>68.954741530614868</v>
      </c>
      <c r="X24" s="11">
        <v>76.560186831736559</v>
      </c>
      <c r="Y24" s="11">
        <v>75.4437881041206</v>
      </c>
      <c r="Z24" s="11">
        <v>74.346167593870021</v>
      </c>
      <c r="AA24" s="11">
        <v>73.204739397137402</v>
      </c>
      <c r="AB24" s="11">
        <v>71.559982410627711</v>
      </c>
      <c r="AC24" s="11">
        <v>69.598350222569479</v>
      </c>
      <c r="AD24" s="11">
        <v>67.428329791406526</v>
      </c>
      <c r="AE24" s="11">
        <v>66.002011503590055</v>
      </c>
      <c r="AF24" s="11">
        <v>64.704289503906267</v>
      </c>
      <c r="AG24" s="11">
        <v>63.642525335846244</v>
      </c>
      <c r="AH24" s="11">
        <v>62.067707203796971</v>
      </c>
      <c r="AI24" s="11">
        <v>59.504827624070849</v>
      </c>
      <c r="AJ24" s="11">
        <v>57.364969757648318</v>
      </c>
      <c r="AK24" s="11">
        <v>54.934971235877285</v>
      </c>
      <c r="AL24" s="11">
        <v>52.703380501883423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</row>
    <row r="25" spans="12:67" x14ac:dyDescent="0.3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</row>
    <row r="26" spans="12:67" x14ac:dyDescent="0.3">
      <c r="L26" s="16" t="str">
        <f>'Occ T3'!A28</f>
        <v>Skilled trades occupations</v>
      </c>
      <c r="M26" s="86">
        <f t="shared" ref="M26:P26" si="8">SUM(M27:M30)</f>
        <v>300.68668492656172</v>
      </c>
      <c r="N26" s="86">
        <f t="shared" si="8"/>
        <v>292.9332993536583</v>
      </c>
      <c r="O26" s="86">
        <f t="shared" si="8"/>
        <v>294.47876427387649</v>
      </c>
      <c r="P26" s="86">
        <f t="shared" si="8"/>
        <v>292.01171351275389</v>
      </c>
      <c r="Q26" s="86">
        <f>SUM(Q27:Q30)</f>
        <v>312.82279199925051</v>
      </c>
      <c r="R26" s="86">
        <f t="shared" ref="R26:AL26" si="9">SUM(R27:R30)</f>
        <v>324.93128995317278</v>
      </c>
      <c r="S26" s="86">
        <f t="shared" si="9"/>
        <v>316.09089198830497</v>
      </c>
      <c r="T26" s="86">
        <f t="shared" si="9"/>
        <v>311.43310846280309</v>
      </c>
      <c r="U26" s="86">
        <f>SUM(U27:U30)</f>
        <v>300.93943181924476</v>
      </c>
      <c r="V26" s="86">
        <f t="shared" si="9"/>
        <v>302.30344915223691</v>
      </c>
      <c r="W26" s="86">
        <f t="shared" si="9"/>
        <v>271.46659410623909</v>
      </c>
      <c r="X26" s="86">
        <f t="shared" si="9"/>
        <v>278.51445243843335</v>
      </c>
      <c r="Y26" s="86">
        <f t="shared" si="9"/>
        <v>278.66877552026745</v>
      </c>
      <c r="Z26" s="86">
        <f t="shared" si="9"/>
        <v>280.21575887257927</v>
      </c>
      <c r="AA26" s="86">
        <f t="shared" si="9"/>
        <v>281.66898637060018</v>
      </c>
      <c r="AB26" s="86">
        <f t="shared" si="9"/>
        <v>281.6308378580386</v>
      </c>
      <c r="AC26" s="86">
        <f t="shared" si="9"/>
        <v>281.17489983196998</v>
      </c>
      <c r="AD26" s="86">
        <f t="shared" si="9"/>
        <v>280.58782711918491</v>
      </c>
      <c r="AE26" s="86">
        <f t="shared" si="9"/>
        <v>280.05838832168075</v>
      </c>
      <c r="AF26" s="86">
        <f t="shared" si="9"/>
        <v>279.66318314037022</v>
      </c>
      <c r="AG26" s="86">
        <f t="shared" si="9"/>
        <v>279.34830438850429</v>
      </c>
      <c r="AH26" s="86">
        <f t="shared" si="9"/>
        <v>279.00619285491666</v>
      </c>
      <c r="AI26" s="86">
        <f t="shared" si="9"/>
        <v>278.7080096284858</v>
      </c>
      <c r="AJ26" s="86">
        <f t="shared" si="9"/>
        <v>278.41045627573391</v>
      </c>
      <c r="AK26" s="86">
        <f t="shared" si="9"/>
        <v>278.06305835229745</v>
      </c>
      <c r="AL26" s="86">
        <f t="shared" si="9"/>
        <v>277.64242629963269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</row>
    <row r="27" spans="12:67" x14ac:dyDescent="0.3">
      <c r="L27" s="232" t="str">
        <f>'Occ T3'!A29</f>
        <v>51 Skilled agricultural and related trades</v>
      </c>
      <c r="M27" s="11">
        <v>36.645555881451124</v>
      </c>
      <c r="N27" s="11">
        <v>30.75956724192206</v>
      </c>
      <c r="O27" s="11">
        <v>36.810796515846441</v>
      </c>
      <c r="P27" s="11">
        <v>31.633191445406542</v>
      </c>
      <c r="Q27" s="11">
        <v>38.326341864197431</v>
      </c>
      <c r="R27" s="11">
        <v>39.127265446710197</v>
      </c>
      <c r="S27" s="11">
        <v>42.365264965394232</v>
      </c>
      <c r="T27" s="11">
        <v>31.356307553097373</v>
      </c>
      <c r="U27" s="11">
        <v>33.153373899633557</v>
      </c>
      <c r="V27" s="11">
        <v>41.901491038955442</v>
      </c>
      <c r="W27" s="11">
        <v>27.701459442035809</v>
      </c>
      <c r="X27" s="11">
        <v>27.121324619640699</v>
      </c>
      <c r="Y27" s="11">
        <v>27.545772422431352</v>
      </c>
      <c r="Z27" s="11">
        <v>28.143831205602474</v>
      </c>
      <c r="AA27" s="11">
        <v>28.870938949189192</v>
      </c>
      <c r="AB27" s="11">
        <v>29.4176763322601</v>
      </c>
      <c r="AC27" s="11">
        <v>29.917623449198405</v>
      </c>
      <c r="AD27" s="11">
        <v>30.370899825545237</v>
      </c>
      <c r="AE27" s="11">
        <v>30.833020262108782</v>
      </c>
      <c r="AF27" s="11">
        <v>31.287431162058166</v>
      </c>
      <c r="AG27" s="11">
        <v>31.77700518876814</v>
      </c>
      <c r="AH27" s="11">
        <v>32.27922531380468</v>
      </c>
      <c r="AI27" s="11">
        <v>32.782567165965212</v>
      </c>
      <c r="AJ27" s="11">
        <v>33.282336301416031</v>
      </c>
      <c r="AK27" s="11">
        <v>33.788333909933407</v>
      </c>
      <c r="AL27" s="11">
        <v>34.324848177096435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</row>
    <row r="28" spans="12:67" x14ac:dyDescent="0.3">
      <c r="L28" s="232" t="str">
        <f>'Occ T3'!A30</f>
        <v>52 Skilled metal, electrical and electronic trades</v>
      </c>
      <c r="M28" s="11">
        <v>100.88866202401081</v>
      </c>
      <c r="N28" s="11">
        <v>105.01137710506177</v>
      </c>
      <c r="O28" s="11">
        <v>103.97517494819697</v>
      </c>
      <c r="P28" s="11">
        <v>103.98661154529776</v>
      </c>
      <c r="Q28" s="11">
        <v>112.6118228063946</v>
      </c>
      <c r="R28" s="11">
        <v>118.00540714420841</v>
      </c>
      <c r="S28" s="11">
        <v>116.32177052772347</v>
      </c>
      <c r="T28" s="11">
        <v>111.13273224019909</v>
      </c>
      <c r="U28" s="11">
        <v>111.69760719339703</v>
      </c>
      <c r="V28" s="11">
        <v>114.08729671392925</v>
      </c>
      <c r="W28" s="11">
        <v>100.42539928195286</v>
      </c>
      <c r="X28" s="11">
        <v>102.16156291100289</v>
      </c>
      <c r="Y28" s="11">
        <v>102.31248454966729</v>
      </c>
      <c r="Z28" s="11">
        <v>102.68443376161294</v>
      </c>
      <c r="AA28" s="11">
        <v>103.03726014408333</v>
      </c>
      <c r="AB28" s="11">
        <v>102.88814709808921</v>
      </c>
      <c r="AC28" s="11">
        <v>102.648406929581</v>
      </c>
      <c r="AD28" s="11">
        <v>102.37235436158821</v>
      </c>
      <c r="AE28" s="11">
        <v>102.07884492003006</v>
      </c>
      <c r="AF28" s="11">
        <v>101.73559564911461</v>
      </c>
      <c r="AG28" s="11">
        <v>101.40157400072282</v>
      </c>
      <c r="AH28" s="11">
        <v>101.06862617528439</v>
      </c>
      <c r="AI28" s="11">
        <v>100.77142626376437</v>
      </c>
      <c r="AJ28" s="11">
        <v>100.42471418198889</v>
      </c>
      <c r="AK28" s="11">
        <v>100.06825040881445</v>
      </c>
      <c r="AL28" s="11">
        <v>99.69259873414488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</row>
    <row r="29" spans="12:67" x14ac:dyDescent="0.3">
      <c r="L29" s="232" t="str">
        <f>'Occ T3'!A31</f>
        <v>53 Skilled construction and building trades</v>
      </c>
      <c r="M29" s="11">
        <v>103.3021608050036</v>
      </c>
      <c r="N29" s="11">
        <v>97.40331912715736</v>
      </c>
      <c r="O29" s="11">
        <v>87.164175790494042</v>
      </c>
      <c r="P29" s="11">
        <v>90.744367301404651</v>
      </c>
      <c r="Q29" s="11">
        <v>91.390137647069608</v>
      </c>
      <c r="R29" s="11">
        <v>96.086748078120166</v>
      </c>
      <c r="S29" s="11">
        <v>85.549788232589904</v>
      </c>
      <c r="T29" s="11">
        <v>94.927456374401501</v>
      </c>
      <c r="U29" s="11">
        <v>89.214426113604844</v>
      </c>
      <c r="V29" s="11">
        <v>83.776811334060341</v>
      </c>
      <c r="W29" s="11">
        <v>82.52660532338669</v>
      </c>
      <c r="X29" s="11">
        <v>88.927586208220347</v>
      </c>
      <c r="Y29" s="11">
        <v>88.336631948598921</v>
      </c>
      <c r="Z29" s="11">
        <v>88.575557076983671</v>
      </c>
      <c r="AA29" s="11">
        <v>88.53497809531612</v>
      </c>
      <c r="AB29" s="11">
        <v>87.836132747054634</v>
      </c>
      <c r="AC29" s="11">
        <v>87.059153512212887</v>
      </c>
      <c r="AD29" s="11">
        <v>86.295460611097695</v>
      </c>
      <c r="AE29" s="11">
        <v>85.544818138285095</v>
      </c>
      <c r="AF29" s="11">
        <v>84.835577064015538</v>
      </c>
      <c r="AG29" s="11">
        <v>84.143782568109543</v>
      </c>
      <c r="AH29" s="11">
        <v>83.444425544542199</v>
      </c>
      <c r="AI29" s="11">
        <v>82.729026230319377</v>
      </c>
      <c r="AJ29" s="11">
        <v>81.99119650724279</v>
      </c>
      <c r="AK29" s="11">
        <v>81.221718779110105</v>
      </c>
      <c r="AL29" s="11">
        <v>80.451774167755275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</row>
    <row r="30" spans="12:67" x14ac:dyDescent="0.3">
      <c r="L30" s="232" t="str">
        <f>'Occ T3'!A32</f>
        <v>54 Textiles, printing and other skilled trades</v>
      </c>
      <c r="M30" s="11">
        <v>59.850306216096186</v>
      </c>
      <c r="N30" s="11">
        <v>59.759035879517143</v>
      </c>
      <c r="O30" s="11">
        <v>66.528617019339023</v>
      </c>
      <c r="P30" s="11">
        <v>65.647543220644948</v>
      </c>
      <c r="Q30" s="11">
        <v>70.494489681588874</v>
      </c>
      <c r="R30" s="11">
        <v>71.711869284133982</v>
      </c>
      <c r="S30" s="11">
        <v>71.854068262597337</v>
      </c>
      <c r="T30" s="11">
        <v>74.016612295105105</v>
      </c>
      <c r="U30" s="11">
        <v>66.874024612609361</v>
      </c>
      <c r="V30" s="11">
        <v>62.537850065291892</v>
      </c>
      <c r="W30" s="11">
        <v>60.813130058863692</v>
      </c>
      <c r="X30" s="11">
        <v>60.303978699569434</v>
      </c>
      <c r="Y30" s="11">
        <v>60.47388659956988</v>
      </c>
      <c r="Z30" s="11">
        <v>60.811936828380205</v>
      </c>
      <c r="AA30" s="11">
        <v>61.225809182011524</v>
      </c>
      <c r="AB30" s="11">
        <v>61.48888168063467</v>
      </c>
      <c r="AC30" s="11">
        <v>61.549715940977698</v>
      </c>
      <c r="AD30" s="11">
        <v>61.549112320953725</v>
      </c>
      <c r="AE30" s="11">
        <v>61.601705001256789</v>
      </c>
      <c r="AF30" s="11">
        <v>61.804579265181943</v>
      </c>
      <c r="AG30" s="11">
        <v>62.025942630903771</v>
      </c>
      <c r="AH30" s="11">
        <v>62.213915821285418</v>
      </c>
      <c r="AI30" s="11">
        <v>62.42498996843684</v>
      </c>
      <c r="AJ30" s="11">
        <v>62.712209285086203</v>
      </c>
      <c r="AK30" s="11">
        <v>62.984755254439513</v>
      </c>
      <c r="AL30" s="11">
        <v>63.173205220636099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</row>
    <row r="31" spans="12:67" x14ac:dyDescent="0.3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</row>
    <row r="32" spans="12:67" x14ac:dyDescent="0.3">
      <c r="L32" s="16" t="str">
        <f>'Occ T3'!A34</f>
        <v>Caring, leisure and other service occupations</v>
      </c>
      <c r="M32" s="86">
        <f>SUM(M33:M35)</f>
        <v>253.92228385289894</v>
      </c>
      <c r="N32" s="86">
        <f t="shared" ref="N32:AL32" si="10">SUM(N33:N35)</f>
        <v>250.12113219406359</v>
      </c>
      <c r="O32" s="86">
        <f t="shared" si="10"/>
        <v>258.64373542174059</v>
      </c>
      <c r="P32" s="86">
        <f t="shared" si="10"/>
        <v>262.14437975093011</v>
      </c>
      <c r="Q32" s="86">
        <f t="shared" si="10"/>
        <v>276.92576456847286</v>
      </c>
      <c r="R32" s="86">
        <f t="shared" si="10"/>
        <v>280.87834355941607</v>
      </c>
      <c r="S32" s="86">
        <f t="shared" si="10"/>
        <v>298.84960334218056</v>
      </c>
      <c r="T32" s="86">
        <f t="shared" si="10"/>
        <v>300.04814292469035</v>
      </c>
      <c r="U32" s="86">
        <f t="shared" si="10"/>
        <v>292.36431546839583</v>
      </c>
      <c r="V32" s="86">
        <f t="shared" si="10"/>
        <v>306.71652415145797</v>
      </c>
      <c r="W32" s="86">
        <f t="shared" si="10"/>
        <v>299.51227939645844</v>
      </c>
      <c r="X32" s="86">
        <f t="shared" si="10"/>
        <v>307.67882550787306</v>
      </c>
      <c r="Y32" s="86">
        <f t="shared" si="10"/>
        <v>310.35306546976216</v>
      </c>
      <c r="Z32" s="86">
        <f t="shared" si="10"/>
        <v>313.73673222252978</v>
      </c>
      <c r="AA32" s="86">
        <f t="shared" si="10"/>
        <v>317.60648877801884</v>
      </c>
      <c r="AB32" s="86">
        <f t="shared" si="10"/>
        <v>320.87259399162235</v>
      </c>
      <c r="AC32" s="86">
        <f t="shared" si="10"/>
        <v>324.08281498994978</v>
      </c>
      <c r="AD32" s="86">
        <f t="shared" si="10"/>
        <v>327.24606526555834</v>
      </c>
      <c r="AE32" s="86">
        <f t="shared" si="10"/>
        <v>330.08899458830194</v>
      </c>
      <c r="AF32" s="86">
        <f t="shared" si="10"/>
        <v>333.05349589493733</v>
      </c>
      <c r="AG32" s="86">
        <f t="shared" si="10"/>
        <v>336.10957595088922</v>
      </c>
      <c r="AH32" s="86">
        <f t="shared" si="10"/>
        <v>339.26748431634803</v>
      </c>
      <c r="AI32" s="86">
        <f t="shared" si="10"/>
        <v>342.69175728577727</v>
      </c>
      <c r="AJ32" s="86">
        <f t="shared" si="10"/>
        <v>346.15615016527181</v>
      </c>
      <c r="AK32" s="86">
        <f t="shared" si="10"/>
        <v>349.72492477006853</v>
      </c>
      <c r="AL32" s="86">
        <f t="shared" si="10"/>
        <v>353.502009295888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</row>
    <row r="33" spans="12:67" x14ac:dyDescent="0.3">
      <c r="L33" s="232" t="str">
        <f>'Occ T3'!A35</f>
        <v>61 Caring personal service occupations</v>
      </c>
      <c r="M33" s="11">
        <v>185.9491389919589</v>
      </c>
      <c r="N33" s="11">
        <v>183.4760545864232</v>
      </c>
      <c r="O33" s="11">
        <v>188.94711184478595</v>
      </c>
      <c r="P33" s="11">
        <v>197.12081548261088</v>
      </c>
      <c r="Q33" s="11">
        <v>210.7470413889825</v>
      </c>
      <c r="R33" s="11">
        <v>211.95390549156167</v>
      </c>
      <c r="S33" s="11">
        <v>225.81743381001624</v>
      </c>
      <c r="T33" s="11">
        <v>227.38172716331241</v>
      </c>
      <c r="U33" s="11">
        <v>221.69106669226289</v>
      </c>
      <c r="V33" s="11">
        <v>231.55935715723243</v>
      </c>
      <c r="W33" s="11">
        <v>223.65609032128737</v>
      </c>
      <c r="X33" s="11">
        <v>232.3495002222397</v>
      </c>
      <c r="Y33" s="11">
        <v>234.58087979203174</v>
      </c>
      <c r="Z33" s="11">
        <v>237.50931605379148</v>
      </c>
      <c r="AA33" s="11">
        <v>240.82544152570026</v>
      </c>
      <c r="AB33" s="11">
        <v>243.80561243809041</v>
      </c>
      <c r="AC33" s="11">
        <v>246.7987522016254</v>
      </c>
      <c r="AD33" s="11">
        <v>249.78059637076689</v>
      </c>
      <c r="AE33" s="11">
        <v>252.47828828358683</v>
      </c>
      <c r="AF33" s="11">
        <v>255.26882864574216</v>
      </c>
      <c r="AG33" s="11">
        <v>258.14152898158562</v>
      </c>
      <c r="AH33" s="11">
        <v>261.08782347754413</v>
      </c>
      <c r="AI33" s="11">
        <v>264.28977023532866</v>
      </c>
      <c r="AJ33" s="11">
        <v>267.5916187194822</v>
      </c>
      <c r="AK33" s="11">
        <v>271.03358832977062</v>
      </c>
      <c r="AL33" s="11">
        <v>274.63381510722382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</row>
    <row r="34" spans="12:67" x14ac:dyDescent="0.3">
      <c r="L34" s="232" t="str">
        <f>'Occ T3'!A36</f>
        <v>62 Leisure, travel and related personal service occupations</v>
      </c>
      <c r="M34" s="11">
        <v>63.565799691288063</v>
      </c>
      <c r="N34" s="11">
        <v>63.409476082439959</v>
      </c>
      <c r="O34" s="11">
        <v>66.649270497505995</v>
      </c>
      <c r="P34" s="11">
        <v>62.242941756175576</v>
      </c>
      <c r="Q34" s="11">
        <v>62.955017832991857</v>
      </c>
      <c r="R34" s="11">
        <v>65.78241893690182</v>
      </c>
      <c r="S34" s="11">
        <v>70.37680648792707</v>
      </c>
      <c r="T34" s="11">
        <v>69.921379094451893</v>
      </c>
      <c r="U34" s="11">
        <v>67.718761033716561</v>
      </c>
      <c r="V34" s="11">
        <v>72.529447377612058</v>
      </c>
      <c r="W34" s="11">
        <v>72.441128106543133</v>
      </c>
      <c r="X34" s="11">
        <v>72.714840810547955</v>
      </c>
      <c r="Y34" s="11">
        <v>73.1222538458115</v>
      </c>
      <c r="Z34" s="11">
        <v>73.540779727316405</v>
      </c>
      <c r="AA34" s="11">
        <v>74.052081937856713</v>
      </c>
      <c r="AB34" s="11">
        <v>74.304059156522669</v>
      </c>
      <c r="AC34" s="11">
        <v>74.494103248745034</v>
      </c>
      <c r="AD34" s="11">
        <v>74.649901209570686</v>
      </c>
      <c r="AE34" s="11">
        <v>74.77444075765068</v>
      </c>
      <c r="AF34" s="11">
        <v>74.918448800434518</v>
      </c>
      <c r="AG34" s="11">
        <v>75.079107172500215</v>
      </c>
      <c r="AH34" s="11">
        <v>75.265913499079446</v>
      </c>
      <c r="AI34" s="11">
        <v>75.468571280294825</v>
      </c>
      <c r="AJ34" s="11">
        <v>75.601305762983955</v>
      </c>
      <c r="AK34" s="11">
        <v>75.709675881509853</v>
      </c>
      <c r="AL34" s="11">
        <v>75.857817785706203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</row>
    <row r="35" spans="12:67" x14ac:dyDescent="0.3">
      <c r="L35" s="232" t="str">
        <f>'Occ T3'!A37</f>
        <v>63 Community and civil enforcement occupations</v>
      </c>
      <c r="M35" s="11">
        <v>4.4073451696519914</v>
      </c>
      <c r="N35" s="11">
        <v>3.2356015252004138</v>
      </c>
      <c r="O35" s="11">
        <v>3.0473530794486612</v>
      </c>
      <c r="P35" s="11">
        <v>2.7806225121437014</v>
      </c>
      <c r="Q35" s="11">
        <v>3.2237053464984866</v>
      </c>
      <c r="R35" s="11">
        <v>3.1420191309526011</v>
      </c>
      <c r="S35" s="11">
        <v>2.6553630442372023</v>
      </c>
      <c r="T35" s="11">
        <v>2.7450366669260542</v>
      </c>
      <c r="U35" s="11">
        <v>2.9544877424164273</v>
      </c>
      <c r="V35" s="11">
        <v>2.6277196166134713</v>
      </c>
      <c r="W35" s="11">
        <v>3.4150609686279489</v>
      </c>
      <c r="X35" s="11">
        <v>2.6144844750854239</v>
      </c>
      <c r="Y35" s="11">
        <v>2.6499318319189484</v>
      </c>
      <c r="Z35" s="11">
        <v>2.6866364414219093</v>
      </c>
      <c r="AA35" s="11">
        <v>2.7289653144619237</v>
      </c>
      <c r="AB35" s="11">
        <v>2.7629223970092531</v>
      </c>
      <c r="AC35" s="11">
        <v>2.7899595395793444</v>
      </c>
      <c r="AD35" s="11">
        <v>2.815567685220755</v>
      </c>
      <c r="AE35" s="11">
        <v>2.836265547064464</v>
      </c>
      <c r="AF35" s="11">
        <v>2.866218448760637</v>
      </c>
      <c r="AG35" s="11">
        <v>2.8889397968033972</v>
      </c>
      <c r="AH35" s="11">
        <v>2.9137473397244507</v>
      </c>
      <c r="AI35" s="11">
        <v>2.9334157701537946</v>
      </c>
      <c r="AJ35" s="11">
        <v>2.9632256828056458</v>
      </c>
      <c r="AK35" s="11">
        <v>2.9816605587880667</v>
      </c>
      <c r="AL35" s="11">
        <v>3.0103764029579554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</row>
    <row r="36" spans="12:67" x14ac:dyDescent="0.3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</row>
    <row r="37" spans="12:67" x14ac:dyDescent="0.3">
      <c r="L37" s="16" t="str">
        <f>'Occ T3'!A39</f>
        <v>Sales and customer service occupations</v>
      </c>
      <c r="M37" s="86">
        <f t="shared" ref="M37:P37" si="11">SUM(M38:M39)</f>
        <v>250.55751462516997</v>
      </c>
      <c r="N37" s="86">
        <f t="shared" si="11"/>
        <v>265.06196934061961</v>
      </c>
      <c r="O37" s="86">
        <f t="shared" si="11"/>
        <v>266.93075420896548</v>
      </c>
      <c r="P37" s="86">
        <f t="shared" si="11"/>
        <v>260.31426284930853</v>
      </c>
      <c r="Q37" s="86">
        <f>SUM(Q38:Q39)</f>
        <v>259.59145817693206</v>
      </c>
      <c r="R37" s="86">
        <f t="shared" ref="R37:AL37" si="12">SUM(R38:R39)</f>
        <v>266.38974781856729</v>
      </c>
      <c r="S37" s="86">
        <f t="shared" si="12"/>
        <v>261.19471604088403</v>
      </c>
      <c r="T37" s="86">
        <f t="shared" si="12"/>
        <v>258.28378857622499</v>
      </c>
      <c r="U37" s="86">
        <f t="shared" si="12"/>
        <v>263.6303412009799</v>
      </c>
      <c r="V37" s="86">
        <f t="shared" si="12"/>
        <v>246.22830152310058</v>
      </c>
      <c r="W37" s="86">
        <f t="shared" si="12"/>
        <v>244.55606769223141</v>
      </c>
      <c r="X37" s="86">
        <f t="shared" si="12"/>
        <v>242.45645359172906</v>
      </c>
      <c r="Y37" s="86">
        <f t="shared" si="12"/>
        <v>243.04904695857451</v>
      </c>
      <c r="Z37" s="86">
        <f t="shared" si="12"/>
        <v>243.90685942990419</v>
      </c>
      <c r="AA37" s="86">
        <f t="shared" si="12"/>
        <v>245.00700658829507</v>
      </c>
      <c r="AB37" s="86">
        <f t="shared" si="12"/>
        <v>245.44670382685663</v>
      </c>
      <c r="AC37" s="86">
        <f t="shared" si="12"/>
        <v>245.64261414426323</v>
      </c>
      <c r="AD37" s="86">
        <f t="shared" si="12"/>
        <v>245.58544463980522</v>
      </c>
      <c r="AE37" s="86">
        <f t="shared" si="12"/>
        <v>245.50002094454618</v>
      </c>
      <c r="AF37" s="86">
        <f t="shared" si="12"/>
        <v>245.43477139548182</v>
      </c>
      <c r="AG37" s="86">
        <f t="shared" si="12"/>
        <v>245.57070897264586</v>
      </c>
      <c r="AH37" s="86">
        <f t="shared" si="12"/>
        <v>245.51441704857695</v>
      </c>
      <c r="AI37" s="86">
        <f t="shared" si="12"/>
        <v>245.68995650954918</v>
      </c>
      <c r="AJ37" s="86">
        <f t="shared" si="12"/>
        <v>245.74865218914778</v>
      </c>
      <c r="AK37" s="86">
        <f t="shared" si="12"/>
        <v>245.76179099908771</v>
      </c>
      <c r="AL37" s="86">
        <f t="shared" si="12"/>
        <v>245.81255793965613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</row>
    <row r="38" spans="12:67" x14ac:dyDescent="0.3">
      <c r="L38" s="232" t="str">
        <f>'Occ T3'!A40</f>
        <v>71 Sales occupations</v>
      </c>
      <c r="M38" s="11">
        <v>208.3439842463408</v>
      </c>
      <c r="N38" s="11">
        <v>224.72727150333941</v>
      </c>
      <c r="O38" s="11">
        <v>224.82396727419535</v>
      </c>
      <c r="P38" s="11">
        <v>218.80818104065028</v>
      </c>
      <c r="Q38" s="11">
        <v>219.41571724717684</v>
      </c>
      <c r="R38" s="11">
        <v>221.41596432763646</v>
      </c>
      <c r="S38" s="11">
        <v>216.91116167107452</v>
      </c>
      <c r="T38" s="11">
        <v>209.5361331725087</v>
      </c>
      <c r="U38" s="11">
        <v>212.88425973306781</v>
      </c>
      <c r="V38" s="11">
        <v>197.09489473335719</v>
      </c>
      <c r="W38" s="11">
        <v>194.6954129401295</v>
      </c>
      <c r="X38" s="11">
        <v>182.72404645992648</v>
      </c>
      <c r="Y38" s="11">
        <v>182.37875663530184</v>
      </c>
      <c r="Z38" s="11">
        <v>182.14584186129048</v>
      </c>
      <c r="AA38" s="11">
        <v>182.09342742656685</v>
      </c>
      <c r="AB38" s="11">
        <v>181.54863951453635</v>
      </c>
      <c r="AC38" s="11">
        <v>180.80112831176118</v>
      </c>
      <c r="AD38" s="11">
        <v>179.82639854706338</v>
      </c>
      <c r="AE38" s="11">
        <v>178.80968844391057</v>
      </c>
      <c r="AF38" s="11">
        <v>177.78654329546038</v>
      </c>
      <c r="AG38" s="11">
        <v>176.96095222001267</v>
      </c>
      <c r="AH38" s="11">
        <v>175.92483287228663</v>
      </c>
      <c r="AI38" s="11">
        <v>175.1145213307677</v>
      </c>
      <c r="AJ38" s="11">
        <v>174.17204347953356</v>
      </c>
      <c r="AK38" s="11">
        <v>173.14884693277915</v>
      </c>
      <c r="AL38" s="11">
        <v>172.17020547805873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</row>
    <row r="39" spans="12:67" x14ac:dyDescent="0.3">
      <c r="L39" s="232" t="str">
        <f>'Occ T3'!A41</f>
        <v>72 Customer service occupations</v>
      </c>
      <c r="M39" s="11">
        <v>42.213530378829169</v>
      </c>
      <c r="N39" s="11">
        <v>40.334697837280217</v>
      </c>
      <c r="O39" s="11">
        <v>42.106786934770135</v>
      </c>
      <c r="P39" s="11">
        <v>41.506081808658244</v>
      </c>
      <c r="Q39" s="11">
        <v>40.1757409297552</v>
      </c>
      <c r="R39" s="11">
        <v>44.973783490930849</v>
      </c>
      <c r="S39" s="11">
        <v>44.283554369809529</v>
      </c>
      <c r="T39" s="11">
        <v>48.747655403716323</v>
      </c>
      <c r="U39" s="11">
        <v>50.746081467912099</v>
      </c>
      <c r="V39" s="11">
        <v>49.133406789743383</v>
      </c>
      <c r="W39" s="11">
        <v>49.860654752101922</v>
      </c>
      <c r="X39" s="11">
        <v>59.732407131802567</v>
      </c>
      <c r="Y39" s="11">
        <v>60.67029032327266</v>
      </c>
      <c r="Z39" s="11">
        <v>61.76101756861371</v>
      </c>
      <c r="AA39" s="11">
        <v>62.913579161728215</v>
      </c>
      <c r="AB39" s="11">
        <v>63.89806431232028</v>
      </c>
      <c r="AC39" s="11">
        <v>64.841485832502045</v>
      </c>
      <c r="AD39" s="11">
        <v>65.759046092741841</v>
      </c>
      <c r="AE39" s="11">
        <v>66.690332500635591</v>
      </c>
      <c r="AF39" s="11">
        <v>67.648228100021441</v>
      </c>
      <c r="AG39" s="11">
        <v>68.609756752633189</v>
      </c>
      <c r="AH39" s="11">
        <v>69.589584176290316</v>
      </c>
      <c r="AI39" s="11">
        <v>70.57543517878149</v>
      </c>
      <c r="AJ39" s="11">
        <v>71.57660870961422</v>
      </c>
      <c r="AK39" s="11">
        <v>72.612944066308557</v>
      </c>
      <c r="AL39" s="11">
        <v>73.642352461597412</v>
      </c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</row>
    <row r="40" spans="12:67" x14ac:dyDescent="0.3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</row>
    <row r="41" spans="12:67" x14ac:dyDescent="0.3">
      <c r="L41" s="16" t="str">
        <f>'Occ T3'!A43</f>
        <v>Process, plant and machine operatives</v>
      </c>
      <c r="M41" s="86">
        <f t="shared" ref="M41:P41" si="13">SUM(M42:M43)</f>
        <v>182.75101779437341</v>
      </c>
      <c r="N41" s="86">
        <f t="shared" si="13"/>
        <v>183.22119198543584</v>
      </c>
      <c r="O41" s="86">
        <f t="shared" si="13"/>
        <v>179.45551767007439</v>
      </c>
      <c r="P41" s="86">
        <f t="shared" si="13"/>
        <v>181.95147222173642</v>
      </c>
      <c r="Q41" s="86">
        <f>SUM(Q42:Q43)</f>
        <v>187.60221798268481</v>
      </c>
      <c r="R41" s="86">
        <f t="shared" ref="R41:AL41" si="14">SUM(R42:R43)</f>
        <v>190.77811978340014</v>
      </c>
      <c r="S41" s="86">
        <f t="shared" si="14"/>
        <v>200.92986394572188</v>
      </c>
      <c r="T41" s="86">
        <f t="shared" si="14"/>
        <v>200.79364265016818</v>
      </c>
      <c r="U41" s="86">
        <f t="shared" si="14"/>
        <v>211.01225099341491</v>
      </c>
      <c r="V41" s="86">
        <f t="shared" si="14"/>
        <v>205.13065322486889</v>
      </c>
      <c r="W41" s="86">
        <f t="shared" si="14"/>
        <v>181.61620255244659</v>
      </c>
      <c r="X41" s="86">
        <f t="shared" si="14"/>
        <v>205.31945073938351</v>
      </c>
      <c r="Y41" s="86">
        <f t="shared" si="14"/>
        <v>206.77568859673281</v>
      </c>
      <c r="Z41" s="86">
        <f t="shared" si="14"/>
        <v>208.54605946624224</v>
      </c>
      <c r="AA41" s="86">
        <f t="shared" si="14"/>
        <v>210.21953493379874</v>
      </c>
      <c r="AB41" s="86">
        <f t="shared" si="14"/>
        <v>211.05423461850737</v>
      </c>
      <c r="AC41" s="86">
        <f t="shared" si="14"/>
        <v>211.53104337310282</v>
      </c>
      <c r="AD41" s="86">
        <f t="shared" si="14"/>
        <v>211.93310095459989</v>
      </c>
      <c r="AE41" s="86">
        <f t="shared" si="14"/>
        <v>212.40057381432325</v>
      </c>
      <c r="AF41" s="86">
        <f t="shared" si="14"/>
        <v>212.78346391810811</v>
      </c>
      <c r="AG41" s="86">
        <f t="shared" si="14"/>
        <v>213.13994886253033</v>
      </c>
      <c r="AH41" s="86">
        <f t="shared" si="14"/>
        <v>213.53014137257378</v>
      </c>
      <c r="AI41" s="86">
        <f t="shared" si="14"/>
        <v>213.84913023361852</v>
      </c>
      <c r="AJ41" s="86">
        <f t="shared" si="14"/>
        <v>214.2051331538222</v>
      </c>
      <c r="AK41" s="86">
        <f t="shared" si="14"/>
        <v>214.44241810980787</v>
      </c>
      <c r="AL41" s="86">
        <f t="shared" si="14"/>
        <v>214.64661526835857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</row>
    <row r="42" spans="12:67" x14ac:dyDescent="0.3">
      <c r="L42" s="232" t="str">
        <f>'Occ T3'!A44</f>
        <v>81 Process, plant and machine operatives</v>
      </c>
      <c r="M42" s="11">
        <v>72.116120971776411</v>
      </c>
      <c r="N42" s="11">
        <v>70.624637665525114</v>
      </c>
      <c r="O42" s="11">
        <v>71.701730534143493</v>
      </c>
      <c r="P42" s="11">
        <v>71.863725383008273</v>
      </c>
      <c r="Q42" s="11">
        <v>76.764635847305712</v>
      </c>
      <c r="R42" s="11">
        <v>77.455594000314903</v>
      </c>
      <c r="S42" s="11">
        <v>74.407285790925386</v>
      </c>
      <c r="T42" s="11">
        <v>81.153188959620024</v>
      </c>
      <c r="U42" s="11">
        <v>80.507176831128334</v>
      </c>
      <c r="V42" s="11">
        <v>74.82179228140339</v>
      </c>
      <c r="W42" s="11">
        <v>66.18299631124377</v>
      </c>
      <c r="X42" s="11">
        <v>80.130825975386827</v>
      </c>
      <c r="Y42" s="11">
        <v>80.651230851833631</v>
      </c>
      <c r="Z42" s="11">
        <v>81.41310752012096</v>
      </c>
      <c r="AA42" s="11">
        <v>82.092554490989173</v>
      </c>
      <c r="AB42" s="11">
        <v>82.419825636016697</v>
      </c>
      <c r="AC42" s="11">
        <v>82.526048150149293</v>
      </c>
      <c r="AD42" s="11">
        <v>82.588972652735663</v>
      </c>
      <c r="AE42" s="11">
        <v>82.642253028528501</v>
      </c>
      <c r="AF42" s="11">
        <v>82.663019742516028</v>
      </c>
      <c r="AG42" s="11">
        <v>82.654144029149734</v>
      </c>
      <c r="AH42" s="11">
        <v>82.633253245312304</v>
      </c>
      <c r="AI42" s="11">
        <v>82.560380030004808</v>
      </c>
      <c r="AJ42" s="11">
        <v>82.504542190870538</v>
      </c>
      <c r="AK42" s="11">
        <v>82.318856543177205</v>
      </c>
      <c r="AL42" s="11">
        <v>82.126425762765933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</row>
    <row r="43" spans="12:67" x14ac:dyDescent="0.3">
      <c r="L43" s="232" t="str">
        <f>'Occ T3'!A45</f>
        <v>82 Transport and mobile machine drivers and operatives</v>
      </c>
      <c r="M43" s="11">
        <v>110.63489682259701</v>
      </c>
      <c r="N43" s="11">
        <v>112.59655431991072</v>
      </c>
      <c r="O43" s="11">
        <v>107.75378713593089</v>
      </c>
      <c r="P43" s="11">
        <v>110.08774683872814</v>
      </c>
      <c r="Q43" s="11">
        <v>110.83758213537909</v>
      </c>
      <c r="R43" s="11">
        <v>113.32252578308525</v>
      </c>
      <c r="S43" s="11">
        <v>126.52257815479651</v>
      </c>
      <c r="T43" s="11">
        <v>119.64045369054817</v>
      </c>
      <c r="U43" s="11">
        <v>130.50507416228658</v>
      </c>
      <c r="V43" s="11">
        <v>130.3088609434655</v>
      </c>
      <c r="W43" s="11">
        <v>115.43320624120283</v>
      </c>
      <c r="X43" s="11">
        <v>125.1886247639967</v>
      </c>
      <c r="Y43" s="11">
        <v>126.12445774489917</v>
      </c>
      <c r="Z43" s="11">
        <v>127.13295194612127</v>
      </c>
      <c r="AA43" s="11">
        <v>128.12698044280958</v>
      </c>
      <c r="AB43" s="11">
        <v>128.63440898249067</v>
      </c>
      <c r="AC43" s="11">
        <v>129.00499522295351</v>
      </c>
      <c r="AD43" s="11">
        <v>129.34412830186423</v>
      </c>
      <c r="AE43" s="11">
        <v>129.75832078579475</v>
      </c>
      <c r="AF43" s="11">
        <v>130.1204441755921</v>
      </c>
      <c r="AG43" s="11">
        <v>130.4858048333806</v>
      </c>
      <c r="AH43" s="11">
        <v>130.89688812726146</v>
      </c>
      <c r="AI43" s="11">
        <v>131.28875020361372</v>
      </c>
      <c r="AJ43" s="11">
        <v>131.70059096295165</v>
      </c>
      <c r="AK43" s="11">
        <v>132.12356156663066</v>
      </c>
      <c r="AL43" s="11">
        <v>132.52018950559264</v>
      </c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</row>
    <row r="44" spans="12:67" x14ac:dyDescent="0.3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</row>
    <row r="45" spans="12:67" x14ac:dyDescent="0.3">
      <c r="L45" s="16" t="str">
        <f>'Occ T3'!A47</f>
        <v>Elementary occupations</v>
      </c>
      <c r="M45" s="86">
        <f t="shared" ref="M45:P45" si="15">SUM(M46:M47)</f>
        <v>362.07344401508533</v>
      </c>
      <c r="N45" s="86">
        <f t="shared" si="15"/>
        <v>341.32267614060697</v>
      </c>
      <c r="O45" s="86">
        <f t="shared" si="15"/>
        <v>349.14331964300453</v>
      </c>
      <c r="P45" s="86">
        <f t="shared" si="15"/>
        <v>349.67222674298074</v>
      </c>
      <c r="Q45" s="86">
        <f>SUM(Q46:Q47)</f>
        <v>380.04138099450631</v>
      </c>
      <c r="R45" s="86">
        <f t="shared" ref="R45:AL45" si="16">SUM(R46:R47)</f>
        <v>384.95628025779229</v>
      </c>
      <c r="S45" s="86">
        <f t="shared" si="16"/>
        <v>377.13606579732692</v>
      </c>
      <c r="T45" s="86">
        <f t="shared" si="16"/>
        <v>371.48693001454114</v>
      </c>
      <c r="U45" s="86">
        <f t="shared" si="16"/>
        <v>383.98651508280216</v>
      </c>
      <c r="V45" s="86">
        <f t="shared" si="16"/>
        <v>382.26703120470302</v>
      </c>
      <c r="W45" s="86">
        <f t="shared" si="16"/>
        <v>351.75102026181492</v>
      </c>
      <c r="X45" s="86">
        <f t="shared" si="16"/>
        <v>354.03279725347943</v>
      </c>
      <c r="Y45" s="86">
        <f t="shared" si="16"/>
        <v>353.96381823664512</v>
      </c>
      <c r="Z45" s="86">
        <f t="shared" si="16"/>
        <v>354.1465382816092</v>
      </c>
      <c r="AA45" s="86">
        <f t="shared" si="16"/>
        <v>354.60799786434171</v>
      </c>
      <c r="AB45" s="86">
        <f t="shared" si="16"/>
        <v>353.90382064466087</v>
      </c>
      <c r="AC45" s="86">
        <f t="shared" si="16"/>
        <v>352.94491865262319</v>
      </c>
      <c r="AD45" s="86">
        <f t="shared" si="16"/>
        <v>351.73660821598111</v>
      </c>
      <c r="AE45" s="86">
        <f t="shared" si="16"/>
        <v>350.37236105616836</v>
      </c>
      <c r="AF45" s="86">
        <f t="shared" si="16"/>
        <v>349.01149541687317</v>
      </c>
      <c r="AG45" s="86">
        <f t="shared" si="16"/>
        <v>347.6151914225581</v>
      </c>
      <c r="AH45" s="86">
        <f t="shared" si="16"/>
        <v>346.17321452058445</v>
      </c>
      <c r="AI45" s="86">
        <f t="shared" si="16"/>
        <v>344.62852959131271</v>
      </c>
      <c r="AJ45" s="86">
        <f t="shared" si="16"/>
        <v>343.09181457079745</v>
      </c>
      <c r="AK45" s="86">
        <f t="shared" si="16"/>
        <v>341.56376099201697</v>
      </c>
      <c r="AL45" s="86">
        <f t="shared" si="16"/>
        <v>339.93296615165656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</row>
    <row r="46" spans="12:67" x14ac:dyDescent="0.3">
      <c r="L46" s="232" t="str">
        <f>'Occ T3'!A48</f>
        <v>91 Elementary trades and related occupations</v>
      </c>
      <c r="M46" s="11">
        <v>51.80979935097222</v>
      </c>
      <c r="N46" s="11">
        <v>50.798890516264699</v>
      </c>
      <c r="O46" s="11">
        <v>49.844374701502936</v>
      </c>
      <c r="P46" s="11">
        <v>48.289342138981297</v>
      </c>
      <c r="Q46" s="11">
        <v>54.059465181063963</v>
      </c>
      <c r="R46" s="11">
        <v>54.899703673527384</v>
      </c>
      <c r="S46" s="11">
        <v>54.071575291494689</v>
      </c>
      <c r="T46" s="11">
        <v>53.541889335697483</v>
      </c>
      <c r="U46" s="11">
        <v>53.258521972787925</v>
      </c>
      <c r="V46" s="11">
        <v>48.60471321310925</v>
      </c>
      <c r="W46" s="11">
        <v>43.984729492292018</v>
      </c>
      <c r="X46" s="11">
        <v>37.78898337363966</v>
      </c>
      <c r="Y46" s="11">
        <v>37.817045144828846</v>
      </c>
      <c r="Z46" s="11">
        <v>38.024451311102304</v>
      </c>
      <c r="AA46" s="11">
        <v>38.205570341587112</v>
      </c>
      <c r="AB46" s="11">
        <v>38.173991641678363</v>
      </c>
      <c r="AC46" s="11">
        <v>38.151784044234105</v>
      </c>
      <c r="AD46" s="11">
        <v>38.102181621533781</v>
      </c>
      <c r="AE46" s="11">
        <v>38.099340465154413</v>
      </c>
      <c r="AF46" s="11">
        <v>38.104011877926766</v>
      </c>
      <c r="AG46" s="11">
        <v>38.112164474687553</v>
      </c>
      <c r="AH46" s="11">
        <v>38.132169967090668</v>
      </c>
      <c r="AI46" s="11">
        <v>38.156823388062371</v>
      </c>
      <c r="AJ46" s="11">
        <v>38.1676024380249</v>
      </c>
      <c r="AK46" s="11">
        <v>38.172859013216417</v>
      </c>
      <c r="AL46" s="11">
        <v>38.185707998463144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</row>
    <row r="47" spans="12:67" x14ac:dyDescent="0.3">
      <c r="L47" s="232" t="str">
        <f>'Occ T3'!A49</f>
        <v>92 Elementary administration and service occupations</v>
      </c>
      <c r="M47" s="11">
        <v>310.26364466411309</v>
      </c>
      <c r="N47" s="11">
        <v>290.52378562434228</v>
      </c>
      <c r="O47" s="11">
        <v>299.29894494150159</v>
      </c>
      <c r="P47" s="11">
        <v>301.38288460399946</v>
      </c>
      <c r="Q47" s="11">
        <v>325.98191581344236</v>
      </c>
      <c r="R47" s="11">
        <v>330.05657658426492</v>
      </c>
      <c r="S47" s="11">
        <v>323.06449050583223</v>
      </c>
      <c r="T47" s="11">
        <v>317.94504067884367</v>
      </c>
      <c r="U47" s="11">
        <v>330.72799311001421</v>
      </c>
      <c r="V47" s="11">
        <v>333.66231799159374</v>
      </c>
      <c r="W47" s="11">
        <v>307.76629076952287</v>
      </c>
      <c r="X47" s="11">
        <v>316.24381387983976</v>
      </c>
      <c r="Y47" s="11">
        <v>316.14677309181627</v>
      </c>
      <c r="Z47" s="11">
        <v>316.12208697050687</v>
      </c>
      <c r="AA47" s="11">
        <v>316.40242752275458</v>
      </c>
      <c r="AB47" s="11">
        <v>315.72982900298251</v>
      </c>
      <c r="AC47" s="11">
        <v>314.7931346083891</v>
      </c>
      <c r="AD47" s="11">
        <v>313.63442659444735</v>
      </c>
      <c r="AE47" s="11">
        <v>312.27302059101396</v>
      </c>
      <c r="AF47" s="11">
        <v>310.90748353894639</v>
      </c>
      <c r="AG47" s="11">
        <v>309.50302694787052</v>
      </c>
      <c r="AH47" s="11">
        <v>308.0410445534938</v>
      </c>
      <c r="AI47" s="11">
        <v>306.47170620325033</v>
      </c>
      <c r="AJ47" s="11">
        <v>304.92421213277254</v>
      </c>
      <c r="AK47" s="11">
        <v>303.39090197880057</v>
      </c>
      <c r="AL47" s="11">
        <v>301.7472581531934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</row>
    <row r="48" spans="12:67" x14ac:dyDescent="0.3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</row>
    <row r="49" spans="1:57" x14ac:dyDescent="0.3">
      <c r="L49" s="16" t="str">
        <f>'Occ T3'!A51</f>
        <v>All occupations</v>
      </c>
      <c r="M49" s="86">
        <f>SUM(M5,M9,M15,M22,M26,M32,M37,M41,M45)</f>
        <v>2798.4679999993905</v>
      </c>
      <c r="N49" s="86">
        <f t="shared" ref="N49:P49" si="17">SUM(N5,N9,N15,N22,N26,N32,N37,N41,N45)</f>
        <v>2783.9249999987169</v>
      </c>
      <c r="O49" s="86">
        <f t="shared" si="17"/>
        <v>2864.9959999987309</v>
      </c>
      <c r="P49" s="86">
        <f t="shared" si="17"/>
        <v>2866.9439999988167</v>
      </c>
      <c r="Q49" s="86">
        <f>SUM(Q5,Q9,Q15,Q22,Q26,Q32,Q37,Q41,Q45)</f>
        <v>2998.3949999999563</v>
      </c>
      <c r="R49" s="86">
        <f t="shared" ref="R49:AL49" si="18">SUM(R5,R9,R15,R22,R26,R32,R37,R41,R45)</f>
        <v>3055.7789999995121</v>
      </c>
      <c r="S49" s="86">
        <f t="shared" si="18"/>
        <v>3093.0719999988132</v>
      </c>
      <c r="T49" s="86">
        <f t="shared" si="18"/>
        <v>3154.6430000006758</v>
      </c>
      <c r="U49" s="86">
        <f t="shared" si="18"/>
        <v>3177.3030000000094</v>
      </c>
      <c r="V49" s="86">
        <f t="shared" si="18"/>
        <v>3207.102999998318</v>
      </c>
      <c r="W49" s="86">
        <f t="shared" si="18"/>
        <v>3174.1919999984002</v>
      </c>
      <c r="X49" s="86">
        <f t="shared" si="18"/>
        <v>3186.0539999982821</v>
      </c>
      <c r="Y49" s="86">
        <f t="shared" si="18"/>
        <v>3203.2799999984991</v>
      </c>
      <c r="Z49" s="86">
        <f t="shared" si="18"/>
        <v>3229.9769999982664</v>
      </c>
      <c r="AA49" s="86">
        <f t="shared" si="18"/>
        <v>3260.2139999980786</v>
      </c>
      <c r="AB49" s="86">
        <f t="shared" si="18"/>
        <v>3280.2520000000036</v>
      </c>
      <c r="AC49" s="86">
        <f t="shared" si="18"/>
        <v>3297.4640000000131</v>
      </c>
      <c r="AD49" s="86">
        <f t="shared" si="18"/>
        <v>3313.207999999368</v>
      </c>
      <c r="AE49" s="86">
        <f t="shared" si="18"/>
        <v>3328.9949999986206</v>
      </c>
      <c r="AF49" s="86">
        <f t="shared" si="18"/>
        <v>3344.6009999993266</v>
      </c>
      <c r="AG49" s="86">
        <f t="shared" si="18"/>
        <v>3361.15999999931</v>
      </c>
      <c r="AH49" s="86">
        <f t="shared" si="18"/>
        <v>3377.5699999992921</v>
      </c>
      <c r="AI49" s="86">
        <f t="shared" si="18"/>
        <v>3394.0659999991476</v>
      </c>
      <c r="AJ49" s="86">
        <f t="shared" si="18"/>
        <v>3410.7699999993342</v>
      </c>
      <c r="AK49" s="86">
        <f t="shared" si="18"/>
        <v>3427.4509999996499</v>
      </c>
      <c r="AL49" s="86">
        <f t="shared" si="18"/>
        <v>3444.2829999979012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</row>
    <row r="50" spans="1:57" x14ac:dyDescent="0.3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</row>
    <row r="51" spans="1:57" x14ac:dyDescent="0.3">
      <c r="L51" s="1" t="s">
        <v>61</v>
      </c>
      <c r="M51" s="47">
        <f>M4</f>
        <v>2010</v>
      </c>
      <c r="N51" s="47">
        <f t="shared" ref="N51:AL51" si="19">N4</f>
        <v>2011</v>
      </c>
      <c r="O51" s="47">
        <f t="shared" si="19"/>
        <v>2012</v>
      </c>
      <c r="P51" s="47">
        <f t="shared" si="19"/>
        <v>2013</v>
      </c>
      <c r="Q51" s="47">
        <f t="shared" si="19"/>
        <v>2014</v>
      </c>
      <c r="R51" s="47">
        <f t="shared" si="19"/>
        <v>2015</v>
      </c>
      <c r="S51" s="47">
        <f t="shared" si="19"/>
        <v>2016</v>
      </c>
      <c r="T51" s="47">
        <f t="shared" si="19"/>
        <v>2017</v>
      </c>
      <c r="U51" s="47">
        <f t="shared" si="19"/>
        <v>2018</v>
      </c>
      <c r="V51" s="47">
        <f t="shared" si="19"/>
        <v>2019</v>
      </c>
      <c r="W51" s="47">
        <f t="shared" si="19"/>
        <v>2020</v>
      </c>
      <c r="X51" s="47">
        <f t="shared" si="19"/>
        <v>2021</v>
      </c>
      <c r="Y51" s="47">
        <f t="shared" si="19"/>
        <v>2022</v>
      </c>
      <c r="Z51" s="47">
        <f t="shared" si="19"/>
        <v>2023</v>
      </c>
      <c r="AA51" s="47">
        <f t="shared" si="19"/>
        <v>2024</v>
      </c>
      <c r="AB51" s="47">
        <f t="shared" si="19"/>
        <v>2025</v>
      </c>
      <c r="AC51" s="47">
        <f t="shared" si="19"/>
        <v>2026</v>
      </c>
      <c r="AD51" s="47">
        <f t="shared" si="19"/>
        <v>2027</v>
      </c>
      <c r="AE51" s="47">
        <f t="shared" si="19"/>
        <v>2028</v>
      </c>
      <c r="AF51" s="47">
        <f t="shared" si="19"/>
        <v>2029</v>
      </c>
      <c r="AG51" s="47">
        <f t="shared" si="19"/>
        <v>2030</v>
      </c>
      <c r="AH51" s="47">
        <f t="shared" si="19"/>
        <v>2031</v>
      </c>
      <c r="AI51" s="47">
        <f t="shared" si="19"/>
        <v>2032</v>
      </c>
      <c r="AJ51" s="47">
        <f t="shared" si="19"/>
        <v>2033</v>
      </c>
      <c r="AK51" s="47">
        <f t="shared" si="19"/>
        <v>2034</v>
      </c>
      <c r="AL51" s="47">
        <f t="shared" si="19"/>
        <v>2035</v>
      </c>
    </row>
    <row r="52" spans="1:57" x14ac:dyDescent="0.3">
      <c r="L52" s="16" t="str">
        <f>'Occ T3'!A7</f>
        <v>Managers, directors and senior officials</v>
      </c>
      <c r="M52" s="336">
        <f>M5/M$49</f>
        <v>8.9524547344869698E-2</v>
      </c>
      <c r="N52" s="336">
        <f t="shared" ref="N52:AG52" si="20">N5/N$49</f>
        <v>9.912182553214785E-2</v>
      </c>
      <c r="O52" s="336">
        <f t="shared" si="20"/>
        <v>0.10180304444511121</v>
      </c>
      <c r="P52" s="336">
        <f t="shared" si="20"/>
        <v>0.10317493994780973</v>
      </c>
      <c r="Q52" s="336">
        <f t="shared" si="20"/>
        <v>0.10084899104682578</v>
      </c>
      <c r="R52" s="336">
        <f t="shared" si="20"/>
        <v>0.10383578525569034</v>
      </c>
      <c r="S52" s="336">
        <f t="shared" si="20"/>
        <v>0.10330328725801112</v>
      </c>
      <c r="T52" s="336">
        <f t="shared" si="20"/>
        <v>0.11017806610496489</v>
      </c>
      <c r="U52" s="336">
        <f t="shared" si="20"/>
        <v>0.10939685095711606</v>
      </c>
      <c r="V52" s="336">
        <f t="shared" si="20"/>
        <v>0.11189106235384803</v>
      </c>
      <c r="W52" s="336">
        <f t="shared" si="20"/>
        <v>0.11495070370915485</v>
      </c>
      <c r="X52" s="336">
        <f t="shared" si="20"/>
        <v>0.11144336511489407</v>
      </c>
      <c r="Y52" s="336">
        <f t="shared" si="20"/>
        <v>0.11232227643723036</v>
      </c>
      <c r="Z52" s="336">
        <f t="shared" si="20"/>
        <v>0.1132152751290092</v>
      </c>
      <c r="AA52" s="336">
        <f t="shared" si="20"/>
        <v>0.11412267202968118</v>
      </c>
      <c r="AB52" s="336">
        <f t="shared" si="20"/>
        <v>0.11498862848257382</v>
      </c>
      <c r="AC52" s="336">
        <f t="shared" si="20"/>
        <v>0.11585815439854041</v>
      </c>
      <c r="AD52" s="336">
        <f t="shared" si="20"/>
        <v>0.11673374170233329</v>
      </c>
      <c r="AE52" s="336">
        <f t="shared" si="20"/>
        <v>0.11759669556607627</v>
      </c>
      <c r="AF52" s="336">
        <f t="shared" si="20"/>
        <v>0.11844250948625884</v>
      </c>
      <c r="AG52" s="336">
        <f t="shared" si="20"/>
        <v>0.11927681363601797</v>
      </c>
      <c r="AH52" s="336">
        <f t="shared" ref="AH52:AL52" si="21">AH5/AH$49</f>
        <v>0.12011657044318252</v>
      </c>
      <c r="AI52" s="336">
        <f t="shared" si="21"/>
        <v>0.12096509654781676</v>
      </c>
      <c r="AJ52" s="336">
        <f t="shared" si="21"/>
        <v>0.12184742475260441</v>
      </c>
      <c r="AK52" s="336">
        <f t="shared" si="21"/>
        <v>0.12276242380869298</v>
      </c>
      <c r="AL52" s="336">
        <f t="shared" si="21"/>
        <v>0.12369862648237416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</row>
    <row r="53" spans="1:57" x14ac:dyDescent="0.3">
      <c r="L53" s="232" t="str">
        <f>'Occ T3'!A8</f>
        <v>11 Corporate managers and directors</v>
      </c>
      <c r="M53" s="335">
        <f t="shared" ref="M53:AG53" si="22">M6/M$49</f>
        <v>6.1827866116741063E-2</v>
      </c>
      <c r="N53" s="335">
        <f t="shared" si="22"/>
        <v>6.8088268553805495E-2</v>
      </c>
      <c r="O53" s="335">
        <f t="shared" si="22"/>
        <v>6.9053530832748525E-2</v>
      </c>
      <c r="P53" s="335">
        <f t="shared" si="22"/>
        <v>7.0886034960541383E-2</v>
      </c>
      <c r="Q53" s="335">
        <f t="shared" si="22"/>
        <v>6.6610307663922549E-2</v>
      </c>
      <c r="R53" s="335">
        <f t="shared" si="22"/>
        <v>7.0381974285917567E-2</v>
      </c>
      <c r="S53" s="335">
        <f t="shared" si="22"/>
        <v>7.3179610645735513E-2</v>
      </c>
      <c r="T53" s="335">
        <f t="shared" si="22"/>
        <v>7.7325642793840091E-2</v>
      </c>
      <c r="U53" s="335">
        <f t="shared" si="22"/>
        <v>7.6546434333700522E-2</v>
      </c>
      <c r="V53" s="335">
        <f t="shared" si="22"/>
        <v>7.8367264657829047E-2</v>
      </c>
      <c r="W53" s="335">
        <f t="shared" si="22"/>
        <v>8.0782849467812293E-2</v>
      </c>
      <c r="X53" s="335">
        <f t="shared" si="22"/>
        <v>7.1945668477026908E-2</v>
      </c>
      <c r="Y53" s="335">
        <f t="shared" si="22"/>
        <v>7.241182387924873E-2</v>
      </c>
      <c r="Z53" s="335">
        <f t="shared" si="22"/>
        <v>7.2878041736951241E-2</v>
      </c>
      <c r="AA53" s="335">
        <f t="shared" si="22"/>
        <v>7.3314952774878095E-2</v>
      </c>
      <c r="AB53" s="335">
        <f t="shared" si="22"/>
        <v>7.3722003305725273E-2</v>
      </c>
      <c r="AC53" s="335">
        <f t="shared" si="22"/>
        <v>7.4132315350857153E-2</v>
      </c>
      <c r="AD53" s="335">
        <f t="shared" si="22"/>
        <v>7.4556532558686259E-2</v>
      </c>
      <c r="AE53" s="335">
        <f t="shared" si="22"/>
        <v>7.4965632184942746E-2</v>
      </c>
      <c r="AF53" s="335">
        <f t="shared" si="22"/>
        <v>7.536920069888764E-2</v>
      </c>
      <c r="AG53" s="335">
        <f t="shared" si="22"/>
        <v>7.5767587743031245E-2</v>
      </c>
      <c r="AH53" s="335">
        <f t="shared" ref="AH53:AL53" si="23">AH6/AH$49</f>
        <v>7.6176908994147349E-2</v>
      </c>
      <c r="AI53" s="335">
        <f t="shared" si="23"/>
        <v>7.6587981969512803E-2</v>
      </c>
      <c r="AJ53" s="335">
        <f t="shared" si="23"/>
        <v>7.7011345788106408E-2</v>
      </c>
      <c r="AK53" s="335">
        <f t="shared" si="23"/>
        <v>7.7466841843479267E-2</v>
      </c>
      <c r="AL53" s="335">
        <f t="shared" si="23"/>
        <v>7.7918260096824968E-2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</row>
    <row r="54" spans="1:57" x14ac:dyDescent="0.3">
      <c r="L54" s="232" t="str">
        <f>'Occ T3'!A9</f>
        <v>12 Other managers and proprietors</v>
      </c>
      <c r="M54" s="335">
        <f t="shared" ref="M54:AG54" si="24">M7/M$49</f>
        <v>2.7696681228128642E-2</v>
      </c>
      <c r="N54" s="335">
        <f t="shared" si="24"/>
        <v>3.1033556978342369E-2</v>
      </c>
      <c r="O54" s="335">
        <f t="shared" si="24"/>
        <v>3.2749513612362682E-2</v>
      </c>
      <c r="P54" s="335">
        <f t="shared" si="24"/>
        <v>3.2288904987268351E-2</v>
      </c>
      <c r="Q54" s="335">
        <f t="shared" si="24"/>
        <v>3.4238683382903222E-2</v>
      </c>
      <c r="R54" s="335">
        <f t="shared" si="24"/>
        <v>3.345381096977279E-2</v>
      </c>
      <c r="S54" s="335">
        <f t="shared" si="24"/>
        <v>3.0123676612275618E-2</v>
      </c>
      <c r="T54" s="335">
        <f t="shared" si="24"/>
        <v>3.2852423311124784E-2</v>
      </c>
      <c r="U54" s="335">
        <f t="shared" si="24"/>
        <v>3.2850416623415528E-2</v>
      </c>
      <c r="V54" s="335">
        <f t="shared" si="24"/>
        <v>3.3523797696018993E-2</v>
      </c>
      <c r="W54" s="335">
        <f t="shared" si="24"/>
        <v>3.4167854241342555E-2</v>
      </c>
      <c r="X54" s="335">
        <f t="shared" si="24"/>
        <v>3.9497696637867168E-2</v>
      </c>
      <c r="Y54" s="335">
        <f t="shared" si="24"/>
        <v>3.9910452557981632E-2</v>
      </c>
      <c r="Z54" s="335">
        <f t="shared" si="24"/>
        <v>4.0337233392057949E-2</v>
      </c>
      <c r="AA54" s="335">
        <f t="shared" si="24"/>
        <v>4.0807719254803067E-2</v>
      </c>
      <c r="AB54" s="335">
        <f t="shared" si="24"/>
        <v>4.1266625176848537E-2</v>
      </c>
      <c r="AC54" s="335">
        <f t="shared" si="24"/>
        <v>4.1725839047683268E-2</v>
      </c>
      <c r="AD54" s="335">
        <f t="shared" si="24"/>
        <v>4.2177209143647039E-2</v>
      </c>
      <c r="AE54" s="335">
        <f t="shared" si="24"/>
        <v>4.2631063381133531E-2</v>
      </c>
      <c r="AF54" s="335">
        <f t="shared" si="24"/>
        <v>4.3073308787371194E-2</v>
      </c>
      <c r="AG54" s="335">
        <f t="shared" si="24"/>
        <v>4.3509225892986718E-2</v>
      </c>
      <c r="AH54" s="335">
        <f t="shared" ref="AH54:AL54" si="25">AH7/AH$49</f>
        <v>4.3939661449035182E-2</v>
      </c>
      <c r="AI54" s="335">
        <f t="shared" si="25"/>
        <v>4.4377114578303949E-2</v>
      </c>
      <c r="AJ54" s="335">
        <f t="shared" si="25"/>
        <v>4.4836078964497997E-2</v>
      </c>
      <c r="AK54" s="335">
        <f t="shared" si="25"/>
        <v>4.5295581965213723E-2</v>
      </c>
      <c r="AL54" s="335">
        <f t="shared" si="25"/>
        <v>4.5780366385549186E-2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</row>
    <row r="55" spans="1:57" x14ac:dyDescent="0.3">
      <c r="L55" s="232"/>
      <c r="M55" s="335"/>
      <c r="N55" s="335"/>
      <c r="O55" s="335"/>
      <c r="P55" s="335"/>
      <c r="Q55" s="335"/>
      <c r="R55" s="335"/>
      <c r="S55" s="335"/>
      <c r="T55" s="335"/>
      <c r="U55" s="335"/>
      <c r="V55" s="335"/>
      <c r="W55" s="335"/>
      <c r="X55" s="335"/>
      <c r="Y55" s="335"/>
      <c r="Z55" s="335"/>
      <c r="AA55" s="335"/>
      <c r="AB55" s="335"/>
      <c r="AC55" s="335"/>
      <c r="AD55" s="335"/>
      <c r="AE55" s="335"/>
      <c r="AF55" s="335"/>
      <c r="AG55" s="335"/>
      <c r="AH55" s="335"/>
      <c r="AI55" s="335"/>
      <c r="AJ55" s="335"/>
      <c r="AK55" s="335"/>
      <c r="AL55" s="335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</row>
    <row r="56" spans="1:57" x14ac:dyDescent="0.3">
      <c r="L56" s="16" t="str">
        <f>'Occ T3'!A11</f>
        <v>Professional occupations</v>
      </c>
      <c r="M56" s="336">
        <f t="shared" ref="M56:AG56" si="26">M9/M$49</f>
        <v>0.1934228523606252</v>
      </c>
      <c r="N56" s="336">
        <f t="shared" si="26"/>
        <v>0.191258351679188</v>
      </c>
      <c r="O56" s="336">
        <f t="shared" si="26"/>
        <v>0.19283611998343619</v>
      </c>
      <c r="P56" s="336">
        <f t="shared" si="26"/>
        <v>0.19697920516751297</v>
      </c>
      <c r="Q56" s="336">
        <f t="shared" si="26"/>
        <v>0.19594476646824302</v>
      </c>
      <c r="R56" s="336">
        <f t="shared" si="26"/>
        <v>0.19186737579078028</v>
      </c>
      <c r="S56" s="336">
        <f t="shared" si="26"/>
        <v>0.19732158393755209</v>
      </c>
      <c r="T56" s="336">
        <f t="shared" si="26"/>
        <v>0.19951796026747454</v>
      </c>
      <c r="U56" s="336">
        <f t="shared" si="26"/>
        <v>0.20231278527839108</v>
      </c>
      <c r="V56" s="336">
        <f t="shared" si="26"/>
        <v>0.21182115924150127</v>
      </c>
      <c r="W56" s="336">
        <f t="shared" si="26"/>
        <v>0.22204617287098283</v>
      </c>
      <c r="X56" s="336">
        <f t="shared" si="26"/>
        <v>0.22705243317130233</v>
      </c>
      <c r="Y56" s="336">
        <f t="shared" si="26"/>
        <v>0.22794744083354576</v>
      </c>
      <c r="Z56" s="336">
        <f t="shared" si="26"/>
        <v>0.22915839635235674</v>
      </c>
      <c r="AA56" s="336">
        <f t="shared" si="26"/>
        <v>0.23042697953239002</v>
      </c>
      <c r="AB56" s="336">
        <f t="shared" si="26"/>
        <v>0.23186226103319968</v>
      </c>
      <c r="AC56" s="336">
        <f t="shared" si="26"/>
        <v>0.23341041700603424</v>
      </c>
      <c r="AD56" s="336">
        <f t="shared" si="26"/>
        <v>0.23503816440612071</v>
      </c>
      <c r="AE56" s="336">
        <f t="shared" si="26"/>
        <v>0.23665516292041924</v>
      </c>
      <c r="AF56" s="336">
        <f t="shared" si="26"/>
        <v>0.23812076678003904</v>
      </c>
      <c r="AG56" s="336">
        <f t="shared" si="26"/>
        <v>0.23954908696202901</v>
      </c>
      <c r="AH56" s="336">
        <f t="shared" ref="AH56:AL56" si="27">AH9/AH$49</f>
        <v>0.24102396413733015</v>
      </c>
      <c r="AI56" s="336">
        <f t="shared" si="27"/>
        <v>0.24263489337214636</v>
      </c>
      <c r="AJ56" s="336">
        <f t="shared" si="27"/>
        <v>0.24412180074896014</v>
      </c>
      <c r="AK56" s="336">
        <f t="shared" si="27"/>
        <v>0.24567157210985163</v>
      </c>
      <c r="AL56" s="336">
        <f t="shared" si="27"/>
        <v>0.24717053485843102</v>
      </c>
    </row>
    <row r="57" spans="1:57" x14ac:dyDescent="0.3">
      <c r="L57" s="232" t="str">
        <f>'Occ T3'!A12</f>
        <v>21 Science, research, engineering and technology professionals</v>
      </c>
      <c r="M57" s="335">
        <f t="shared" ref="M57:AG57" si="28">M10/M$49</f>
        <v>5.738677668453232E-2</v>
      </c>
      <c r="N57" s="335">
        <f t="shared" si="28"/>
        <v>5.4604004414856869E-2</v>
      </c>
      <c r="O57" s="335">
        <f t="shared" si="28"/>
        <v>5.7405482629347818E-2</v>
      </c>
      <c r="P57" s="335">
        <f t="shared" si="28"/>
        <v>5.8161133958872568E-2</v>
      </c>
      <c r="Q57" s="335">
        <f t="shared" si="28"/>
        <v>6.0269776321949853E-2</v>
      </c>
      <c r="R57" s="335">
        <f t="shared" si="28"/>
        <v>6.1004035143801802E-2</v>
      </c>
      <c r="S57" s="335">
        <f t="shared" si="28"/>
        <v>6.1655377811282226E-2</v>
      </c>
      <c r="T57" s="335">
        <f t="shared" si="28"/>
        <v>6.2309065023431122E-2</v>
      </c>
      <c r="U57" s="335">
        <f t="shared" si="28"/>
        <v>6.2254810690154719E-2</v>
      </c>
      <c r="V57" s="335">
        <f t="shared" si="28"/>
        <v>6.5953977519030316E-2</v>
      </c>
      <c r="W57" s="335">
        <f t="shared" si="28"/>
        <v>6.9082164639997876E-2</v>
      </c>
      <c r="X57" s="335">
        <f t="shared" si="28"/>
        <v>6.9207107224761547E-2</v>
      </c>
      <c r="Y57" s="335">
        <f t="shared" si="28"/>
        <v>6.9612103964231717E-2</v>
      </c>
      <c r="Z57" s="335">
        <f t="shared" si="28"/>
        <v>7.0013392676548464E-2</v>
      </c>
      <c r="AA57" s="335">
        <f t="shared" si="28"/>
        <v>7.0416339583785556E-2</v>
      </c>
      <c r="AB57" s="335">
        <f t="shared" si="28"/>
        <v>7.0821960267779038E-2</v>
      </c>
      <c r="AC57" s="335">
        <f t="shared" si="28"/>
        <v>7.1253528403723315E-2</v>
      </c>
      <c r="AD57" s="335">
        <f t="shared" si="28"/>
        <v>7.169780654608067E-2</v>
      </c>
      <c r="AE57" s="335">
        <f t="shared" si="28"/>
        <v>7.2154102730868766E-2</v>
      </c>
      <c r="AF57" s="335">
        <f t="shared" si="28"/>
        <v>7.2589666247277515E-2</v>
      </c>
      <c r="AG57" s="335">
        <f t="shared" si="28"/>
        <v>7.3014134670947084E-2</v>
      </c>
      <c r="AH57" s="335">
        <f t="shared" ref="AH57:AL57" si="29">AH10/AH$49</f>
        <v>7.3443304728831746E-2</v>
      </c>
      <c r="AI57" s="335">
        <f t="shared" si="29"/>
        <v>7.3891773271748382E-2</v>
      </c>
      <c r="AJ57" s="335">
        <f t="shared" si="29"/>
        <v>7.431161680652594E-2</v>
      </c>
      <c r="AK57" s="335">
        <f t="shared" si="29"/>
        <v>7.4778107153488788E-2</v>
      </c>
      <c r="AL57" s="335">
        <f t="shared" si="29"/>
        <v>7.5211933797696112E-2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</row>
    <row r="58" spans="1:57" x14ac:dyDescent="0.3">
      <c r="L58" s="232" t="str">
        <f>'Occ T3'!A13</f>
        <v>22 Health professionals</v>
      </c>
      <c r="M58" s="335">
        <f t="shared" ref="M58:AG58" si="30">M11/M$49</f>
        <v>3.1074995747168224E-2</v>
      </c>
      <c r="N58" s="335">
        <f t="shared" si="30"/>
        <v>3.3972362245021231E-2</v>
      </c>
      <c r="O58" s="335">
        <f t="shared" si="30"/>
        <v>3.3986922378747661E-2</v>
      </c>
      <c r="P58" s="335">
        <f t="shared" si="30"/>
        <v>3.5266247045937699E-2</v>
      </c>
      <c r="Q58" s="335">
        <f t="shared" si="30"/>
        <v>3.4964555536394389E-2</v>
      </c>
      <c r="R58" s="335">
        <f t="shared" si="30"/>
        <v>3.3147326597781718E-2</v>
      </c>
      <c r="S58" s="335">
        <f t="shared" si="30"/>
        <v>3.459605512715342E-2</v>
      </c>
      <c r="T58" s="335">
        <f t="shared" si="30"/>
        <v>3.7609610470251784E-2</v>
      </c>
      <c r="U58" s="335">
        <f t="shared" si="30"/>
        <v>3.6207193738331304E-2</v>
      </c>
      <c r="V58" s="335">
        <f t="shared" si="30"/>
        <v>3.8231025726893686E-2</v>
      </c>
      <c r="W58" s="335">
        <f t="shared" si="30"/>
        <v>3.758301810992639E-2</v>
      </c>
      <c r="X58" s="335">
        <f t="shared" si="30"/>
        <v>3.8646004213903649E-2</v>
      </c>
      <c r="Y58" s="335">
        <f t="shared" si="30"/>
        <v>3.8800063718102837E-2</v>
      </c>
      <c r="Z58" s="335">
        <f t="shared" si="30"/>
        <v>3.8994713736857721E-2</v>
      </c>
      <c r="AA58" s="335">
        <f t="shared" si="30"/>
        <v>3.9189586021085028E-2</v>
      </c>
      <c r="AB58" s="335">
        <f t="shared" si="30"/>
        <v>3.9443334177048123E-2</v>
      </c>
      <c r="AC58" s="335">
        <f t="shared" si="30"/>
        <v>3.9728968409338768E-2</v>
      </c>
      <c r="AD58" s="335">
        <f t="shared" si="30"/>
        <v>4.0050151403936238E-2</v>
      </c>
      <c r="AE58" s="335">
        <f t="shared" si="30"/>
        <v>4.0370434654462585E-2</v>
      </c>
      <c r="AF58" s="335">
        <f t="shared" si="30"/>
        <v>4.0622067913328383E-2</v>
      </c>
      <c r="AG58" s="335">
        <f t="shared" si="30"/>
        <v>4.0883724417707407E-2</v>
      </c>
      <c r="AH58" s="335">
        <f t="shared" ref="AH58:AL58" si="31">AH11/AH$49</f>
        <v>4.1135857248058287E-2</v>
      </c>
      <c r="AI58" s="335">
        <f t="shared" si="31"/>
        <v>4.1399471498617064E-2</v>
      </c>
      <c r="AJ58" s="335">
        <f t="shared" si="31"/>
        <v>4.1666958566653124E-2</v>
      </c>
      <c r="AK58" s="335">
        <f t="shared" si="31"/>
        <v>4.1933373162520077E-2</v>
      </c>
      <c r="AL58" s="335">
        <f t="shared" si="31"/>
        <v>4.2180423453448065E-2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</row>
    <row r="59" spans="1:57" ht="15.45" x14ac:dyDescent="0.4">
      <c r="A59" s="79" t="str">
        <f>CONCATENATE("Occupation Figure 2.1  Employment by Occupation (% shares), ",$M$2,"-",$O$2,", ",Info!B5)</f>
        <v>Occupation Figure 2.1  Employment by Occupation (% shares), 2010-2035, East</v>
      </c>
      <c r="L59" s="232" t="str">
        <f>'Occ T3'!A14</f>
        <v>23 Teaching and other educational professionals</v>
      </c>
      <c r="M59" s="335">
        <f t="shared" ref="M59:AG59" si="32">M12/M$49</f>
        <v>4.4733912985394003E-2</v>
      </c>
      <c r="N59" s="335">
        <f t="shared" si="32"/>
        <v>4.587312673495144E-2</v>
      </c>
      <c r="O59" s="335">
        <f t="shared" si="32"/>
        <v>4.464995561688774E-2</v>
      </c>
      <c r="P59" s="335">
        <f t="shared" si="32"/>
        <v>4.5049985350056436E-2</v>
      </c>
      <c r="Q59" s="335">
        <f t="shared" si="32"/>
        <v>4.384054089634528E-2</v>
      </c>
      <c r="R59" s="335">
        <f t="shared" si="32"/>
        <v>4.2071575599189295E-2</v>
      </c>
      <c r="S59" s="335">
        <f t="shared" si="32"/>
        <v>4.3513204593048201E-2</v>
      </c>
      <c r="T59" s="335">
        <f t="shared" si="32"/>
        <v>4.0932728515580052E-2</v>
      </c>
      <c r="U59" s="335">
        <f t="shared" si="32"/>
        <v>4.358936618162379E-2</v>
      </c>
      <c r="V59" s="335">
        <f t="shared" si="32"/>
        <v>4.527318715261236E-2</v>
      </c>
      <c r="W59" s="335">
        <f t="shared" si="32"/>
        <v>4.7564418570213027E-2</v>
      </c>
      <c r="X59" s="335">
        <f t="shared" si="32"/>
        <v>4.7554935522167288E-2</v>
      </c>
      <c r="Y59" s="335">
        <f t="shared" si="32"/>
        <v>4.7356447436156746E-2</v>
      </c>
      <c r="Z59" s="335">
        <f t="shared" si="32"/>
        <v>4.738589637842909E-2</v>
      </c>
      <c r="AA59" s="335">
        <f t="shared" si="32"/>
        <v>4.7457183417376897E-2</v>
      </c>
      <c r="AB59" s="335">
        <f t="shared" si="32"/>
        <v>4.7621824281407557E-2</v>
      </c>
      <c r="AC59" s="335">
        <f t="shared" si="32"/>
        <v>4.7799894940973621E-2</v>
      </c>
      <c r="AD59" s="335">
        <f t="shared" si="32"/>
        <v>4.7998301717627805E-2</v>
      </c>
      <c r="AE59" s="335">
        <f t="shared" si="32"/>
        <v>4.8189042459014883E-2</v>
      </c>
      <c r="AF59" s="335">
        <f t="shared" si="32"/>
        <v>4.8333807080789014E-2</v>
      </c>
      <c r="AG59" s="335">
        <f t="shared" si="32"/>
        <v>4.8475928149061612E-2</v>
      </c>
      <c r="AH59" s="335">
        <f t="shared" ref="AH59:AL59" si="33">AH12/AH$49</f>
        <v>4.8636099976829265E-2</v>
      </c>
      <c r="AI59" s="335">
        <f t="shared" si="33"/>
        <v>4.8804402118212666E-2</v>
      </c>
      <c r="AJ59" s="335">
        <f t="shared" si="33"/>
        <v>4.8970393205298737E-2</v>
      </c>
      <c r="AK59" s="335">
        <f t="shared" si="33"/>
        <v>4.9136141109384315E-2</v>
      </c>
      <c r="AL59" s="335">
        <f t="shared" si="33"/>
        <v>4.9298566865823838E-2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</row>
    <row r="60" spans="1:57" x14ac:dyDescent="0.3">
      <c r="L60" s="232" t="str">
        <f>'Occ T3'!A15</f>
        <v>24 Business, media and public service professionals</v>
      </c>
      <c r="M60" s="335">
        <f t="shared" ref="M60:AG60" si="34">M13/M$49</f>
        <v>6.0227166943530648E-2</v>
      </c>
      <c r="N60" s="335">
        <f t="shared" si="34"/>
        <v>5.6808858284358436E-2</v>
      </c>
      <c r="O60" s="335">
        <f t="shared" si="34"/>
        <v>5.6793759358452968E-2</v>
      </c>
      <c r="P60" s="335">
        <f t="shared" si="34"/>
        <v>5.8501838812646284E-2</v>
      </c>
      <c r="Q60" s="335">
        <f t="shared" si="34"/>
        <v>5.686989371355354E-2</v>
      </c>
      <c r="R60" s="335">
        <f t="shared" si="34"/>
        <v>5.5644438450007494E-2</v>
      </c>
      <c r="S60" s="335">
        <f t="shared" si="34"/>
        <v>5.7556946406068205E-2</v>
      </c>
      <c r="T60" s="335">
        <f t="shared" si="34"/>
        <v>5.8666556258211579E-2</v>
      </c>
      <c r="U60" s="335">
        <f t="shared" si="34"/>
        <v>6.026141466828127E-2</v>
      </c>
      <c r="V60" s="335">
        <f t="shared" si="34"/>
        <v>6.236296884296489E-2</v>
      </c>
      <c r="W60" s="335">
        <f t="shared" si="34"/>
        <v>6.7816571550845542E-2</v>
      </c>
      <c r="X60" s="335">
        <f t="shared" si="34"/>
        <v>7.1644386210469813E-2</v>
      </c>
      <c r="Y60" s="335">
        <f t="shared" si="34"/>
        <v>7.2178825715054448E-2</v>
      </c>
      <c r="Z60" s="335">
        <f t="shared" si="34"/>
        <v>7.2764393560521487E-2</v>
      </c>
      <c r="AA60" s="335">
        <f t="shared" si="34"/>
        <v>7.3363870510142565E-2</v>
      </c>
      <c r="AB60" s="335">
        <f t="shared" si="34"/>
        <v>7.3975142306964919E-2</v>
      </c>
      <c r="AC60" s="335">
        <f t="shared" si="34"/>
        <v>7.4628025251998548E-2</v>
      </c>
      <c r="AD60" s="335">
        <f t="shared" si="34"/>
        <v>7.5291904738476009E-2</v>
      </c>
      <c r="AE60" s="335">
        <f t="shared" si="34"/>
        <v>7.5941583076073002E-2</v>
      </c>
      <c r="AF60" s="335">
        <f t="shared" si="34"/>
        <v>7.6575225538644098E-2</v>
      </c>
      <c r="AG60" s="335">
        <f t="shared" si="34"/>
        <v>7.7175299724312932E-2</v>
      </c>
      <c r="AH60" s="335">
        <f t="shared" ref="AH60:AL60" si="35">AH13/AH$49</f>
        <v>7.7808702183610828E-2</v>
      </c>
      <c r="AI60" s="335">
        <f t="shared" si="35"/>
        <v>7.853924648356822E-2</v>
      </c>
      <c r="AJ60" s="335">
        <f t="shared" si="35"/>
        <v>7.9172832170482349E-2</v>
      </c>
      <c r="AK60" s="335">
        <f t="shared" si="35"/>
        <v>7.9823950684458453E-2</v>
      </c>
      <c r="AL60" s="335">
        <f t="shared" si="35"/>
        <v>8.0479610741463023E-2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</row>
    <row r="61" spans="1:57" x14ac:dyDescent="0.3">
      <c r="L61" s="232"/>
      <c r="M61" s="335"/>
      <c r="N61" s="335"/>
      <c r="O61" s="335"/>
      <c r="P61" s="335"/>
      <c r="Q61" s="335"/>
      <c r="R61" s="335"/>
      <c r="S61" s="335"/>
      <c r="T61" s="335"/>
      <c r="U61" s="335"/>
      <c r="V61" s="335"/>
      <c r="W61" s="335"/>
      <c r="X61" s="335"/>
      <c r="Y61" s="335"/>
      <c r="Z61" s="335"/>
      <c r="AA61" s="335"/>
      <c r="AB61" s="335"/>
      <c r="AC61" s="335"/>
      <c r="AD61" s="335"/>
      <c r="AE61" s="335"/>
      <c r="AF61" s="335"/>
      <c r="AG61" s="335"/>
      <c r="AH61" s="335"/>
      <c r="AI61" s="335"/>
      <c r="AJ61" s="335"/>
      <c r="AK61" s="335"/>
      <c r="AL61" s="335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</row>
    <row r="62" spans="1:57" x14ac:dyDescent="0.3">
      <c r="L62" s="16" t="str">
        <f>'Occ T3'!A17</f>
        <v>Associate professional occupations</v>
      </c>
      <c r="M62" s="336">
        <f t="shared" ref="M62:AG62" si="36">M15/M$49</f>
        <v>0.11702529410664898</v>
      </c>
      <c r="N62" s="336">
        <f t="shared" si="36"/>
        <v>0.11834836007256114</v>
      </c>
      <c r="O62" s="336">
        <f t="shared" si="36"/>
        <v>0.12282001378815888</v>
      </c>
      <c r="P62" s="336">
        <f t="shared" si="36"/>
        <v>0.12104006501859257</v>
      </c>
      <c r="Q62" s="336">
        <f t="shared" si="36"/>
        <v>0.12167408265648298</v>
      </c>
      <c r="R62" s="336">
        <f t="shared" si="36"/>
        <v>0.12075202005915207</v>
      </c>
      <c r="S62" s="336">
        <f t="shared" si="36"/>
        <v>0.12450587218154012</v>
      </c>
      <c r="T62" s="336">
        <f t="shared" si="36"/>
        <v>0.12634630204703187</v>
      </c>
      <c r="U62" s="336">
        <f t="shared" si="36"/>
        <v>0.12492346783910681</v>
      </c>
      <c r="V62" s="336">
        <f t="shared" si="36"/>
        <v>0.1241611071077957</v>
      </c>
      <c r="W62" s="336">
        <f t="shared" si="36"/>
        <v>0.13385660567610475</v>
      </c>
      <c r="X62" s="336">
        <f t="shared" si="36"/>
        <v>0.12574759611490796</v>
      </c>
      <c r="Y62" s="336">
        <f t="shared" si="36"/>
        <v>0.12584525080375378</v>
      </c>
      <c r="Z62" s="336">
        <f t="shared" si="36"/>
        <v>0.1260992587723897</v>
      </c>
      <c r="AA62" s="336">
        <f t="shared" si="36"/>
        <v>0.12651254225833078</v>
      </c>
      <c r="AB62" s="336">
        <f t="shared" si="36"/>
        <v>0.12698933633752563</v>
      </c>
      <c r="AC62" s="336">
        <f t="shared" si="36"/>
        <v>0.12746797468182361</v>
      </c>
      <c r="AD62" s="336">
        <f t="shared" si="36"/>
        <v>0.12795164668106987</v>
      </c>
      <c r="AE62" s="336">
        <f t="shared" si="36"/>
        <v>0.12836619182254599</v>
      </c>
      <c r="AF62" s="336">
        <f t="shared" si="36"/>
        <v>0.12881462784348918</v>
      </c>
      <c r="AG62" s="336">
        <f t="shared" si="36"/>
        <v>0.12924623120156417</v>
      </c>
      <c r="AH62" s="336">
        <f t="shared" ref="AH62:AL62" si="37">AH15/AH$49</f>
        <v>0.12979331236193414</v>
      </c>
      <c r="AI62" s="336">
        <f t="shared" si="37"/>
        <v>0.13039340266646662</v>
      </c>
      <c r="AJ62" s="336">
        <f t="shared" si="37"/>
        <v>0.1309572680665079</v>
      </c>
      <c r="AK62" s="336">
        <f t="shared" si="37"/>
        <v>0.13152506460244673</v>
      </c>
      <c r="AL62" s="336">
        <f t="shared" si="37"/>
        <v>0.13210681997230878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</row>
    <row r="63" spans="1:57" x14ac:dyDescent="0.3">
      <c r="L63" s="232" t="str">
        <f>'Occ T3'!A18</f>
        <v>31 Science, engineering and technology associate professionals</v>
      </c>
      <c r="M63" s="335">
        <f t="shared" ref="M63:AG63" si="38">M16/M$49</f>
        <v>1.8057877029398869E-2</v>
      </c>
      <c r="N63" s="335">
        <f t="shared" si="38"/>
        <v>1.7496556073419583E-2</v>
      </c>
      <c r="O63" s="335">
        <f t="shared" si="38"/>
        <v>1.8434506068311939E-2</v>
      </c>
      <c r="P63" s="335">
        <f t="shared" si="38"/>
        <v>1.8739750393465246E-2</v>
      </c>
      <c r="Q63" s="335">
        <f t="shared" si="38"/>
        <v>1.7178126225881971E-2</v>
      </c>
      <c r="R63" s="335">
        <f t="shared" si="38"/>
        <v>1.698952306788884E-2</v>
      </c>
      <c r="S63" s="335">
        <f t="shared" si="38"/>
        <v>1.743392827177092E-2</v>
      </c>
      <c r="T63" s="335">
        <f t="shared" si="38"/>
        <v>1.9833928645867187E-2</v>
      </c>
      <c r="U63" s="335">
        <f t="shared" si="38"/>
        <v>1.936360097571381E-2</v>
      </c>
      <c r="V63" s="335">
        <f t="shared" si="38"/>
        <v>1.8978759795130348E-2</v>
      </c>
      <c r="W63" s="335">
        <f t="shared" si="38"/>
        <v>2.1001246897983713E-2</v>
      </c>
      <c r="X63" s="335">
        <f t="shared" si="38"/>
        <v>1.7838178167025369E-2</v>
      </c>
      <c r="Y63" s="335">
        <f t="shared" si="38"/>
        <v>1.7901019897589916E-2</v>
      </c>
      <c r="Z63" s="335">
        <f t="shared" si="38"/>
        <v>1.7966467200666168E-2</v>
      </c>
      <c r="AA63" s="335">
        <f t="shared" si="38"/>
        <v>1.8021102086509675E-2</v>
      </c>
      <c r="AB63" s="335">
        <f t="shared" si="38"/>
        <v>1.8071770736833248E-2</v>
      </c>
      <c r="AC63" s="335">
        <f t="shared" si="38"/>
        <v>1.812528713195502E-2</v>
      </c>
      <c r="AD63" s="335">
        <f t="shared" si="38"/>
        <v>1.8176175389132441E-2</v>
      </c>
      <c r="AE63" s="335">
        <f t="shared" si="38"/>
        <v>1.821995476214219E-2</v>
      </c>
      <c r="AF63" s="335">
        <f t="shared" si="38"/>
        <v>1.8257601181819821E-2</v>
      </c>
      <c r="AG63" s="335">
        <f t="shared" si="38"/>
        <v>1.8329879598466086E-2</v>
      </c>
      <c r="AH63" s="335">
        <f t="shared" ref="AH63:AL63" si="39">AH16/AH$49</f>
        <v>1.8399171490420797E-2</v>
      </c>
      <c r="AI63" s="335">
        <f t="shared" si="39"/>
        <v>1.8474497197472638E-2</v>
      </c>
      <c r="AJ63" s="335">
        <f t="shared" si="39"/>
        <v>1.8547753041875486E-2</v>
      </c>
      <c r="AK63" s="335">
        <f t="shared" si="39"/>
        <v>1.8622950960318952E-2</v>
      </c>
      <c r="AL63" s="335">
        <f t="shared" si="39"/>
        <v>1.8690999839831492E-2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</row>
    <row r="64" spans="1:57" x14ac:dyDescent="0.3">
      <c r="L64" s="232" t="str">
        <f>'Occ T3'!A19</f>
        <v>32 Health and social care associate professionals</v>
      </c>
      <c r="M64" s="335">
        <f t="shared" ref="M64:AG64" si="40">M17/M$49</f>
        <v>1.1789874407611735E-2</v>
      </c>
      <c r="N64" s="335">
        <f t="shared" si="40"/>
        <v>1.5355286867276286E-2</v>
      </c>
      <c r="O64" s="335">
        <f t="shared" si="40"/>
        <v>1.4877805162170073E-2</v>
      </c>
      <c r="P64" s="335">
        <f t="shared" si="40"/>
        <v>1.4801957435288992E-2</v>
      </c>
      <c r="Q64" s="335">
        <f t="shared" si="40"/>
        <v>1.4485735255739637E-2</v>
      </c>
      <c r="R64" s="335">
        <f t="shared" si="40"/>
        <v>1.4265623868389974E-2</v>
      </c>
      <c r="S64" s="335">
        <f t="shared" si="40"/>
        <v>1.4964731303415102E-2</v>
      </c>
      <c r="T64" s="335">
        <f t="shared" si="40"/>
        <v>1.4955830997743145E-2</v>
      </c>
      <c r="U64" s="335">
        <f t="shared" si="40"/>
        <v>1.5728868864692377E-2</v>
      </c>
      <c r="V64" s="335">
        <f t="shared" si="40"/>
        <v>1.6146780244337362E-2</v>
      </c>
      <c r="W64" s="335">
        <f t="shared" si="40"/>
        <v>1.6474633385239291E-2</v>
      </c>
      <c r="X64" s="335">
        <f t="shared" si="40"/>
        <v>1.5917171113699568E-2</v>
      </c>
      <c r="Y64" s="335">
        <f t="shared" si="40"/>
        <v>1.5972469791653298E-2</v>
      </c>
      <c r="Z64" s="335">
        <f t="shared" si="40"/>
        <v>1.6048000423153911E-2</v>
      </c>
      <c r="AA64" s="335">
        <f t="shared" si="40"/>
        <v>1.6129116245843976E-2</v>
      </c>
      <c r="AB64" s="335">
        <f t="shared" si="40"/>
        <v>1.6237735733254034E-2</v>
      </c>
      <c r="AC64" s="335">
        <f t="shared" si="40"/>
        <v>1.6355084030938879E-2</v>
      </c>
      <c r="AD64" s="335">
        <f t="shared" si="40"/>
        <v>1.6484783853287804E-2</v>
      </c>
      <c r="AE64" s="335">
        <f t="shared" si="40"/>
        <v>1.6593384093650236E-2</v>
      </c>
      <c r="AF64" s="335">
        <f t="shared" si="40"/>
        <v>1.6709065256764136E-2</v>
      </c>
      <c r="AG64" s="335">
        <f t="shared" si="40"/>
        <v>1.6819069796040163E-2</v>
      </c>
      <c r="AH64" s="335">
        <f t="shared" ref="AH64:AL64" si="41">AH17/AH$49</f>
        <v>1.6957936626182987E-2</v>
      </c>
      <c r="AI64" s="335">
        <f t="shared" si="41"/>
        <v>1.7075209687151656E-2</v>
      </c>
      <c r="AJ64" s="335">
        <f t="shared" si="41"/>
        <v>1.7188844737001368E-2</v>
      </c>
      <c r="AK64" s="335">
        <f t="shared" si="41"/>
        <v>1.7309813718986513E-2</v>
      </c>
      <c r="AL64" s="335">
        <f t="shared" si="41"/>
        <v>1.7440241597851337E-2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</row>
    <row r="65" spans="12:53" x14ac:dyDescent="0.3">
      <c r="L65" s="232" t="str">
        <f>'Occ T3'!A20</f>
        <v>33 Protective service occupations</v>
      </c>
      <c r="M65" s="335">
        <f t="shared" ref="M65:AG65" si="42">M18/M$49</f>
        <v>9.3669455134269674E-3</v>
      </c>
      <c r="N65" s="335">
        <f t="shared" si="42"/>
        <v>1.068352649604928E-2</v>
      </c>
      <c r="O65" s="335">
        <f t="shared" si="42"/>
        <v>1.0561426490223369E-2</v>
      </c>
      <c r="P65" s="335">
        <f t="shared" si="42"/>
        <v>9.8647667993588539E-3</v>
      </c>
      <c r="Q65" s="335">
        <f t="shared" si="42"/>
        <v>9.6092827052198879E-3</v>
      </c>
      <c r="R65" s="335">
        <f t="shared" si="42"/>
        <v>9.8231382806921973E-3</v>
      </c>
      <c r="S65" s="335">
        <f t="shared" si="42"/>
        <v>1.0224256965606641E-2</v>
      </c>
      <c r="T65" s="335">
        <f t="shared" si="42"/>
        <v>9.6122988090935439E-3</v>
      </c>
      <c r="U65" s="335">
        <f t="shared" si="42"/>
        <v>9.3854944869446212E-3</v>
      </c>
      <c r="V65" s="335">
        <f t="shared" si="42"/>
        <v>9.1783949430552497E-3</v>
      </c>
      <c r="W65" s="335">
        <f t="shared" si="42"/>
        <v>1.0038595407310434E-2</v>
      </c>
      <c r="X65" s="335">
        <f t="shared" si="42"/>
        <v>1.1233202637187394E-2</v>
      </c>
      <c r="Y65" s="335">
        <f t="shared" si="42"/>
        <v>1.1425200624390598E-2</v>
      </c>
      <c r="Z65" s="335">
        <f t="shared" si="42"/>
        <v>1.1592839948569085E-2</v>
      </c>
      <c r="AA65" s="335">
        <f t="shared" si="42"/>
        <v>1.1777605341237209E-2</v>
      </c>
      <c r="AB65" s="335">
        <f t="shared" si="42"/>
        <v>1.1952451860498575E-2</v>
      </c>
      <c r="AC65" s="335">
        <f t="shared" si="42"/>
        <v>1.2116813232631533E-2</v>
      </c>
      <c r="AD65" s="335">
        <f t="shared" si="42"/>
        <v>1.2277831075548572E-2</v>
      </c>
      <c r="AE65" s="335">
        <f t="shared" si="42"/>
        <v>1.2417573636459196E-2</v>
      </c>
      <c r="AF65" s="335">
        <f t="shared" si="42"/>
        <v>1.2596640575363489E-2</v>
      </c>
      <c r="AG65" s="335">
        <f t="shared" si="42"/>
        <v>1.2752091290692014E-2</v>
      </c>
      <c r="AH65" s="335">
        <f t="shared" ref="AH65:AL65" si="43">AH18/AH$49</f>
        <v>1.2935671549455879E-2</v>
      </c>
      <c r="AI65" s="335">
        <f t="shared" si="43"/>
        <v>1.3102139464745947E-2</v>
      </c>
      <c r="AJ65" s="335">
        <f t="shared" si="43"/>
        <v>1.3310253165054737E-2</v>
      </c>
      <c r="AK65" s="335">
        <f t="shared" si="43"/>
        <v>1.3465839590346137E-2</v>
      </c>
      <c r="AL65" s="335">
        <f t="shared" si="43"/>
        <v>1.3672511166910274E-2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</row>
    <row r="66" spans="12:53" x14ac:dyDescent="0.3">
      <c r="L66" s="232" t="str">
        <f>'Occ T3'!A21</f>
        <v>34 Culture, media and sports occupations</v>
      </c>
      <c r="M66" s="335">
        <f t="shared" ref="M66:AG66" si="44">M19/M$49</f>
        <v>1.6169985504550274E-2</v>
      </c>
      <c r="N66" s="335">
        <f t="shared" si="44"/>
        <v>1.7627434050084465E-2</v>
      </c>
      <c r="O66" s="335">
        <f t="shared" si="44"/>
        <v>2.0266722282069473E-2</v>
      </c>
      <c r="P66" s="335">
        <f t="shared" si="44"/>
        <v>1.8007098428607062E-2</v>
      </c>
      <c r="Q66" s="335">
        <f t="shared" si="44"/>
        <v>2.0625695192367829E-2</v>
      </c>
      <c r="R66" s="335">
        <f t="shared" si="44"/>
        <v>2.0036395751923185E-2</v>
      </c>
      <c r="S66" s="335">
        <f t="shared" si="44"/>
        <v>2.2405477223256035E-2</v>
      </c>
      <c r="T66" s="335">
        <f t="shared" si="44"/>
        <v>2.0626683351020424E-2</v>
      </c>
      <c r="U66" s="335">
        <f t="shared" si="44"/>
        <v>1.9776311994778341E-2</v>
      </c>
      <c r="V66" s="335">
        <f t="shared" si="44"/>
        <v>1.8834950892022109E-2</v>
      </c>
      <c r="W66" s="335">
        <f t="shared" si="44"/>
        <v>2.292427444185921E-2</v>
      </c>
      <c r="X66" s="335">
        <f t="shared" si="44"/>
        <v>2.1301024028151143E-2</v>
      </c>
      <c r="Y66" s="335">
        <f t="shared" si="44"/>
        <v>2.1000073768182196E-2</v>
      </c>
      <c r="Z66" s="335">
        <f t="shared" si="44"/>
        <v>2.0916833371651709E-2</v>
      </c>
      <c r="AA66" s="335">
        <f t="shared" si="44"/>
        <v>2.0983534729840377E-2</v>
      </c>
      <c r="AB66" s="335">
        <f t="shared" si="44"/>
        <v>2.1082206028721524E-2</v>
      </c>
      <c r="AC66" s="335">
        <f t="shared" si="44"/>
        <v>2.1172805027456155E-2</v>
      </c>
      <c r="AD66" s="335">
        <f t="shared" si="44"/>
        <v>2.1266777484978072E-2</v>
      </c>
      <c r="AE66" s="335">
        <f t="shared" si="44"/>
        <v>2.1356008273110891E-2</v>
      </c>
      <c r="AF66" s="335">
        <f t="shared" si="44"/>
        <v>2.1446315816203744E-2</v>
      </c>
      <c r="AG66" s="335">
        <f t="shared" si="44"/>
        <v>2.1535528920233145E-2</v>
      </c>
      <c r="AH66" s="335">
        <f t="shared" ref="AH66:AL66" si="45">AH19/AH$49</f>
        <v>2.1668708846783326E-2</v>
      </c>
      <c r="AI66" s="335">
        <f t="shared" si="45"/>
        <v>2.1824583991384712E-2</v>
      </c>
      <c r="AJ66" s="335">
        <f t="shared" si="45"/>
        <v>2.1917070514149355E-2</v>
      </c>
      <c r="AK66" s="335">
        <f t="shared" si="45"/>
        <v>2.2039086566188942E-2</v>
      </c>
      <c r="AL66" s="335">
        <f t="shared" si="45"/>
        <v>2.2130602038359946E-2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</row>
    <row r="67" spans="12:53" x14ac:dyDescent="0.3">
      <c r="L67" s="232" t="str">
        <f>'Occ T3'!A22</f>
        <v>35 Business and public service associate professionals</v>
      </c>
      <c r="M67" s="335">
        <f t="shared" ref="M67:AG67" si="46">M20/M$49</f>
        <v>6.1640611651661147E-2</v>
      </c>
      <c r="N67" s="335">
        <f t="shared" si="46"/>
        <v>5.7185556585731531E-2</v>
      </c>
      <c r="O67" s="335">
        <f t="shared" si="46"/>
        <v>5.8679553785384024E-2</v>
      </c>
      <c r="P67" s="335">
        <f t="shared" si="46"/>
        <v>5.9626491961872419E-2</v>
      </c>
      <c r="Q67" s="335">
        <f t="shared" si="46"/>
        <v>5.9775243277273647E-2</v>
      </c>
      <c r="R67" s="335">
        <f t="shared" si="46"/>
        <v>5.9637339090257889E-2</v>
      </c>
      <c r="S67" s="335">
        <f t="shared" si="46"/>
        <v>5.9477478417491417E-2</v>
      </c>
      <c r="T67" s="335">
        <f t="shared" si="46"/>
        <v>6.1317560243307569E-2</v>
      </c>
      <c r="U67" s="335">
        <f t="shared" si="46"/>
        <v>6.0669191516977659E-2</v>
      </c>
      <c r="V67" s="335">
        <f t="shared" si="46"/>
        <v>6.1022221233250615E-2</v>
      </c>
      <c r="W67" s="335">
        <f t="shared" si="46"/>
        <v>6.3417855543712112E-2</v>
      </c>
      <c r="X67" s="335">
        <f t="shared" si="46"/>
        <v>5.9458020168844501E-2</v>
      </c>
      <c r="Y67" s="335">
        <f t="shared" si="46"/>
        <v>5.9546486721937769E-2</v>
      </c>
      <c r="Z67" s="335">
        <f t="shared" si="46"/>
        <v>5.9575117828348838E-2</v>
      </c>
      <c r="AA67" s="335">
        <f t="shared" si="46"/>
        <v>5.9601183854899535E-2</v>
      </c>
      <c r="AB67" s="335">
        <f t="shared" si="46"/>
        <v>5.9645171978218239E-2</v>
      </c>
      <c r="AC67" s="335">
        <f t="shared" si="46"/>
        <v>5.9697985258842012E-2</v>
      </c>
      <c r="AD67" s="335">
        <f t="shared" si="46"/>
        <v>5.9746078878122978E-2</v>
      </c>
      <c r="AE67" s="335">
        <f t="shared" si="46"/>
        <v>5.9779271057183482E-2</v>
      </c>
      <c r="AF67" s="335">
        <f t="shared" si="46"/>
        <v>5.9805005013337985E-2</v>
      </c>
      <c r="AG67" s="335">
        <f t="shared" si="46"/>
        <v>5.9809661596132768E-2</v>
      </c>
      <c r="AH67" s="335">
        <f t="shared" ref="AH67:AL67" si="47">AH20/AH$49</f>
        <v>5.9831823849091165E-2</v>
      </c>
      <c r="AI67" s="335">
        <f t="shared" si="47"/>
        <v>5.9916972325711665E-2</v>
      </c>
      <c r="AJ67" s="335">
        <f t="shared" si="47"/>
        <v>5.9993346608426944E-2</v>
      </c>
      <c r="AK67" s="335">
        <f t="shared" si="47"/>
        <v>6.0087373766606167E-2</v>
      </c>
      <c r="AL67" s="335">
        <f t="shared" si="47"/>
        <v>6.0172465329355732E-2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</row>
    <row r="68" spans="12:53" x14ac:dyDescent="0.3">
      <c r="L68" s="232"/>
      <c r="M68" s="335"/>
      <c r="N68" s="335"/>
      <c r="O68" s="335"/>
      <c r="P68" s="335"/>
      <c r="Q68" s="335"/>
      <c r="R68" s="335"/>
      <c r="S68" s="335"/>
      <c r="T68" s="335"/>
      <c r="U68" s="335"/>
      <c r="V68" s="335"/>
      <c r="W68" s="335"/>
      <c r="X68" s="335"/>
      <c r="Y68" s="335"/>
      <c r="Z68" s="335"/>
      <c r="AA68" s="335"/>
      <c r="AB68" s="335"/>
      <c r="AC68" s="335"/>
      <c r="AD68" s="335"/>
      <c r="AE68" s="335"/>
      <c r="AF68" s="335"/>
      <c r="AG68" s="335"/>
      <c r="AH68" s="335"/>
      <c r="AI68" s="335"/>
      <c r="AJ68" s="335"/>
      <c r="AK68" s="335"/>
      <c r="AL68" s="335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</row>
    <row r="69" spans="12:53" x14ac:dyDescent="0.3">
      <c r="L69" s="16" t="str">
        <f>'Occ T3'!A24</f>
        <v>Administrative and secretarial occupations</v>
      </c>
      <c r="M69" s="336">
        <f t="shared" ref="M69:AG69" si="48">M22/M$49</f>
        <v>0.1176237392310841</v>
      </c>
      <c r="N69" s="336">
        <f t="shared" si="48"/>
        <v>0.11257312529142437</v>
      </c>
      <c r="O69" s="336">
        <f t="shared" si="48"/>
        <v>0.11180645035022417</v>
      </c>
      <c r="P69" s="336">
        <f t="shared" si="48"/>
        <v>0.10928351978398147</v>
      </c>
      <c r="Q69" s="336">
        <f t="shared" si="48"/>
        <v>0.10895145791230064</v>
      </c>
      <c r="R69" s="336">
        <f t="shared" si="48"/>
        <v>0.10971023158535415</v>
      </c>
      <c r="S69" s="336">
        <f t="shared" si="48"/>
        <v>0.10472140972021332</v>
      </c>
      <c r="T69" s="336">
        <f t="shared" si="48"/>
        <v>0.10683919173094855</v>
      </c>
      <c r="U69" s="336">
        <f t="shared" si="48"/>
        <v>0.10639667477718794</v>
      </c>
      <c r="V69" s="336">
        <f t="shared" si="48"/>
        <v>0.10229828746972995</v>
      </c>
      <c r="W69" s="336">
        <f t="shared" si="48"/>
        <v>0.10418729536216553</v>
      </c>
      <c r="X69" s="336">
        <f t="shared" si="48"/>
        <v>0.10010737318423886</v>
      </c>
      <c r="Y69" s="336">
        <f t="shared" si="48"/>
        <v>9.9077461315771873E-2</v>
      </c>
      <c r="Z69" s="336">
        <f t="shared" si="48"/>
        <v>9.7916567791085984E-2</v>
      </c>
      <c r="AA69" s="336">
        <f t="shared" si="48"/>
        <v>9.6723842760054038E-2</v>
      </c>
      <c r="AB69" s="336">
        <f t="shared" si="48"/>
        <v>9.5428174580666339E-2</v>
      </c>
      <c r="AC69" s="336">
        <f t="shared" si="48"/>
        <v>9.4031689444936256E-2</v>
      </c>
      <c r="AD69" s="336">
        <f t="shared" si="48"/>
        <v>9.2567397191461412E-2</v>
      </c>
      <c r="AE69" s="336">
        <f t="shared" si="48"/>
        <v>9.1301304113056453E-2</v>
      </c>
      <c r="AF69" s="336">
        <f t="shared" si="48"/>
        <v>9.0073275338506981E-2</v>
      </c>
      <c r="AG69" s="336">
        <f t="shared" si="48"/>
        <v>8.8923985732009103E-2</v>
      </c>
      <c r="AH69" s="336">
        <f t="shared" ref="AH69:AL69" si="49">AH22/AH$49</f>
        <v>8.7611838235566286E-2</v>
      </c>
      <c r="AI69" s="336">
        <f t="shared" si="49"/>
        <v>8.5989028719136815E-2</v>
      </c>
      <c r="AJ69" s="336">
        <f t="shared" si="49"/>
        <v>8.4513414031955711E-2</v>
      </c>
      <c r="AK69" s="336">
        <f t="shared" si="49"/>
        <v>8.2950818212964586E-2</v>
      </c>
      <c r="AL69" s="336">
        <f t="shared" si="49"/>
        <v>8.1397145123922529E-2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</row>
    <row r="70" spans="12:53" x14ac:dyDescent="0.3">
      <c r="L70" s="232" t="str">
        <f>'Occ T3'!A25</f>
        <v>41 Administrative occupations</v>
      </c>
      <c r="M70" s="335">
        <f t="shared" ref="M70:AG70" si="50">M23/M$49</f>
        <v>8.6918229181697129E-2</v>
      </c>
      <c r="N70" s="335">
        <f t="shared" si="50"/>
        <v>8.5324880161125161E-2</v>
      </c>
      <c r="O70" s="335">
        <f t="shared" si="50"/>
        <v>8.5533169704238771E-2</v>
      </c>
      <c r="P70" s="335">
        <f t="shared" si="50"/>
        <v>8.2366501792815017E-2</v>
      </c>
      <c r="Q70" s="335">
        <f t="shared" si="50"/>
        <v>8.2314675755242886E-2</v>
      </c>
      <c r="R70" s="335">
        <f t="shared" si="50"/>
        <v>8.4957093853776589E-2</v>
      </c>
      <c r="S70" s="335">
        <f t="shared" si="50"/>
        <v>8.128907301957615E-2</v>
      </c>
      <c r="T70" s="335">
        <f t="shared" si="50"/>
        <v>8.3128058270291044E-2</v>
      </c>
      <c r="U70" s="335">
        <f t="shared" si="50"/>
        <v>8.1810366399309872E-2</v>
      </c>
      <c r="V70" s="335">
        <f t="shared" si="50"/>
        <v>7.9920650091798592E-2</v>
      </c>
      <c r="W70" s="335">
        <f t="shared" si="50"/>
        <v>8.2463738144880117E-2</v>
      </c>
      <c r="X70" s="335">
        <f t="shared" si="50"/>
        <v>7.6077590000470541E-2</v>
      </c>
      <c r="Y70" s="335">
        <f t="shared" si="50"/>
        <v>7.5525418377235129E-2</v>
      </c>
      <c r="Z70" s="335">
        <f t="shared" si="50"/>
        <v>7.4899014541044279E-2</v>
      </c>
      <c r="AA70" s="335">
        <f t="shared" si="50"/>
        <v>7.4269875199280258E-2</v>
      </c>
      <c r="AB70" s="335">
        <f t="shared" si="50"/>
        <v>7.3612782833133647E-2</v>
      </c>
      <c r="AC70" s="335">
        <f t="shared" si="50"/>
        <v>7.292506016177526E-2</v>
      </c>
      <c r="AD70" s="335">
        <f t="shared" si="50"/>
        <v>7.2216024808134008E-2</v>
      </c>
      <c r="AE70" s="335">
        <f t="shared" si="50"/>
        <v>7.147489659258334E-2</v>
      </c>
      <c r="AF70" s="335">
        <f t="shared" si="50"/>
        <v>7.0727383405831207E-2</v>
      </c>
      <c r="AG70" s="335">
        <f t="shared" si="50"/>
        <v>6.9989294930065921E-2</v>
      </c>
      <c r="AH70" s="335">
        <f t="shared" ref="AH70:AL70" si="51">AH23/AH$49</f>
        <v>6.9235399789047039E-2</v>
      </c>
      <c r="AI70" s="335">
        <f t="shared" si="51"/>
        <v>6.8457010301084309E-2</v>
      </c>
      <c r="AJ70" s="335">
        <f t="shared" si="51"/>
        <v>6.769464004319084E-2</v>
      </c>
      <c r="AK70" s="335">
        <f t="shared" si="51"/>
        <v>6.6922880472678026E-2</v>
      </c>
      <c r="AL70" s="335">
        <f t="shared" si="51"/>
        <v>6.609544648245913E-2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</row>
    <row r="71" spans="12:53" x14ac:dyDescent="0.3">
      <c r="L71" s="232" t="str">
        <f>'Occ T3'!A26</f>
        <v>42 Secretarial and related occupations</v>
      </c>
      <c r="M71" s="335">
        <f t="shared" ref="M71:AG71" si="52">M24/M$49</f>
        <v>3.0705510049386972E-2</v>
      </c>
      <c r="N71" s="335">
        <f t="shared" si="52"/>
        <v>2.724824513029921E-2</v>
      </c>
      <c r="O71" s="335">
        <f t="shared" si="52"/>
        <v>2.6273280645985411E-2</v>
      </c>
      <c r="P71" s="335">
        <f t="shared" si="52"/>
        <v>2.6917017991166445E-2</v>
      </c>
      <c r="Q71" s="335">
        <f t="shared" si="52"/>
        <v>2.6636782157057753E-2</v>
      </c>
      <c r="R71" s="335">
        <f t="shared" si="52"/>
        <v>2.475313773157756E-2</v>
      </c>
      <c r="S71" s="335">
        <f t="shared" si="52"/>
        <v>2.3432336700637164E-2</v>
      </c>
      <c r="T71" s="335">
        <f t="shared" si="52"/>
        <v>2.3711133460657501E-2</v>
      </c>
      <c r="U71" s="335">
        <f t="shared" si="52"/>
        <v>2.4586308377878067E-2</v>
      </c>
      <c r="V71" s="335">
        <f t="shared" si="52"/>
        <v>2.2377637377931345E-2</v>
      </c>
      <c r="W71" s="335">
        <f t="shared" si="52"/>
        <v>2.1723557217285413E-2</v>
      </c>
      <c r="X71" s="335">
        <f t="shared" si="52"/>
        <v>2.4029783183768336E-2</v>
      </c>
      <c r="Y71" s="335">
        <f t="shared" si="52"/>
        <v>2.3552042938536733E-2</v>
      </c>
      <c r="Z71" s="335">
        <f t="shared" si="52"/>
        <v>2.3017553250041695E-2</v>
      </c>
      <c r="AA71" s="335">
        <f t="shared" si="52"/>
        <v>2.2453967560773783E-2</v>
      </c>
      <c r="AB71" s="335">
        <f t="shared" si="52"/>
        <v>2.1815391747532699E-2</v>
      </c>
      <c r="AC71" s="335">
        <f t="shared" si="52"/>
        <v>2.1106629283161E-2</v>
      </c>
      <c r="AD71" s="335">
        <f t="shared" si="52"/>
        <v>2.0351372383327394E-2</v>
      </c>
      <c r="AE71" s="335">
        <f t="shared" si="52"/>
        <v>1.9826407520473117E-2</v>
      </c>
      <c r="AF71" s="335">
        <f t="shared" si="52"/>
        <v>1.9345891932675763E-2</v>
      </c>
      <c r="AG71" s="335">
        <f t="shared" si="52"/>
        <v>1.8934690801943172E-2</v>
      </c>
      <c r="AH71" s="335">
        <f t="shared" ref="AH71:AL71" si="53">AH24/AH$49</f>
        <v>1.8376438446519237E-2</v>
      </c>
      <c r="AI71" s="335">
        <f t="shared" si="53"/>
        <v>1.7532018418052506E-2</v>
      </c>
      <c r="AJ71" s="335">
        <f t="shared" si="53"/>
        <v>1.6818773988764857E-2</v>
      </c>
      <c r="AK71" s="335">
        <f t="shared" si="53"/>
        <v>1.6027937740286557E-2</v>
      </c>
      <c r="AL71" s="335">
        <f t="shared" si="53"/>
        <v>1.5301698641463416E-2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</row>
    <row r="72" spans="12:53" x14ac:dyDescent="0.3">
      <c r="L72" s="232"/>
      <c r="M72" s="335"/>
      <c r="N72" s="335"/>
      <c r="O72" s="335"/>
      <c r="P72" s="335"/>
      <c r="Q72" s="335"/>
      <c r="R72" s="335"/>
      <c r="S72" s="335"/>
      <c r="T72" s="335"/>
      <c r="U72" s="335"/>
      <c r="V72" s="335"/>
      <c r="W72" s="335"/>
      <c r="X72" s="335"/>
      <c r="Y72" s="335"/>
      <c r="Z72" s="335"/>
      <c r="AA72" s="335"/>
      <c r="AB72" s="335"/>
      <c r="AC72" s="335"/>
      <c r="AD72" s="335"/>
      <c r="AE72" s="335"/>
      <c r="AF72" s="335"/>
      <c r="AG72" s="335"/>
      <c r="AH72" s="335"/>
      <c r="AI72" s="335"/>
      <c r="AJ72" s="335"/>
      <c r="AK72" s="335"/>
      <c r="AL72" s="335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</row>
    <row r="73" spans="12:53" x14ac:dyDescent="0.3">
      <c r="L73" s="16" t="str">
        <f>'Occ T3'!A28</f>
        <v>Skilled trades occupations</v>
      </c>
      <c r="M73" s="336">
        <f t="shared" ref="M73:AG73" si="54">M26/M$49</f>
        <v>0.10744689055820085</v>
      </c>
      <c r="N73" s="336">
        <f t="shared" si="54"/>
        <v>0.10522312898292638</v>
      </c>
      <c r="O73" s="336">
        <f t="shared" si="54"/>
        <v>0.10278505250059929</v>
      </c>
      <c r="P73" s="336">
        <f t="shared" si="54"/>
        <v>0.10185469737562869</v>
      </c>
      <c r="Q73" s="336">
        <f t="shared" si="54"/>
        <v>0.10433008059286887</v>
      </c>
      <c r="R73" s="336">
        <f t="shared" si="54"/>
        <v>0.10633337356962813</v>
      </c>
      <c r="S73" s="336">
        <f t="shared" si="54"/>
        <v>0.10219318916223943</v>
      </c>
      <c r="T73" s="336">
        <f t="shared" si="54"/>
        <v>9.8722140179645174E-2</v>
      </c>
      <c r="U73" s="336">
        <f t="shared" si="54"/>
        <v>9.4715370809533697E-2</v>
      </c>
      <c r="V73" s="336">
        <f t="shared" si="54"/>
        <v>9.4260598787253E-2</v>
      </c>
      <c r="W73" s="336">
        <f t="shared" si="54"/>
        <v>8.5523054089474082E-2</v>
      </c>
      <c r="X73" s="336">
        <f t="shared" si="54"/>
        <v>8.7416739464737117E-2</v>
      </c>
      <c r="Y73" s="336">
        <f t="shared" si="54"/>
        <v>8.6994822656901061E-2</v>
      </c>
      <c r="Z73" s="336">
        <f t="shared" si="54"/>
        <v>8.6754722672244933E-2</v>
      </c>
      <c r="AA73" s="336">
        <f t="shared" si="54"/>
        <v>8.6395858177029536E-2</v>
      </c>
      <c r="AB73" s="336">
        <f t="shared" si="54"/>
        <v>8.5856464033262775E-2</v>
      </c>
      <c r="AC73" s="336">
        <f t="shared" si="54"/>
        <v>8.5270043837315235E-2</v>
      </c>
      <c r="AD73" s="336">
        <f t="shared" si="54"/>
        <v>8.4687658341775829E-2</v>
      </c>
      <c r="AE73" s="336">
        <f t="shared" si="54"/>
        <v>8.4127007797187084E-2</v>
      </c>
      <c r="AF73" s="336">
        <f t="shared" si="54"/>
        <v>8.36163067404532E-2</v>
      </c>
      <c r="AG73" s="336">
        <f t="shared" si="54"/>
        <v>8.3110683332112023E-2</v>
      </c>
      <c r="AH73" s="336">
        <f t="shared" ref="AH73:AL73" si="55">AH26/AH$49</f>
        <v>8.2605598952790057E-2</v>
      </c>
      <c r="AI73" s="336">
        <f t="shared" si="55"/>
        <v>8.2116261035747623E-2</v>
      </c>
      <c r="AJ73" s="336">
        <f t="shared" si="55"/>
        <v>8.1626863223198357E-2</v>
      </c>
      <c r="AK73" s="336">
        <f t="shared" si="55"/>
        <v>8.1128237384670371E-2</v>
      </c>
      <c r="AL73" s="336">
        <f t="shared" si="55"/>
        <v>8.0609643951963836E-2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</row>
    <row r="74" spans="12:53" x14ac:dyDescent="0.3">
      <c r="L74" s="232" t="str">
        <f>'Occ T3'!A29</f>
        <v>51 Skilled agricultural and related trades</v>
      </c>
      <c r="M74" s="335">
        <f t="shared" ref="M74:AG74" si="56">M27/M$49</f>
        <v>1.3094863290006926E-2</v>
      </c>
      <c r="N74" s="335">
        <f t="shared" si="56"/>
        <v>1.1048992786061491E-2</v>
      </c>
      <c r="O74" s="335">
        <f t="shared" si="56"/>
        <v>1.2848463493792922E-2</v>
      </c>
      <c r="P74" s="335">
        <f t="shared" si="56"/>
        <v>1.1033766772360952E-2</v>
      </c>
      <c r="Q74" s="335">
        <f t="shared" si="56"/>
        <v>1.2782285810974868E-2</v>
      </c>
      <c r="R74" s="335">
        <f t="shared" si="56"/>
        <v>1.2804350526237809E-2</v>
      </c>
      <c r="S74" s="335">
        <f t="shared" si="56"/>
        <v>1.3696824699008134E-2</v>
      </c>
      <c r="T74" s="335">
        <f t="shared" si="56"/>
        <v>9.9397325000295297E-3</v>
      </c>
      <c r="U74" s="335">
        <f t="shared" si="56"/>
        <v>1.0434438862026524E-2</v>
      </c>
      <c r="V74" s="335">
        <f t="shared" si="56"/>
        <v>1.3065215254694788E-2</v>
      </c>
      <c r="W74" s="335">
        <f t="shared" si="56"/>
        <v>8.7270900569498544E-3</v>
      </c>
      <c r="X74" s="335">
        <f t="shared" si="56"/>
        <v>8.5125125373441014E-3</v>
      </c>
      <c r="Y74" s="335">
        <f t="shared" si="56"/>
        <v>8.5992396613609363E-3</v>
      </c>
      <c r="Z74" s="335">
        <f t="shared" si="56"/>
        <v>8.7133224805060784E-3</v>
      </c>
      <c r="AA74" s="335">
        <f t="shared" si="56"/>
        <v>8.855534927831794E-3</v>
      </c>
      <c r="AB74" s="335">
        <f t="shared" si="56"/>
        <v>8.968114746141476E-3</v>
      </c>
      <c r="AC74" s="335">
        <f t="shared" si="56"/>
        <v>9.0729189004635953E-3</v>
      </c>
      <c r="AD74" s="335">
        <f t="shared" si="56"/>
        <v>9.1666142981518314E-3</v>
      </c>
      <c r="AE74" s="335">
        <f t="shared" si="56"/>
        <v>9.2619605202535777E-3</v>
      </c>
      <c r="AF74" s="335">
        <f t="shared" si="56"/>
        <v>9.3546079673074503E-3</v>
      </c>
      <c r="AG74" s="335">
        <f t="shared" si="56"/>
        <v>9.4541780780369473E-3</v>
      </c>
      <c r="AH74" s="335">
        <f t="shared" ref="AH74:AL74" si="57">AH27/AH$49</f>
        <v>9.5569374768876576E-3</v>
      </c>
      <c r="AI74" s="335">
        <f t="shared" si="57"/>
        <v>9.6587889469366365E-3</v>
      </c>
      <c r="AJ74" s="335">
        <f t="shared" si="57"/>
        <v>9.7580125019929593E-3</v>
      </c>
      <c r="AK74" s="335">
        <f t="shared" si="57"/>
        <v>9.8581522857472976E-3</v>
      </c>
      <c r="AL74" s="335">
        <f t="shared" si="57"/>
        <v>9.9657456071749473E-3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</row>
    <row r="75" spans="12:53" x14ac:dyDescent="0.3">
      <c r="L75" s="232" t="str">
        <f>'Occ T3'!A30</f>
        <v>52 Skilled metal, electrical and electronic trades</v>
      </c>
      <c r="M75" s="335">
        <f t="shared" ref="M75:AG75" si="58">M28/M$49</f>
        <v>3.6051390269259034E-2</v>
      </c>
      <c r="N75" s="335">
        <f t="shared" si="58"/>
        <v>3.7720620025722733E-2</v>
      </c>
      <c r="O75" s="335">
        <f t="shared" si="58"/>
        <v>3.6291560249383605E-2</v>
      </c>
      <c r="P75" s="335">
        <f t="shared" si="58"/>
        <v>3.6270890378514782E-2</v>
      </c>
      <c r="Q75" s="335">
        <f t="shared" si="58"/>
        <v>3.7557367460390054E-2</v>
      </c>
      <c r="R75" s="335">
        <f t="shared" si="58"/>
        <v>3.861712746380784E-2</v>
      </c>
      <c r="S75" s="335">
        <f t="shared" si="58"/>
        <v>3.7607197804567144E-2</v>
      </c>
      <c r="T75" s="335">
        <f t="shared" si="58"/>
        <v>3.5228307050964337E-2</v>
      </c>
      <c r="U75" s="335">
        <f t="shared" si="58"/>
        <v>3.5154849000361851E-2</v>
      </c>
      <c r="V75" s="335">
        <f t="shared" si="58"/>
        <v>3.5573318572552574E-2</v>
      </c>
      <c r="W75" s="335">
        <f t="shared" si="58"/>
        <v>3.1638098540354043E-2</v>
      </c>
      <c r="X75" s="335">
        <f t="shared" si="58"/>
        <v>3.2065232701974915E-2</v>
      </c>
      <c r="Y75" s="335">
        <f t="shared" si="58"/>
        <v>3.1939913010949783E-2</v>
      </c>
      <c r="Z75" s="335">
        <f t="shared" si="58"/>
        <v>3.1791072741901273E-2</v>
      </c>
      <c r="AA75" s="335">
        <f t="shared" si="58"/>
        <v>3.160444686886936E-2</v>
      </c>
      <c r="AB75" s="335">
        <f t="shared" si="58"/>
        <v>3.1365927708630038E-2</v>
      </c>
      <c r="AC75" s="335">
        <f t="shared" si="58"/>
        <v>3.1129500406852233E-2</v>
      </c>
      <c r="AD75" s="335">
        <f t="shared" si="58"/>
        <v>3.0898257628741613E-2</v>
      </c>
      <c r="AE75" s="335">
        <f t="shared" si="58"/>
        <v>3.0663562102097589E-2</v>
      </c>
      <c r="AF75" s="335">
        <f t="shared" si="58"/>
        <v>3.0417857212006783E-2</v>
      </c>
      <c r="AG75" s="335">
        <f t="shared" si="58"/>
        <v>3.0168624522707528E-2</v>
      </c>
      <c r="AH75" s="335">
        <f t="shared" ref="AH75:AL75" si="59">AH28/AH$49</f>
        <v>2.9923473436614362E-2</v>
      </c>
      <c r="AI75" s="335">
        <f t="shared" si="59"/>
        <v>2.9690473392028818E-2</v>
      </c>
      <c r="AJ75" s="335">
        <f t="shared" si="59"/>
        <v>2.9443414297067375E-2</v>
      </c>
      <c r="AK75" s="335">
        <f t="shared" si="59"/>
        <v>2.9196114082688469E-2</v>
      </c>
      <c r="AL75" s="335">
        <f t="shared" si="59"/>
        <v>2.8944369186331562E-2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</row>
    <row r="76" spans="12:53" x14ac:dyDescent="0.3">
      <c r="L76" s="232" t="str">
        <f>'Occ T3'!A31</f>
        <v>53 Skilled construction and building trades</v>
      </c>
      <c r="M76" s="335">
        <f t="shared" ref="M76:AG76" si="60">M29/M$49</f>
        <v>3.6913825995160958E-2</v>
      </c>
      <c r="N76" s="335">
        <f t="shared" si="60"/>
        <v>3.4987766957515827E-2</v>
      </c>
      <c r="O76" s="335">
        <f t="shared" si="60"/>
        <v>3.0423838564009393E-2</v>
      </c>
      <c r="P76" s="335">
        <f t="shared" si="60"/>
        <v>3.1651949707229059E-2</v>
      </c>
      <c r="Q76" s="335">
        <f t="shared" si="60"/>
        <v>3.0479685847618791E-2</v>
      </c>
      <c r="R76" s="335">
        <f t="shared" si="60"/>
        <v>3.1444272664396054E-2</v>
      </c>
      <c r="S76" s="335">
        <f t="shared" si="60"/>
        <v>2.7658518208636181E-2</v>
      </c>
      <c r="T76" s="335">
        <f t="shared" si="60"/>
        <v>3.0091346746488008E-2</v>
      </c>
      <c r="U76" s="335">
        <f t="shared" si="60"/>
        <v>2.8078664865643779E-2</v>
      </c>
      <c r="V76" s="335">
        <f t="shared" si="60"/>
        <v>2.612227026512846E-2</v>
      </c>
      <c r="W76" s="335">
        <f t="shared" si="60"/>
        <v>2.5999248099493756E-2</v>
      </c>
      <c r="X76" s="335">
        <f t="shared" si="60"/>
        <v>2.7911512550718946E-2</v>
      </c>
      <c r="Y76" s="335">
        <f t="shared" si="60"/>
        <v>2.7576931129542317E-2</v>
      </c>
      <c r="Z76" s="335">
        <f t="shared" si="60"/>
        <v>2.7422968360775079E-2</v>
      </c>
      <c r="AA76" s="335">
        <f t="shared" si="60"/>
        <v>2.7156186095565596E-2</v>
      </c>
      <c r="AB76" s="335">
        <f t="shared" si="60"/>
        <v>2.6777251487707206E-2</v>
      </c>
      <c r="AC76" s="335">
        <f t="shared" si="60"/>
        <v>2.6401851092904285E-2</v>
      </c>
      <c r="AD76" s="335">
        <f t="shared" si="60"/>
        <v>2.6045892866102628E-2</v>
      </c>
      <c r="AE76" s="335">
        <f t="shared" si="60"/>
        <v>2.5696889943757965E-2</v>
      </c>
      <c r="AF76" s="335">
        <f t="shared" si="60"/>
        <v>2.5364932039436877E-2</v>
      </c>
      <c r="AG76" s="335">
        <f t="shared" si="60"/>
        <v>2.5034149688835643E-2</v>
      </c>
      <c r="AH76" s="335">
        <f t="shared" ref="AH76:AL76" si="61">AH29/AH$49</f>
        <v>2.4705461484013563E-2</v>
      </c>
      <c r="AI76" s="335">
        <f t="shared" si="61"/>
        <v>2.4374607397245708E-2</v>
      </c>
      <c r="AJ76" s="335">
        <f t="shared" si="61"/>
        <v>2.4038911010492877E-2</v>
      </c>
      <c r="AK76" s="335">
        <f t="shared" si="61"/>
        <v>2.3697412094036766E-2</v>
      </c>
      <c r="AL76" s="335">
        <f t="shared" si="61"/>
        <v>2.3358061508826161E-2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</row>
    <row r="77" spans="12:53" x14ac:dyDescent="0.3">
      <c r="L77" s="232" t="str">
        <f>'Occ T3'!A32</f>
        <v>54 Textiles, printing and other skilled trades</v>
      </c>
      <c r="M77" s="335">
        <f t="shared" ref="M77:AG77" si="62">M30/M$49</f>
        <v>2.1386811003773931E-2</v>
      </c>
      <c r="N77" s="335">
        <f t="shared" si="62"/>
        <v>2.1465749213626331E-2</v>
      </c>
      <c r="O77" s="335">
        <f t="shared" si="62"/>
        <v>2.3221190193413357E-2</v>
      </c>
      <c r="P77" s="335">
        <f t="shared" si="62"/>
        <v>2.2898090517523902E-2</v>
      </c>
      <c r="Q77" s="335">
        <f t="shared" si="62"/>
        <v>2.3510741473885162E-2</v>
      </c>
      <c r="R77" s="335">
        <f t="shared" si="62"/>
        <v>2.3467622915186417E-2</v>
      </c>
      <c r="S77" s="335">
        <f t="shared" si="62"/>
        <v>2.3230648450027969E-2</v>
      </c>
      <c r="T77" s="335">
        <f t="shared" si="62"/>
        <v>2.346275388216329E-2</v>
      </c>
      <c r="U77" s="335">
        <f t="shared" si="62"/>
        <v>2.1047418081501564E-2</v>
      </c>
      <c r="V77" s="335">
        <f t="shared" si="62"/>
        <v>1.9499794694877181E-2</v>
      </c>
      <c r="W77" s="335">
        <f t="shared" si="62"/>
        <v>1.9158617392676418E-2</v>
      </c>
      <c r="X77" s="335">
        <f t="shared" si="62"/>
        <v>1.8927481674699157E-2</v>
      </c>
      <c r="Y77" s="335">
        <f t="shared" si="62"/>
        <v>1.8878738855048018E-2</v>
      </c>
      <c r="Z77" s="335">
        <f t="shared" si="62"/>
        <v>1.8827359089062506E-2</v>
      </c>
      <c r="AA77" s="335">
        <f t="shared" si="62"/>
        <v>1.8779690284762781E-2</v>
      </c>
      <c r="AB77" s="335">
        <f t="shared" si="62"/>
        <v>1.8745170090784063E-2</v>
      </c>
      <c r="AC77" s="335">
        <f t="shared" si="62"/>
        <v>1.8665773437095128E-2</v>
      </c>
      <c r="AD77" s="335">
        <f t="shared" si="62"/>
        <v>1.8576893548779751E-2</v>
      </c>
      <c r="AE77" s="335">
        <f t="shared" si="62"/>
        <v>1.8504595231077944E-2</v>
      </c>
      <c r="AF77" s="335">
        <f t="shared" si="62"/>
        <v>1.8478909521702107E-2</v>
      </c>
      <c r="AG77" s="335">
        <f t="shared" si="62"/>
        <v>1.8453731042531896E-2</v>
      </c>
      <c r="AH77" s="335">
        <f t="shared" ref="AH77:AL77" si="63">AH30/AH$49</f>
        <v>1.841972655527449E-2</v>
      </c>
      <c r="AI77" s="335">
        <f t="shared" si="63"/>
        <v>1.8392391299536463E-2</v>
      </c>
      <c r="AJ77" s="335">
        <f t="shared" si="63"/>
        <v>1.8386525413645143E-2</v>
      </c>
      <c r="AK77" s="335">
        <f t="shared" si="63"/>
        <v>1.8376558922197851E-2</v>
      </c>
      <c r="AL77" s="335">
        <f t="shared" si="63"/>
        <v>1.8341467649631168E-2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</row>
    <row r="78" spans="12:53" x14ac:dyDescent="0.3">
      <c r="L78" s="232"/>
      <c r="M78" s="335"/>
      <c r="N78" s="335"/>
      <c r="O78" s="335"/>
      <c r="P78" s="335"/>
      <c r="Q78" s="335"/>
      <c r="R78" s="335"/>
      <c r="S78" s="335"/>
      <c r="T78" s="335"/>
      <c r="U78" s="335"/>
      <c r="V78" s="335"/>
      <c r="W78" s="335"/>
      <c r="X78" s="335"/>
      <c r="Y78" s="335"/>
      <c r="Z78" s="335"/>
      <c r="AA78" s="335"/>
      <c r="AB78" s="335"/>
      <c r="AC78" s="335"/>
      <c r="AD78" s="335"/>
      <c r="AE78" s="335"/>
      <c r="AF78" s="335"/>
      <c r="AG78" s="335"/>
      <c r="AH78" s="335"/>
      <c r="AI78" s="335"/>
      <c r="AJ78" s="335"/>
      <c r="AK78" s="335"/>
      <c r="AL78" s="335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</row>
    <row r="79" spans="12:53" x14ac:dyDescent="0.3">
      <c r="L79" s="16" t="str">
        <f>'Occ T3'!A34</f>
        <v>Caring, leisure and other service occupations</v>
      </c>
      <c r="M79" s="336">
        <f>M32/M$49</f>
        <v>9.0736175597846483E-2</v>
      </c>
      <c r="N79" s="336">
        <f t="shared" ref="N79:AG79" si="64">N32/N$49</f>
        <v>8.9844781089353648E-2</v>
      </c>
      <c r="O79" s="336">
        <f t="shared" si="64"/>
        <v>9.02771715638888E-2</v>
      </c>
      <c r="P79" s="336">
        <f t="shared" si="64"/>
        <v>9.1436867881283454E-2</v>
      </c>
      <c r="Q79" s="336">
        <f t="shared" si="64"/>
        <v>9.2357999719342151E-2</v>
      </c>
      <c r="R79" s="336">
        <f t="shared" si="64"/>
        <v>9.1917099881719491E-2</v>
      </c>
      <c r="S79" s="336">
        <f t="shared" si="64"/>
        <v>9.6619025791282981E-2</v>
      </c>
      <c r="T79" s="336">
        <f t="shared" si="64"/>
        <v>9.5113184891167102E-2</v>
      </c>
      <c r="U79" s="336">
        <f t="shared" si="64"/>
        <v>9.2016504396462959E-2</v>
      </c>
      <c r="V79" s="336">
        <f t="shared" si="64"/>
        <v>9.563663036441887E-2</v>
      </c>
      <c r="W79" s="336">
        <f t="shared" si="64"/>
        <v>9.4358589334422552E-2</v>
      </c>
      <c r="X79" s="336">
        <f t="shared" si="64"/>
        <v>9.6570499278429978E-2</v>
      </c>
      <c r="Y79" s="336">
        <f t="shared" si="64"/>
        <v>9.6886024783942579E-2</v>
      </c>
      <c r="Z79" s="336">
        <f t="shared" si="64"/>
        <v>9.7132806896983531E-2</v>
      </c>
      <c r="AA79" s="336">
        <f t="shared" si="64"/>
        <v>9.74189083226457E-2</v>
      </c>
      <c r="AB79" s="336">
        <f t="shared" si="64"/>
        <v>9.7819494963076611E-2</v>
      </c>
      <c r="AC79" s="336">
        <f t="shared" si="64"/>
        <v>9.8282442201021294E-2</v>
      </c>
      <c r="AD79" s="336">
        <f t="shared" si="64"/>
        <v>9.8770154263064916E-2</v>
      </c>
      <c r="AE79" s="336">
        <f t="shared" si="64"/>
        <v>9.9155749584615996E-2</v>
      </c>
      <c r="AF79" s="336">
        <f t="shared" si="64"/>
        <v>9.9579440386163967E-2</v>
      </c>
      <c r="AG79" s="336">
        <f t="shared" si="64"/>
        <v>9.9998088740481925E-2</v>
      </c>
      <c r="AH79" s="336">
        <f t="shared" ref="AH79:AL79" si="65">AH32/AH$49</f>
        <v>0.10044721036615648</v>
      </c>
      <c r="AI79" s="336">
        <f t="shared" si="65"/>
        <v>0.10096791202229519</v>
      </c>
      <c r="AJ79" s="336">
        <f t="shared" si="65"/>
        <v>0.10148915059219454</v>
      </c>
      <c r="AK79" s="336">
        <f t="shared" si="65"/>
        <v>0.10203644771875783</v>
      </c>
      <c r="AL79" s="336">
        <f t="shared" si="65"/>
        <v>0.10263442617697309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</row>
    <row r="80" spans="12:53" x14ac:dyDescent="0.3">
      <c r="L80" s="232" t="str">
        <f>'Occ T3'!A35</f>
        <v>61 Caring personal service occupations</v>
      </c>
      <c r="M80" s="335">
        <f t="shared" ref="M80:AG80" si="66">M33/M$49</f>
        <v>6.6446762654423563E-2</v>
      </c>
      <c r="N80" s="335">
        <f t="shared" si="66"/>
        <v>6.5905530711677859E-2</v>
      </c>
      <c r="O80" s="335">
        <f t="shared" si="66"/>
        <v>6.5950218375477543E-2</v>
      </c>
      <c r="P80" s="335">
        <f t="shared" si="66"/>
        <v>6.8756423384165238E-2</v>
      </c>
      <c r="Q80" s="335">
        <f t="shared" si="66"/>
        <v>7.0286617136496546E-2</v>
      </c>
      <c r="R80" s="335">
        <f t="shared" si="66"/>
        <v>6.9361660477277806E-2</v>
      </c>
      <c r="S80" s="335">
        <f t="shared" si="66"/>
        <v>7.3007493459610023E-2</v>
      </c>
      <c r="T80" s="335">
        <f t="shared" si="66"/>
        <v>7.2078433966462671E-2</v>
      </c>
      <c r="U80" s="335">
        <f t="shared" si="66"/>
        <v>6.9773347613451484E-2</v>
      </c>
      <c r="V80" s="335">
        <f t="shared" si="66"/>
        <v>7.2202033161190601E-2</v>
      </c>
      <c r="W80" s="335">
        <f t="shared" si="66"/>
        <v>7.0460794533348983E-2</v>
      </c>
      <c r="X80" s="335">
        <f t="shared" si="66"/>
        <v>7.2927043993091453E-2</v>
      </c>
      <c r="Y80" s="335">
        <f t="shared" si="66"/>
        <v>7.3231462685791324E-2</v>
      </c>
      <c r="Z80" s="335">
        <f t="shared" si="66"/>
        <v>7.3532819600238317E-2</v>
      </c>
      <c r="AA80" s="335">
        <f t="shared" si="66"/>
        <v>7.3867985821127746E-2</v>
      </c>
      <c r="AB80" s="335">
        <f t="shared" si="66"/>
        <v>7.4325269045820305E-2</v>
      </c>
      <c r="AC80" s="335">
        <f t="shared" si="66"/>
        <v>7.4845017929422247E-2</v>
      </c>
      <c r="AD80" s="335">
        <f t="shared" si="66"/>
        <v>7.5389349648683254E-2</v>
      </c>
      <c r="AE80" s="335">
        <f t="shared" si="66"/>
        <v>7.5842195102032731E-2</v>
      </c>
      <c r="AF80" s="335">
        <f t="shared" si="66"/>
        <v>7.6322655122627051E-2</v>
      </c>
      <c r="AG80" s="335">
        <f t="shared" si="66"/>
        <v>7.6801321264574909E-2</v>
      </c>
      <c r="AH80" s="335">
        <f t="shared" ref="AH80:AL80" si="67">AH33/AH$49</f>
        <v>7.7300492211145544E-2</v>
      </c>
      <c r="AI80" s="335">
        <f t="shared" si="67"/>
        <v>7.7868188254263476E-2</v>
      </c>
      <c r="AJ80" s="335">
        <f t="shared" si="67"/>
        <v>7.8454899837730019E-2</v>
      </c>
      <c r="AK80" s="335">
        <f t="shared" si="67"/>
        <v>7.9077305067176251E-2</v>
      </c>
      <c r="AL80" s="335">
        <f t="shared" si="67"/>
        <v>7.9736135244226791E-2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</row>
    <row r="81" spans="12:53" x14ac:dyDescent="0.3">
      <c r="L81" s="232" t="str">
        <f>'Occ T3'!A36</f>
        <v>62 Leisure, travel and related personal service occupations</v>
      </c>
      <c r="M81" s="335">
        <f t="shared" ref="M81:AG82" si="68">M34/M$49</f>
        <v>2.2714499394419344E-2</v>
      </c>
      <c r="N81" s="335">
        <f t="shared" si="68"/>
        <v>2.2777005875686013E-2</v>
      </c>
      <c r="O81" s="335">
        <f t="shared" si="68"/>
        <v>2.3263303159074399E-2</v>
      </c>
      <c r="P81" s="335">
        <f t="shared" si="68"/>
        <v>2.1710553731151102E-2</v>
      </c>
      <c r="Q81" s="335">
        <f t="shared" si="68"/>
        <v>2.0996238932159631E-2</v>
      </c>
      <c r="R81" s="335">
        <f t="shared" si="68"/>
        <v>2.1527217425380673E-2</v>
      </c>
      <c r="S81" s="335">
        <f t="shared" si="68"/>
        <v>2.2753045027065027E-2</v>
      </c>
      <c r="T81" s="335">
        <f t="shared" si="68"/>
        <v>2.2164593297700218E-2</v>
      </c>
      <c r="U81" s="335">
        <f t="shared" si="68"/>
        <v>2.1313283949851922E-2</v>
      </c>
      <c r="V81" s="335">
        <f t="shared" si="68"/>
        <v>2.2615253509990198E-2</v>
      </c>
      <c r="W81" s="335">
        <f t="shared" si="68"/>
        <v>2.2821911247517365E-2</v>
      </c>
      <c r="X81" s="335">
        <f t="shared" si="68"/>
        <v>2.2822852597786214E-2</v>
      </c>
      <c r="Y81" s="335">
        <f t="shared" si="68"/>
        <v>2.2827306337830523E-2</v>
      </c>
      <c r="Z81" s="335">
        <f t="shared" si="68"/>
        <v>2.2768205385783204E-2</v>
      </c>
      <c r="AA81" s="335">
        <f t="shared" si="68"/>
        <v>2.2713871524354032E-2</v>
      </c>
      <c r="AB81" s="335">
        <f t="shared" si="68"/>
        <v>2.2651936240423779E-2</v>
      </c>
      <c r="AC81" s="335">
        <f t="shared" si="68"/>
        <v>2.2591331777615992E-2</v>
      </c>
      <c r="AD81" s="335">
        <f t="shared" si="68"/>
        <v>2.2531003549908404E-2</v>
      </c>
      <c r="AE81" s="335">
        <f t="shared" si="68"/>
        <v>2.2461565955395446E-2</v>
      </c>
      <c r="AF81" s="335">
        <f t="shared" si="68"/>
        <v>2.2399816540283758E-2</v>
      </c>
      <c r="AG81" s="335">
        <f t="shared" si="68"/>
        <v>2.2337260699435799E-2</v>
      </c>
      <c r="AH81" s="335">
        <f t="shared" ref="AH81:AL81" si="69">AH34/AH$49</f>
        <v>2.2284042521426711E-2</v>
      </c>
      <c r="AI81" s="335">
        <f t="shared" si="69"/>
        <v>2.223544600497273E-2</v>
      </c>
      <c r="AJ81" s="335">
        <f t="shared" si="69"/>
        <v>2.2165465793061015E-2</v>
      </c>
      <c r="AK81" s="335">
        <f t="shared" si="69"/>
        <v>2.2089207367666987E-2</v>
      </c>
      <c r="AL81" s="335">
        <f t="shared" si="69"/>
        <v>2.2024269720505668E-2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</row>
    <row r="82" spans="12:53" x14ac:dyDescent="0.3">
      <c r="L82" s="232" t="str">
        <f>'Occ T3'!A37</f>
        <v>63 Community and civil enforcement occupations</v>
      </c>
      <c r="M82" s="335">
        <f>M35/M$49</f>
        <v>1.5749135490035803E-3</v>
      </c>
      <c r="N82" s="335">
        <f t="shared" si="68"/>
        <v>1.1622445019897824E-3</v>
      </c>
      <c r="O82" s="335">
        <f t="shared" si="68"/>
        <v>1.0636500293368686E-3</v>
      </c>
      <c r="P82" s="335">
        <f t="shared" si="68"/>
        <v>9.6989076596712355E-4</v>
      </c>
      <c r="Q82" s="335">
        <f t="shared" si="68"/>
        <v>1.0751436506859615E-3</v>
      </c>
      <c r="R82" s="335">
        <f t="shared" si="68"/>
        <v>1.0282219790610195E-3</v>
      </c>
      <c r="S82" s="335">
        <f t="shared" si="68"/>
        <v>8.5848730460791767E-4</v>
      </c>
      <c r="T82" s="335">
        <f t="shared" si="68"/>
        <v>8.7015762700421763E-4</v>
      </c>
      <c r="U82" s="335">
        <f t="shared" si="68"/>
        <v>9.2987283315957539E-4</v>
      </c>
      <c r="V82" s="335">
        <f t="shared" si="68"/>
        <v>8.1934369323805609E-4</v>
      </c>
      <c r="W82" s="335">
        <f t="shared" si="68"/>
        <v>1.0758835535562027E-3</v>
      </c>
      <c r="X82" s="335">
        <f t="shared" si="68"/>
        <v>8.2060268755232446E-4</v>
      </c>
      <c r="Y82" s="335">
        <f t="shared" si="68"/>
        <v>8.2725576032073068E-4</v>
      </c>
      <c r="Z82" s="335">
        <f t="shared" si="68"/>
        <v>8.3178191096201348E-4</v>
      </c>
      <c r="AA82" s="335">
        <f t="shared" si="68"/>
        <v>8.3705097716393223E-4</v>
      </c>
      <c r="AB82" s="335">
        <f t="shared" si="68"/>
        <v>8.4228967683252695E-4</v>
      </c>
      <c r="AC82" s="335">
        <f t="shared" si="68"/>
        <v>8.4609249398305282E-4</v>
      </c>
      <c r="AD82" s="335">
        <f t="shared" si="68"/>
        <v>8.4980106447325135E-4</v>
      </c>
      <c r="AE82" s="335">
        <f t="shared" si="68"/>
        <v>8.5198852718782673E-4</v>
      </c>
      <c r="AF82" s="335">
        <f t="shared" si="68"/>
        <v>8.5696872325315165E-4</v>
      </c>
      <c r="AG82" s="335">
        <f t="shared" si="68"/>
        <v>8.5950677647121535E-4</v>
      </c>
      <c r="AH82" s="335">
        <f t="shared" ref="AH82:AL82" si="70">AH35/AH$49</f>
        <v>8.6267563358422223E-4</v>
      </c>
      <c r="AI82" s="335">
        <f t="shared" si="70"/>
        <v>8.6427776305897743E-4</v>
      </c>
      <c r="AJ82" s="335">
        <f t="shared" si="70"/>
        <v>8.6878496140350254E-4</v>
      </c>
      <c r="AK82" s="335">
        <f t="shared" si="70"/>
        <v>8.6993528391459752E-4</v>
      </c>
      <c r="AL82" s="335">
        <f t="shared" si="70"/>
        <v>8.7402121224062883E-4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</row>
    <row r="83" spans="12:53" x14ac:dyDescent="0.3">
      <c r="L83" s="232"/>
      <c r="M83" s="335"/>
      <c r="N83" s="335"/>
      <c r="O83" s="335"/>
      <c r="P83" s="335"/>
      <c r="Q83" s="335"/>
      <c r="R83" s="335"/>
      <c r="S83" s="335"/>
      <c r="T83" s="335"/>
      <c r="U83" s="335"/>
      <c r="V83" s="335"/>
      <c r="W83" s="335"/>
      <c r="X83" s="335"/>
      <c r="Y83" s="335"/>
      <c r="Z83" s="335"/>
      <c r="AA83" s="335"/>
      <c r="AB83" s="335"/>
      <c r="AC83" s="335"/>
      <c r="AD83" s="335"/>
      <c r="AE83" s="335"/>
      <c r="AF83" s="335"/>
      <c r="AG83" s="335"/>
      <c r="AH83" s="335"/>
      <c r="AI83" s="335"/>
      <c r="AJ83" s="335"/>
      <c r="AK83" s="335"/>
      <c r="AL83" s="335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</row>
    <row r="84" spans="12:53" x14ac:dyDescent="0.3">
      <c r="L84" s="16" t="str">
        <f>'Occ T3'!A39</f>
        <v>Sales and customer service occupations</v>
      </c>
      <c r="M84" s="336">
        <f t="shared" ref="M84:AG84" si="71">M37/M$49</f>
        <v>8.9533814438908912E-2</v>
      </c>
      <c r="N84" s="336">
        <f t="shared" si="71"/>
        <v>9.5211605679298747E-2</v>
      </c>
      <c r="O84" s="336">
        <f t="shared" si="71"/>
        <v>9.3169677796787059E-2</v>
      </c>
      <c r="P84" s="336">
        <f t="shared" si="71"/>
        <v>9.0798516765383613E-2</v>
      </c>
      <c r="Q84" s="336">
        <f t="shared" si="71"/>
        <v>8.6576804649466085E-2</v>
      </c>
      <c r="R84" s="336">
        <f t="shared" si="71"/>
        <v>8.7175724363119794E-2</v>
      </c>
      <c r="S84" s="336">
        <f t="shared" si="71"/>
        <v>8.4445081149415291E-2</v>
      </c>
      <c r="T84" s="336">
        <f t="shared" si="71"/>
        <v>8.1874173583562276E-2</v>
      </c>
      <c r="U84" s="336">
        <f t="shared" si="71"/>
        <v>8.29729935108421E-2</v>
      </c>
      <c r="V84" s="336">
        <f t="shared" si="71"/>
        <v>7.6775925663513059E-2</v>
      </c>
      <c r="W84" s="336">
        <f t="shared" si="71"/>
        <v>7.7045140209651669E-2</v>
      </c>
      <c r="X84" s="336">
        <f t="shared" si="71"/>
        <v>7.6099291974291647E-2</v>
      </c>
      <c r="Y84" s="336">
        <f t="shared" si="71"/>
        <v>7.5875055242966088E-2</v>
      </c>
      <c r="Z84" s="336">
        <f t="shared" si="71"/>
        <v>7.5513497288072051E-2</v>
      </c>
      <c r="AA84" s="336">
        <f t="shared" si="71"/>
        <v>7.5150590295127703E-2</v>
      </c>
      <c r="AB84" s="336">
        <f t="shared" si="71"/>
        <v>7.4825563349052562E-2</v>
      </c>
      <c r="AC84" s="336">
        <f t="shared" si="71"/>
        <v>7.4494403621771843E-2</v>
      </c>
      <c r="AD84" s="336">
        <f t="shared" si="71"/>
        <v>7.4123159379022405E-2</v>
      </c>
      <c r="AE84" s="336">
        <f t="shared" si="71"/>
        <v>7.3745986685064976E-2</v>
      </c>
      <c r="AF84" s="336">
        <f t="shared" si="71"/>
        <v>7.3382376969788388E-2</v>
      </c>
      <c r="AG84" s="336">
        <f t="shared" si="71"/>
        <v>7.3061296984581595E-2</v>
      </c>
      <c r="AH84" s="336">
        <f t="shared" ref="AH84:AL84" si="72">AH37/AH$49</f>
        <v>7.2689660628389163E-2</v>
      </c>
      <c r="AI84" s="336">
        <f t="shared" si="72"/>
        <v>7.2388090422994392E-2</v>
      </c>
      <c r="AJ84" s="336">
        <f t="shared" si="72"/>
        <v>7.2050783896069143E-2</v>
      </c>
      <c r="AK84" s="336">
        <f t="shared" si="72"/>
        <v>7.1703954629581235E-2</v>
      </c>
      <c r="AL84" s="336">
        <f t="shared" si="72"/>
        <v>7.136828127648219E-2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</row>
    <row r="85" spans="12:53" x14ac:dyDescent="0.3">
      <c r="L85" s="232" t="str">
        <f>'Occ T3'!A40</f>
        <v>71 Sales occupations</v>
      </c>
      <c r="M85" s="335">
        <f t="shared" ref="M85:AG85" si="73">M38/M$49</f>
        <v>7.4449300205107288E-2</v>
      </c>
      <c r="N85" s="335">
        <f t="shared" si="73"/>
        <v>8.0723177349764447E-2</v>
      </c>
      <c r="O85" s="335">
        <f t="shared" si="73"/>
        <v>7.8472698486942022E-2</v>
      </c>
      <c r="P85" s="335">
        <f t="shared" si="73"/>
        <v>7.632105162875194E-2</v>
      </c>
      <c r="Q85" s="335">
        <f t="shared" si="73"/>
        <v>7.3177722497262718E-2</v>
      </c>
      <c r="R85" s="335">
        <f t="shared" si="73"/>
        <v>7.2458107843424477E-2</v>
      </c>
      <c r="S85" s="335">
        <f t="shared" si="73"/>
        <v>7.0128067394214469E-2</v>
      </c>
      <c r="T85" s="335">
        <f t="shared" si="73"/>
        <v>6.6421504167813547E-2</v>
      </c>
      <c r="U85" s="335">
        <f t="shared" si="73"/>
        <v>6.7001560673649055E-2</v>
      </c>
      <c r="V85" s="335">
        <f t="shared" si="73"/>
        <v>6.1455742061748739E-2</v>
      </c>
      <c r="W85" s="335">
        <f t="shared" si="73"/>
        <v>6.1336999444339735E-2</v>
      </c>
      <c r="X85" s="335">
        <f t="shared" si="73"/>
        <v>5.7351208253226406E-2</v>
      </c>
      <c r="Y85" s="335">
        <f t="shared" si="73"/>
        <v>5.6935003070411355E-2</v>
      </c>
      <c r="Z85" s="335">
        <f t="shared" si="73"/>
        <v>5.6392303060172948E-2</v>
      </c>
      <c r="AA85" s="335">
        <f t="shared" si="73"/>
        <v>5.5853213140816572E-2</v>
      </c>
      <c r="AB85" s="335">
        <f t="shared" si="73"/>
        <v>5.5345942785656757E-2</v>
      </c>
      <c r="AC85" s="335">
        <f t="shared" si="73"/>
        <v>5.4830356999124315E-2</v>
      </c>
      <c r="AD85" s="335">
        <f t="shared" si="73"/>
        <v>5.4275614011283828E-2</v>
      </c>
      <c r="AE85" s="335">
        <f t="shared" si="73"/>
        <v>5.3712813760304436E-2</v>
      </c>
      <c r="AF85" s="335">
        <f t="shared" si="73"/>
        <v>5.3156278819355786E-2</v>
      </c>
      <c r="AG85" s="335">
        <f t="shared" si="73"/>
        <v>5.2648773703140882E-2</v>
      </c>
      <c r="AH85" s="335">
        <f t="shared" ref="AH85:AL85" si="74">AH38/AH$49</f>
        <v>5.2086213719426538E-2</v>
      </c>
      <c r="AI85" s="335">
        <f t="shared" si="74"/>
        <v>5.1594318239778392E-2</v>
      </c>
      <c r="AJ85" s="335">
        <f t="shared" si="74"/>
        <v>5.1065314717664206E-2</v>
      </c>
      <c r="AK85" s="335">
        <f t="shared" si="74"/>
        <v>5.0518255967130339E-2</v>
      </c>
      <c r="AL85" s="335">
        <f t="shared" si="74"/>
        <v>4.9987241315003338E-2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</row>
    <row r="86" spans="12:53" x14ac:dyDescent="0.3">
      <c r="L86" s="232" t="str">
        <f>'Occ T3'!A41</f>
        <v>72 Customer service occupations</v>
      </c>
      <c r="M86" s="335">
        <f>M39/M$49</f>
        <v>1.5084514233801624E-2</v>
      </c>
      <c r="N86" s="335">
        <f t="shared" ref="N86:AG86" si="75">N39/N$49</f>
        <v>1.4488428329534311E-2</v>
      </c>
      <c r="O86" s="335">
        <f t="shared" si="75"/>
        <v>1.4696979309845036E-2</v>
      </c>
      <c r="P86" s="335">
        <f t="shared" si="75"/>
        <v>1.447746513663168E-2</v>
      </c>
      <c r="Q86" s="335">
        <f t="shared" si="75"/>
        <v>1.3399082152203357E-2</v>
      </c>
      <c r="R86" s="335">
        <f t="shared" si="75"/>
        <v>1.4717616519695316E-2</v>
      </c>
      <c r="S86" s="335">
        <f t="shared" si="75"/>
        <v>1.4317013755200824E-2</v>
      </c>
      <c r="T86" s="335">
        <f t="shared" si="75"/>
        <v>1.5452669415748748E-2</v>
      </c>
      <c r="U86" s="335">
        <f t="shared" si="75"/>
        <v>1.5971432837193038E-2</v>
      </c>
      <c r="V86" s="335">
        <f t="shared" si="75"/>
        <v>1.5320183601764318E-2</v>
      </c>
      <c r="W86" s="335">
        <f t="shared" si="75"/>
        <v>1.5708140765311945E-2</v>
      </c>
      <c r="X86" s="335">
        <f t="shared" si="75"/>
        <v>1.8748083721065234E-2</v>
      </c>
      <c r="Y86" s="335">
        <f t="shared" si="75"/>
        <v>1.8940052172554723E-2</v>
      </c>
      <c r="Z86" s="335">
        <f t="shared" si="75"/>
        <v>1.9121194227899103E-2</v>
      </c>
      <c r="AA86" s="335">
        <f t="shared" si="75"/>
        <v>1.9297377154311127E-2</v>
      </c>
      <c r="AB86" s="335">
        <f t="shared" si="75"/>
        <v>1.9479620563395802E-2</v>
      </c>
      <c r="AC86" s="335">
        <f t="shared" si="75"/>
        <v>1.9664046622647521E-2</v>
      </c>
      <c r="AD86" s="335">
        <f t="shared" si="75"/>
        <v>1.9847545367738573E-2</v>
      </c>
      <c r="AE86" s="335">
        <f t="shared" si="75"/>
        <v>2.0033172924760544E-2</v>
      </c>
      <c r="AF86" s="335">
        <f t="shared" si="75"/>
        <v>2.0226098150432612E-2</v>
      </c>
      <c r="AG86" s="335">
        <f t="shared" si="75"/>
        <v>2.0412523281440716E-2</v>
      </c>
      <c r="AH86" s="335">
        <f t="shared" ref="AH86:AL86" si="76">AH39/AH$49</f>
        <v>2.0603446908962628E-2</v>
      </c>
      <c r="AI86" s="335">
        <f t="shared" si="76"/>
        <v>2.0793772183216007E-2</v>
      </c>
      <c r="AJ86" s="335">
        <f t="shared" si="76"/>
        <v>2.0985469178404933E-2</v>
      </c>
      <c r="AK86" s="335">
        <f t="shared" si="76"/>
        <v>2.1185698662450892E-2</v>
      </c>
      <c r="AL86" s="335">
        <f t="shared" si="76"/>
        <v>2.1381039961478859E-2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</row>
    <row r="87" spans="12:53" x14ac:dyDescent="0.3">
      <c r="L87" s="232"/>
      <c r="M87" s="335"/>
      <c r="N87" s="335"/>
      <c r="O87" s="335"/>
      <c r="P87" s="335"/>
      <c r="Q87" s="335"/>
      <c r="R87" s="335"/>
      <c r="S87" s="335"/>
      <c r="T87" s="335"/>
      <c r="U87" s="335"/>
      <c r="V87" s="335"/>
      <c r="W87" s="335"/>
      <c r="X87" s="335"/>
      <c r="Y87" s="335"/>
      <c r="Z87" s="335"/>
      <c r="AA87" s="335"/>
      <c r="AB87" s="335"/>
      <c r="AC87" s="335"/>
      <c r="AD87" s="335"/>
      <c r="AE87" s="335"/>
      <c r="AF87" s="335"/>
      <c r="AG87" s="335"/>
      <c r="AH87" s="335"/>
      <c r="AI87" s="335"/>
      <c r="AJ87" s="335"/>
      <c r="AK87" s="335"/>
      <c r="AL87" s="335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</row>
    <row r="88" spans="12:53" x14ac:dyDescent="0.3">
      <c r="L88" s="16" t="str">
        <f>'Occ T3'!A43</f>
        <v>Process, plant and machine operatives</v>
      </c>
      <c r="M88" s="336">
        <f t="shared" ref="M88:AG88" si="77">M41/M$49</f>
        <v>6.5303951231321281E-2</v>
      </c>
      <c r="N88" s="336">
        <f t="shared" si="77"/>
        <v>6.5813982770915269E-2</v>
      </c>
      <c r="O88" s="336">
        <f t="shared" si="77"/>
        <v>6.263726639414291E-2</v>
      </c>
      <c r="P88" s="336">
        <f t="shared" si="77"/>
        <v>6.3465303899138431E-2</v>
      </c>
      <c r="Q88" s="336">
        <f t="shared" si="77"/>
        <v>6.2567546298165369E-2</v>
      </c>
      <c r="R88" s="336">
        <f t="shared" si="77"/>
        <v>6.243191009017033E-2</v>
      </c>
      <c r="S88" s="336">
        <f t="shared" si="77"/>
        <v>6.4961263089187371E-2</v>
      </c>
      <c r="T88" s="336">
        <f t="shared" si="77"/>
        <v>6.3650195172678864E-2</v>
      </c>
      <c r="U88" s="336">
        <f t="shared" si="77"/>
        <v>6.641237898727767E-2</v>
      </c>
      <c r="V88" s="336">
        <f t="shared" si="77"/>
        <v>6.3961354912822094E-2</v>
      </c>
      <c r="W88" s="336">
        <f t="shared" si="77"/>
        <v>5.7216514487005869E-2</v>
      </c>
      <c r="X88" s="336">
        <f t="shared" si="77"/>
        <v>6.444317978900993E-2</v>
      </c>
      <c r="Y88" s="336">
        <f t="shared" si="77"/>
        <v>6.4551237667899677E-2</v>
      </c>
      <c r="Z88" s="336">
        <f t="shared" si="77"/>
        <v>6.4565803244529041E-2</v>
      </c>
      <c r="AA88" s="336">
        <f t="shared" si="77"/>
        <v>6.448028716333426E-2</v>
      </c>
      <c r="AB88" s="336">
        <f t="shared" si="77"/>
        <v>6.4340859976156448E-2</v>
      </c>
      <c r="AC88" s="336">
        <f t="shared" si="77"/>
        <v>6.4149614180200903E-2</v>
      </c>
      <c r="AD88" s="336">
        <f t="shared" si="77"/>
        <v>6.3966132206200246E-2</v>
      </c>
      <c r="AE88" s="336">
        <f t="shared" si="77"/>
        <v>6.3803212024773626E-2</v>
      </c>
      <c r="AF88" s="336">
        <f t="shared" si="77"/>
        <v>6.3619984541698982E-2</v>
      </c>
      <c r="AG88" s="336">
        <f t="shared" si="77"/>
        <v>6.3412616139241831E-2</v>
      </c>
      <c r="AH88" s="336">
        <f t="shared" ref="AH88:AL88" si="78">AH41/AH$49</f>
        <v>6.322004913965322E-2</v>
      </c>
      <c r="AI88" s="336">
        <f t="shared" si="78"/>
        <v>6.3006768352080439E-2</v>
      </c>
      <c r="AJ88" s="336">
        <f t="shared" si="78"/>
        <v>6.2802573364332398E-2</v>
      </c>
      <c r="AK88" s="336">
        <f t="shared" si="78"/>
        <v>6.2566151378919715E-2</v>
      </c>
      <c r="AL88" s="336">
        <f t="shared" si="78"/>
        <v>6.2319680255219841E-2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</row>
    <row r="89" spans="12:53" x14ac:dyDescent="0.3">
      <c r="L89" s="232" t="str">
        <f>'Occ T3'!A44</f>
        <v>81 Process, plant and machine operatives</v>
      </c>
      <c r="M89" s="335">
        <f t="shared" ref="M89:AG89" si="79">M42/M$49</f>
        <v>2.5769857283267888E-2</v>
      </c>
      <c r="N89" s="335">
        <f t="shared" si="79"/>
        <v>2.5368728563290199E-2</v>
      </c>
      <c r="O89" s="335">
        <f t="shared" si="79"/>
        <v>2.5026816977816113E-2</v>
      </c>
      <c r="P89" s="335">
        <f t="shared" si="79"/>
        <v>2.5066316392311092E-2</v>
      </c>
      <c r="Q89" s="335">
        <f t="shared" si="79"/>
        <v>2.5601908970401443E-2</v>
      </c>
      <c r="R89" s="335">
        <f t="shared" si="79"/>
        <v>2.5347249915758721E-2</v>
      </c>
      <c r="S89" s="335">
        <f t="shared" si="79"/>
        <v>2.4056111784967804E-2</v>
      </c>
      <c r="T89" s="335">
        <f t="shared" si="79"/>
        <v>2.5724999297734367E-2</v>
      </c>
      <c r="U89" s="335">
        <f t="shared" si="79"/>
        <v>2.533821194614681E-2</v>
      </c>
      <c r="V89" s="335">
        <f t="shared" si="79"/>
        <v>2.333002472369694E-2</v>
      </c>
      <c r="W89" s="335">
        <f t="shared" si="79"/>
        <v>2.0850344374655699E-2</v>
      </c>
      <c r="X89" s="335">
        <f t="shared" si="79"/>
        <v>2.5150492105730171E-2</v>
      </c>
      <c r="Y89" s="335">
        <f t="shared" si="79"/>
        <v>2.5177702496151266E-2</v>
      </c>
      <c r="Z89" s="335">
        <f t="shared" si="79"/>
        <v>2.5205475927588542E-2</v>
      </c>
      <c r="AA89" s="335">
        <f t="shared" si="79"/>
        <v>2.5180112253685664E-2</v>
      </c>
      <c r="AB89" s="335">
        <f t="shared" si="79"/>
        <v>2.5126065203532107E-2</v>
      </c>
      <c r="AC89" s="335">
        <f t="shared" si="79"/>
        <v>2.5027126346231214E-2</v>
      </c>
      <c r="AD89" s="335">
        <f t="shared" si="79"/>
        <v>2.4927192211521707E-2</v>
      </c>
      <c r="AE89" s="335">
        <f t="shared" si="79"/>
        <v>2.4824985627362836E-2</v>
      </c>
      <c r="AF89" s="335">
        <f t="shared" si="79"/>
        <v>2.4715360589359588E-2</v>
      </c>
      <c r="AG89" s="335">
        <f t="shared" si="79"/>
        <v>2.459095789226538E-2</v>
      </c>
      <c r="AH89" s="335">
        <f t="shared" ref="AH89:AL89" si="80">AH42/AH$49</f>
        <v>2.4465297016887769E-2</v>
      </c>
      <c r="AI89" s="335">
        <f t="shared" si="80"/>
        <v>2.4324918852498902E-2</v>
      </c>
      <c r="AJ89" s="335">
        <f t="shared" si="80"/>
        <v>2.4189418281175993E-2</v>
      </c>
      <c r="AK89" s="335">
        <f t="shared" si="80"/>
        <v>2.4017515215588967E-2</v>
      </c>
      <c r="AL89" s="335">
        <f t="shared" si="80"/>
        <v>2.3844273470796672E-2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</row>
    <row r="90" spans="12:53" x14ac:dyDescent="0.3">
      <c r="L90" s="232" t="str">
        <f>'Occ T3'!A45</f>
        <v>82 Transport and mobile machine drivers and operatives</v>
      </c>
      <c r="M90" s="335">
        <f t="shared" ref="M90:AG90" si="81">M43/M$49</f>
        <v>3.9534093948053406E-2</v>
      </c>
      <c r="N90" s="335">
        <f t="shared" si="81"/>
        <v>4.044525420762507E-2</v>
      </c>
      <c r="O90" s="335">
        <f t="shared" si="81"/>
        <v>3.7610449416326804E-2</v>
      </c>
      <c r="P90" s="335">
        <f t="shared" si="81"/>
        <v>3.8398987506827333E-2</v>
      </c>
      <c r="Q90" s="335">
        <f t="shared" si="81"/>
        <v>3.6965637327763923E-2</v>
      </c>
      <c r="R90" s="335">
        <f t="shared" si="81"/>
        <v>3.7084660174411616E-2</v>
      </c>
      <c r="S90" s="335">
        <f t="shared" si="81"/>
        <v>4.0905151304219574E-2</v>
      </c>
      <c r="T90" s="335">
        <f t="shared" si="81"/>
        <v>3.7925195874944501E-2</v>
      </c>
      <c r="U90" s="335">
        <f t="shared" si="81"/>
        <v>4.1074167041130857E-2</v>
      </c>
      <c r="V90" s="335">
        <f t="shared" si="81"/>
        <v>4.0631330189125153E-2</v>
      </c>
      <c r="W90" s="335">
        <f t="shared" si="81"/>
        <v>3.6366170112350167E-2</v>
      </c>
      <c r="X90" s="335">
        <f t="shared" si="81"/>
        <v>3.9292687683279759E-2</v>
      </c>
      <c r="Y90" s="335">
        <f t="shared" si="81"/>
        <v>3.9373535171748415E-2</v>
      </c>
      <c r="Z90" s="335">
        <f t="shared" si="81"/>
        <v>3.9360327316940495E-2</v>
      </c>
      <c r="AA90" s="335">
        <f t="shared" si="81"/>
        <v>3.93001749096486E-2</v>
      </c>
      <c r="AB90" s="335">
        <f t="shared" si="81"/>
        <v>3.9214794772624337E-2</v>
      </c>
      <c r="AC90" s="335">
        <f t="shared" si="81"/>
        <v>3.9122487833969682E-2</v>
      </c>
      <c r="AD90" s="335">
        <f t="shared" si="81"/>
        <v>3.9038939994678543E-2</v>
      </c>
      <c r="AE90" s="335">
        <f t="shared" si="81"/>
        <v>3.8978226397410783E-2</v>
      </c>
      <c r="AF90" s="335">
        <f t="shared" si="81"/>
        <v>3.8904623952339394E-2</v>
      </c>
      <c r="AG90" s="335">
        <f t="shared" si="81"/>
        <v>3.8821658246976455E-2</v>
      </c>
      <c r="AH90" s="335">
        <f t="shared" ref="AH90:AL90" si="82">AH43/AH$49</f>
        <v>3.8754752122765447E-2</v>
      </c>
      <c r="AI90" s="335">
        <f t="shared" si="82"/>
        <v>3.8681849499581533E-2</v>
      </c>
      <c r="AJ90" s="335">
        <f t="shared" si="82"/>
        <v>3.8613155083156402E-2</v>
      </c>
      <c r="AK90" s="335">
        <f t="shared" si="82"/>
        <v>3.8548636163330756E-2</v>
      </c>
      <c r="AL90" s="335">
        <f t="shared" si="82"/>
        <v>3.8475406784423169E-2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</row>
    <row r="91" spans="12:53" x14ac:dyDescent="0.3">
      <c r="L91" s="232"/>
      <c r="M91" s="335"/>
      <c r="N91" s="335"/>
      <c r="O91" s="335"/>
      <c r="P91" s="335"/>
      <c r="Q91" s="335"/>
      <c r="R91" s="335"/>
      <c r="S91" s="335"/>
      <c r="T91" s="335"/>
      <c r="U91" s="335"/>
      <c r="V91" s="335"/>
      <c r="W91" s="335"/>
      <c r="X91" s="335"/>
      <c r="Y91" s="335"/>
      <c r="Z91" s="335"/>
      <c r="AA91" s="335"/>
      <c r="AB91" s="335"/>
      <c r="AC91" s="335"/>
      <c r="AD91" s="335"/>
      <c r="AE91" s="335"/>
      <c r="AF91" s="335"/>
      <c r="AG91" s="335"/>
      <c r="AH91" s="335"/>
      <c r="AI91" s="335"/>
      <c r="AJ91" s="335"/>
      <c r="AK91" s="335"/>
      <c r="AL91" s="335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</row>
    <row r="92" spans="12:53" x14ac:dyDescent="0.3">
      <c r="L92" s="16" t="str">
        <f>'Occ T3'!A47</f>
        <v>Elementary occupations</v>
      </c>
      <c r="M92" s="336">
        <f t="shared" ref="M92:AG92" si="83">M45/M$49</f>
        <v>0.12938273513049434</v>
      </c>
      <c r="N92" s="336">
        <f t="shared" si="83"/>
        <v>0.12260483890218461</v>
      </c>
      <c r="O92" s="336">
        <f t="shared" si="83"/>
        <v>0.12186520317765162</v>
      </c>
      <c r="P92" s="336">
        <f t="shared" si="83"/>
        <v>0.12196688416066902</v>
      </c>
      <c r="Q92" s="336">
        <f t="shared" si="83"/>
        <v>0.12674827065630506</v>
      </c>
      <c r="R92" s="336">
        <f t="shared" si="83"/>
        <v>0.1259764794043855</v>
      </c>
      <c r="S92" s="336">
        <f t="shared" si="83"/>
        <v>0.12192928771055818</v>
      </c>
      <c r="T92" s="336">
        <f t="shared" si="83"/>
        <v>0.11775878602252665</v>
      </c>
      <c r="U92" s="336">
        <f t="shared" si="83"/>
        <v>0.12085297344408166</v>
      </c>
      <c r="V92" s="336">
        <f t="shared" si="83"/>
        <v>0.11919387409911796</v>
      </c>
      <c r="W92" s="336">
        <f t="shared" si="83"/>
        <v>0.11081592426103783</v>
      </c>
      <c r="X92" s="336">
        <f t="shared" si="83"/>
        <v>0.11111952190818809</v>
      </c>
      <c r="Y92" s="336">
        <f t="shared" si="83"/>
        <v>0.11050043025798899</v>
      </c>
      <c r="Z92" s="336">
        <f t="shared" si="83"/>
        <v>0.10964367185332877</v>
      </c>
      <c r="AA92" s="336">
        <f t="shared" si="83"/>
        <v>0.10876831946140673</v>
      </c>
      <c r="AB92" s="336">
        <f t="shared" si="83"/>
        <v>0.10788921724448625</v>
      </c>
      <c r="AC92" s="336">
        <f t="shared" si="83"/>
        <v>0.10703526062835615</v>
      </c>
      <c r="AD92" s="336">
        <f t="shared" si="83"/>
        <v>0.10616194582895133</v>
      </c>
      <c r="AE92" s="336">
        <f t="shared" si="83"/>
        <v>0.10524868948626043</v>
      </c>
      <c r="AF92" s="336">
        <f t="shared" si="83"/>
        <v>0.10435071191360148</v>
      </c>
      <c r="AG92" s="336">
        <f t="shared" si="83"/>
        <v>0.1034211972719625</v>
      </c>
      <c r="AH92" s="336">
        <f t="shared" ref="AH92:AL92" si="84">AH45/AH$49</f>
        <v>0.10249179573499795</v>
      </c>
      <c r="AI92" s="336">
        <f t="shared" si="84"/>
        <v>0.10153854686131597</v>
      </c>
      <c r="AJ92" s="336">
        <f t="shared" si="84"/>
        <v>0.10059072132417736</v>
      </c>
      <c r="AK92" s="336">
        <f t="shared" si="84"/>
        <v>9.9655330154115068E-2</v>
      </c>
      <c r="AL92" s="336">
        <f t="shared" si="84"/>
        <v>9.8694841902324429E-2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</row>
    <row r="93" spans="12:53" x14ac:dyDescent="0.3">
      <c r="L93" s="232" t="str">
        <f>'Occ T3'!A48</f>
        <v>91 Elementary trades and related occupations</v>
      </c>
      <c r="M93" s="335">
        <f t="shared" ref="M93:AG93" si="85">M46/M$49</f>
        <v>1.8513629368277038E-2</v>
      </c>
      <c r="N93" s="335">
        <f t="shared" si="85"/>
        <v>1.8247219489134266E-2</v>
      </c>
      <c r="O93" s="335">
        <f t="shared" si="85"/>
        <v>1.739771179489431E-2</v>
      </c>
      <c r="P93" s="335">
        <f t="shared" si="85"/>
        <v>1.6843489841099523E-2</v>
      </c>
      <c r="Q93" s="335">
        <f t="shared" si="85"/>
        <v>1.8029467492129872E-2</v>
      </c>
      <c r="R93" s="335">
        <f t="shared" si="85"/>
        <v>1.7965861953215905E-2</v>
      </c>
      <c r="S93" s="335">
        <f t="shared" si="85"/>
        <v>1.748151200215043E-2</v>
      </c>
      <c r="T93" s="335">
        <f t="shared" si="85"/>
        <v>1.6972408394764799E-2</v>
      </c>
      <c r="U93" s="335">
        <f t="shared" si="85"/>
        <v>1.676217911001493E-2</v>
      </c>
      <c r="V93" s="335">
        <f t="shared" si="85"/>
        <v>1.515533277638253E-2</v>
      </c>
      <c r="W93" s="335">
        <f t="shared" si="85"/>
        <v>1.3856984546717461E-2</v>
      </c>
      <c r="X93" s="335">
        <f t="shared" si="85"/>
        <v>1.1860747926325178E-2</v>
      </c>
      <c r="Y93" s="335">
        <f t="shared" si="85"/>
        <v>1.1805725738882198E-2</v>
      </c>
      <c r="Z93" s="335">
        <f t="shared" si="85"/>
        <v>1.1772359775664877E-2</v>
      </c>
      <c r="AA93" s="335">
        <f t="shared" si="85"/>
        <v>1.1718730838408039E-2</v>
      </c>
      <c r="AB93" s="335">
        <f t="shared" si="85"/>
        <v>1.1637517983886092E-2</v>
      </c>
      <c r="AC93" s="335">
        <f t="shared" si="85"/>
        <v>1.1570038079031023E-2</v>
      </c>
      <c r="AD93" s="335">
        <f t="shared" si="85"/>
        <v>1.1500087414234497E-2</v>
      </c>
      <c r="AE93" s="335">
        <f t="shared" si="85"/>
        <v>1.1444697413234384E-2</v>
      </c>
      <c r="AF93" s="335">
        <f t="shared" si="85"/>
        <v>1.1392692843760568E-2</v>
      </c>
      <c r="AG93" s="335">
        <f t="shared" si="85"/>
        <v>1.1338991441852032E-2</v>
      </c>
      <c r="AH93" s="335">
        <f t="shared" ref="AH93:AL93" si="86">AH46/AH$49</f>
        <v>1.128982373928554E-2</v>
      </c>
      <c r="AI93" s="335">
        <f t="shared" si="86"/>
        <v>1.124221608774607E-2</v>
      </c>
      <c r="AJ93" s="335">
        <f t="shared" si="86"/>
        <v>1.1190318443645379E-2</v>
      </c>
      <c r="AK93" s="335">
        <f t="shared" si="86"/>
        <v>1.113739015181262E-2</v>
      </c>
      <c r="AL93" s="335">
        <f t="shared" si="86"/>
        <v>1.1086692933910023E-2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</row>
    <row r="94" spans="12:53" x14ac:dyDescent="0.3">
      <c r="L94" s="232" t="str">
        <f>'Occ T3'!A49</f>
        <v>92 Elementary administration and service occupations</v>
      </c>
      <c r="M94" s="335">
        <f t="shared" ref="M94:AG94" si="87">M47/M$49</f>
        <v>0.11086910576221728</v>
      </c>
      <c r="N94" s="335">
        <f t="shared" si="87"/>
        <v>0.10435761941305034</v>
      </c>
      <c r="O94" s="335">
        <f t="shared" si="87"/>
        <v>0.10446749138275731</v>
      </c>
      <c r="P94" s="335">
        <f t="shared" si="87"/>
        <v>0.10512339431956949</v>
      </c>
      <c r="Q94" s="335">
        <f t="shared" si="87"/>
        <v>0.1087188031641752</v>
      </c>
      <c r="R94" s="335">
        <f t="shared" si="87"/>
        <v>0.1080106174511696</v>
      </c>
      <c r="S94" s="335">
        <f t="shared" si="87"/>
        <v>0.10444777570840776</v>
      </c>
      <c r="T94" s="335">
        <f t="shared" si="87"/>
        <v>0.10078637762776187</v>
      </c>
      <c r="U94" s="335">
        <f t="shared" si="87"/>
        <v>0.10409079433406673</v>
      </c>
      <c r="V94" s="335">
        <f t="shared" si="87"/>
        <v>0.10403854132273542</v>
      </c>
      <c r="W94" s="335">
        <f t="shared" si="87"/>
        <v>9.6958939714320361E-2</v>
      </c>
      <c r="X94" s="335">
        <f t="shared" si="87"/>
        <v>9.9258773981862919E-2</v>
      </c>
      <c r="Y94" s="335">
        <f t="shared" si="87"/>
        <v>9.8694704519106793E-2</v>
      </c>
      <c r="Z94" s="335">
        <f t="shared" si="87"/>
        <v>9.7871312077663877E-2</v>
      </c>
      <c r="AA94" s="335">
        <f t="shared" si="87"/>
        <v>9.7049588622998686E-2</v>
      </c>
      <c r="AB94" s="335">
        <f t="shared" si="87"/>
        <v>9.6251699260600149E-2</v>
      </c>
      <c r="AC94" s="335">
        <f t="shared" si="87"/>
        <v>9.5465222549325129E-2</v>
      </c>
      <c r="AD94" s="335">
        <f t="shared" si="87"/>
        <v>9.4661858414716846E-2</v>
      </c>
      <c r="AE94" s="335">
        <f t="shared" si="87"/>
        <v>9.3803992073026046E-2</v>
      </c>
      <c r="AF94" s="335">
        <f t="shared" si="87"/>
        <v>9.2958019069840914E-2</v>
      </c>
      <c r="AG94" s="335">
        <f t="shared" si="87"/>
        <v>9.2082205830110453E-2</v>
      </c>
      <c r="AH94" s="335">
        <f t="shared" ref="AH94:AL94" si="88">AH47/AH$49</f>
        <v>9.1201971995712408E-2</v>
      </c>
      <c r="AI94" s="335">
        <f t="shared" si="88"/>
        <v>9.0296330773569897E-2</v>
      </c>
      <c r="AJ94" s="335">
        <f t="shared" si="88"/>
        <v>8.9400402880531984E-2</v>
      </c>
      <c r="AK94" s="335">
        <f t="shared" si="88"/>
        <v>8.8517940002302453E-2</v>
      </c>
      <c r="AL94" s="335">
        <f t="shared" si="88"/>
        <v>8.7608148968414401E-2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</row>
    <row r="95" spans="12:53" x14ac:dyDescent="0.3">
      <c r="L95" s="232"/>
      <c r="M95" s="335"/>
      <c r="N95" s="335"/>
      <c r="O95" s="335"/>
      <c r="P95" s="335"/>
      <c r="Q95" s="335"/>
      <c r="R95" s="335"/>
      <c r="S95" s="335"/>
      <c r="T95" s="335"/>
      <c r="U95" s="335"/>
      <c r="V95" s="335"/>
      <c r="W95" s="335"/>
      <c r="X95" s="335"/>
      <c r="Y95" s="335"/>
      <c r="Z95" s="335"/>
      <c r="AA95" s="335"/>
      <c r="AB95" s="335"/>
      <c r="AC95" s="335"/>
      <c r="AD95" s="335"/>
      <c r="AE95" s="335"/>
      <c r="AF95" s="335"/>
      <c r="AG95" s="335"/>
      <c r="AH95" s="335"/>
      <c r="AI95" s="335"/>
      <c r="AJ95" s="335"/>
      <c r="AK95" s="335"/>
      <c r="AL95" s="335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</row>
    <row r="96" spans="12:53" x14ac:dyDescent="0.3">
      <c r="L96" s="16" t="str">
        <f>'Occ T3'!A51</f>
        <v>All occupations</v>
      </c>
      <c r="M96" s="336">
        <f t="shared" ref="M96:AG96" si="89">M49/M$49</f>
        <v>1</v>
      </c>
      <c r="N96" s="336">
        <f t="shared" si="89"/>
        <v>1</v>
      </c>
      <c r="O96" s="336">
        <f t="shared" si="89"/>
        <v>1</v>
      </c>
      <c r="P96" s="336">
        <f t="shared" si="89"/>
        <v>1</v>
      </c>
      <c r="Q96" s="336">
        <f t="shared" si="89"/>
        <v>1</v>
      </c>
      <c r="R96" s="336">
        <f t="shared" si="89"/>
        <v>1</v>
      </c>
      <c r="S96" s="336">
        <f t="shared" si="89"/>
        <v>1</v>
      </c>
      <c r="T96" s="336">
        <f t="shared" si="89"/>
        <v>1</v>
      </c>
      <c r="U96" s="336">
        <f t="shared" si="89"/>
        <v>1</v>
      </c>
      <c r="V96" s="336">
        <f t="shared" si="89"/>
        <v>1</v>
      </c>
      <c r="W96" s="336">
        <f t="shared" si="89"/>
        <v>1</v>
      </c>
      <c r="X96" s="336">
        <f t="shared" si="89"/>
        <v>1</v>
      </c>
      <c r="Y96" s="336">
        <f t="shared" si="89"/>
        <v>1</v>
      </c>
      <c r="Z96" s="336">
        <f t="shared" si="89"/>
        <v>1</v>
      </c>
      <c r="AA96" s="336">
        <f t="shared" si="89"/>
        <v>1</v>
      </c>
      <c r="AB96" s="336">
        <f t="shared" si="89"/>
        <v>1</v>
      </c>
      <c r="AC96" s="336">
        <f t="shared" si="89"/>
        <v>1</v>
      </c>
      <c r="AD96" s="336">
        <f t="shared" si="89"/>
        <v>1</v>
      </c>
      <c r="AE96" s="336">
        <f t="shared" si="89"/>
        <v>1</v>
      </c>
      <c r="AF96" s="336">
        <f t="shared" si="89"/>
        <v>1</v>
      </c>
      <c r="AG96" s="336">
        <f t="shared" si="89"/>
        <v>1</v>
      </c>
      <c r="AH96" s="336">
        <f t="shared" ref="AH96:AL96" si="90">AH49/AH$49</f>
        <v>1</v>
      </c>
      <c r="AI96" s="336">
        <f t="shared" si="90"/>
        <v>1</v>
      </c>
      <c r="AJ96" s="336">
        <f t="shared" si="90"/>
        <v>1</v>
      </c>
      <c r="AK96" s="336">
        <f t="shared" si="90"/>
        <v>1</v>
      </c>
      <c r="AL96" s="336">
        <f t="shared" si="90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</row>
    <row r="97" spans="12:53" x14ac:dyDescent="0.3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3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3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3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3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3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3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3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3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</row>
    <row r="106" spans="12:53" x14ac:dyDescent="0.3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</row>
    <row r="107" spans="12:53" x14ac:dyDescent="0.3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</row>
    <row r="108" spans="12:53" x14ac:dyDescent="0.3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3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3">
      <c r="L110" s="13"/>
      <c r="M110" s="11"/>
      <c r="N110" s="11"/>
      <c r="O110" s="11"/>
      <c r="P110" s="11"/>
    </row>
    <row r="111" spans="12:53" x14ac:dyDescent="0.3">
      <c r="L111" s="13"/>
      <c r="M111" s="11"/>
      <c r="N111" s="11"/>
      <c r="O111" s="11"/>
      <c r="P111" s="11"/>
    </row>
    <row r="112" spans="12:53" x14ac:dyDescent="0.3">
      <c r="L112" s="13"/>
      <c r="M112" s="11"/>
      <c r="N112" s="11"/>
      <c r="O112" s="11"/>
      <c r="P112" s="11"/>
    </row>
    <row r="113" spans="1:16" x14ac:dyDescent="0.3">
      <c r="L113" s="13"/>
      <c r="M113" s="11"/>
      <c r="N113" s="11"/>
      <c r="O113" s="11"/>
      <c r="P113" s="11"/>
    </row>
    <row r="114" spans="1:16" x14ac:dyDescent="0.3">
      <c r="L114" s="13"/>
      <c r="M114" s="11"/>
      <c r="N114" s="11"/>
      <c r="O114" s="11"/>
      <c r="P114" s="11"/>
    </row>
    <row r="115" spans="1:16" x14ac:dyDescent="0.3">
      <c r="L115" s="13"/>
      <c r="M115" s="11"/>
      <c r="N115" s="11"/>
      <c r="O115" s="11"/>
      <c r="P115" s="11"/>
    </row>
    <row r="116" spans="1:16" x14ac:dyDescent="0.3">
      <c r="L116" s="13"/>
      <c r="M116" s="11"/>
      <c r="N116" s="11"/>
      <c r="O116" s="11"/>
      <c r="P116" s="11"/>
    </row>
    <row r="117" spans="1:16" x14ac:dyDescent="0.3">
      <c r="L117" s="13"/>
    </row>
    <row r="118" spans="1:16" ht="15.45" x14ac:dyDescent="0.4">
      <c r="A118" s="79" t="str">
        <f>CONCATENATE("Occupation Figure 2.2  Employment by Occupation, ",$M$2,"-",$O$2,", ",Info!B5)</f>
        <v>Occupation Figure 2.2  Employment by Occupation, 2010-2035, East</v>
      </c>
    </row>
    <row r="145" spans="12:63" s="80" customFormat="1" x14ac:dyDescent="0.3"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64" spans="1:1" ht="15.45" x14ac:dyDescent="0.4">
      <c r="A164" s="79" t="str">
        <f>CONCATENATE("Occupation Figure 2.3  Change in Employment in ",$L$5,", ",$M$2,"-",$O$2,", ",Info!B5)</f>
        <v>Occupation Figure 2.3  Change in Employment in Managers, directors and senior officials, 2010-2035, East</v>
      </c>
    </row>
    <row r="180" spans="12:63" s="80" customFormat="1" x14ac:dyDescent="0.3"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99" spans="1:1" ht="15.45" x14ac:dyDescent="0.4">
      <c r="A199" s="79" t="str">
        <f>CONCATENATE("Occupation Figure 2.4  Change in Employment in ",$L$9,", ",$M$2,"-",$O$2,", ",Info!B5)</f>
        <v>Occupation Figure 2.4  Change in Employment in Professional occupations, 2010-2035, East</v>
      </c>
    </row>
    <row r="215" spans="12:63" s="80" customFormat="1" x14ac:dyDescent="0.3"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34" spans="1:1" ht="15.45" x14ac:dyDescent="0.4">
      <c r="A234" s="79" t="str">
        <f>CONCATENATE("Occupation Figure 2.5  Change in Employment in ",$L$15,", ",$M$2,"-",$O$2,", ",Info!B5)</f>
        <v>Occupation Figure 2.5  Change in Employment in Associate professional occupations, 2010-2035, East</v>
      </c>
    </row>
    <row r="250" spans="12:63" s="80" customFormat="1" x14ac:dyDescent="0.3"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</row>
    <row r="269" spans="1:1" ht="15.45" x14ac:dyDescent="0.4">
      <c r="A269" s="79" t="str">
        <f>CONCATENATE("Occupation Figure 2.6  Change in Employment in ",$L$22,", ",$M$2,"-",$O$2,", ",Info!B5)</f>
        <v>Occupation Figure 2.6  Change in Employment in Administrative and secretarial occupations, 2010-2035, East</v>
      </c>
    </row>
    <row r="285" spans="12:63" s="80" customFormat="1" x14ac:dyDescent="0.3"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</row>
    <row r="304" spans="1:1" ht="15.45" x14ac:dyDescent="0.4">
      <c r="A304" s="79" t="str">
        <f>CONCATENATE("Occupation Figure 2.7  Change in Employment in ",$L$26,", ",$M$2,"- ",$O$2,", ",Info!B5)</f>
        <v>Occupation Figure 2.7  Change in Employment in Skilled trades occupations, 2010- 2035, East</v>
      </c>
    </row>
    <row r="320" spans="12:63" s="80" customFormat="1" x14ac:dyDescent="0.3"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</row>
    <row r="339" spans="1:1" ht="15.45" x14ac:dyDescent="0.4">
      <c r="A339" s="79" t="str">
        <f>CONCATENATE("Occupation Figure 2.8  Change in Employment in ",$L$32,", ",$M$2,"-",$O$2,", ",Info!B5)</f>
        <v>Occupation Figure 2.8  Change in Employment in Caring, leisure and other service occupations, 2010-2035, East</v>
      </c>
    </row>
    <row r="355" spans="12:63" s="80" customFormat="1" x14ac:dyDescent="0.3"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</row>
    <row r="374" spans="1:1" ht="15.45" x14ac:dyDescent="0.4">
      <c r="A374" s="79" t="str">
        <f>CONCATENATE("Occupation Figure 2.9  Change in Employment in ",$L$37,", ",$M$2,"-",$O$2,", ",Info!B5)</f>
        <v>Occupation Figure 2.9  Change in Employment in Sales and customer service occupations, 2010-2035, East</v>
      </c>
    </row>
    <row r="390" spans="12:63" s="80" customFormat="1" x14ac:dyDescent="0.3"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</row>
    <row r="409" spans="1:1" ht="15.45" x14ac:dyDescent="0.4">
      <c r="A409" s="79" t="str">
        <f>CONCATENATE("Occupation Figure 2.10  Change in Employment in ",$L$41,", ",$M$2,"-",$O$2,", ",Info!B5)</f>
        <v>Occupation Figure 2.10  Change in Employment in Process, plant and machine operatives, 2010-2035, East</v>
      </c>
    </row>
    <row r="444" spans="1:1" ht="15.45" x14ac:dyDescent="0.4">
      <c r="A444" s="79" t="str">
        <f>CONCATENATE("Occupation Figure 2.11  Change in Employment in ",$L$45,", ",$M$2,"-",$O$2,", ",Info!B5)</f>
        <v>Occupation Figure 2.11  Change in Employment in Elementary occupations, 2010-2035, East</v>
      </c>
    </row>
    <row r="479" spans="1:12" ht="15.45" x14ac:dyDescent="0.4">
      <c r="A479" s="79" t="str">
        <f>CONCATENATE("Occupation Figure 2.12  Employment Level by Occupation (SOC 2020), ",'Occ T1'!D6," and ",'Occ T1'!F6," (000s)",", ",Info!B5)</f>
        <v>Occupation Figure 2.12  Employment Level by Occupation (SOC 2020), 2020 and 2035 (000s), East</v>
      </c>
      <c r="L479" s="45" t="s">
        <v>423</v>
      </c>
    </row>
    <row r="480" spans="1:12" ht="12.9" x14ac:dyDescent="0.35">
      <c r="L480" s="29" t="s">
        <v>424</v>
      </c>
    </row>
    <row r="507" spans="1:12" ht="15.45" x14ac:dyDescent="0.4">
      <c r="A507" s="79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East</v>
      </c>
      <c r="L507" s="45" t="s">
        <v>425</v>
      </c>
    </row>
    <row r="508" spans="1:12" ht="12.9" x14ac:dyDescent="0.35">
      <c r="L508" s="29" t="s">
        <v>424</v>
      </c>
    </row>
  </sheetData>
  <conditionalFormatting sqref="L4:AP4">
    <cfRule type="cellIs" dxfId="8" priority="2" stopIfTrue="1" operator="equal">
      <formula>0</formula>
    </cfRule>
  </conditionalFormatting>
  <conditionalFormatting sqref="L51:AL51">
    <cfRule type="cellIs" dxfId="7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8" max="9" man="1"/>
    <brk id="117" max="9" man="1"/>
    <brk id="163" max="9" man="1"/>
    <brk id="233" max="9" man="1"/>
    <brk id="303" max="9" man="1"/>
    <brk id="373" max="9" man="1"/>
    <brk id="443" max="9" man="1"/>
    <brk id="478" max="9" man="1"/>
  </rowBreak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8"/>
  <dimension ref="A1:AC19"/>
  <sheetViews>
    <sheetView showGridLines="0" zoomScale="75" zoomScaleNormal="75" workbookViewId="0"/>
  </sheetViews>
  <sheetFormatPr defaultRowHeight="12.45" x14ac:dyDescent="0.3"/>
  <cols>
    <col min="18" max="18" width="9" customWidth="1"/>
    <col min="19" max="22" width="16" customWidth="1"/>
    <col min="23" max="23" width="42.4609375" customWidth="1"/>
    <col min="24" max="29" width="11.4609375" customWidth="1"/>
  </cols>
  <sheetData>
    <row r="1" spans="1:29" ht="15.45" x14ac:dyDescent="0.4">
      <c r="A1" s="79" t="str">
        <f>CONCATENATE("Occupation Figure 3  Changes in Occupational Employment Structure (000s) (SOC 2020), ",$W$1,"-",$X$1,", ",Info!B5)</f>
        <v>Occupation Figure 3  Changes in Occupational Employment Structure (000s) (SOC 2020), 2015-2035, East</v>
      </c>
      <c r="W1" t="str">
        <f>LEFT(X3,4)</f>
        <v>2015</v>
      </c>
      <c r="X1" t="str">
        <f>RIGHT(AC3,4)</f>
        <v>2035</v>
      </c>
    </row>
    <row r="2" spans="1:29" x14ac:dyDescent="0.3">
      <c r="A2" s="1" t="s">
        <v>538</v>
      </c>
      <c r="X2" t="s">
        <v>427</v>
      </c>
    </row>
    <row r="3" spans="1:29" x14ac:dyDescent="0.3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3">
      <c r="W4" s="10" t="str">
        <f>name!E4</f>
        <v>Managers, directors and senior officials</v>
      </c>
      <c r="X4" s="11">
        <f>'Occ T1'!C8-'Occ T1'!B8</f>
        <v>41.546949715227356</v>
      </c>
      <c r="Y4" s="11">
        <f>'Occ T1'!D8-'Occ T1'!C8</f>
        <v>6.0294423597608784</v>
      </c>
      <c r="Z4" s="11">
        <f>'Occ T1'!E8-'Occ T1'!D8</f>
        <v>12.316074449434382</v>
      </c>
      <c r="AA4" s="11">
        <f>'Occ T1'!F8-'Occ T1'!E8</f>
        <v>48.861397759111355</v>
      </c>
      <c r="AB4" s="11">
        <f>'Occ T1'!D8-'Occ T1'!B8</f>
        <v>47.576392074988235</v>
      </c>
      <c r="AC4" s="11">
        <f>'Occ T1'!F8-'Occ T1'!D8</f>
        <v>61.177472208545737</v>
      </c>
    </row>
    <row r="5" spans="1:29" x14ac:dyDescent="0.3">
      <c r="W5" s="10" t="str">
        <f>name!E5</f>
        <v>Professional occupations</v>
      </c>
      <c r="X5" s="11">
        <f>'Occ T1'!C9-'Occ T1'!B9</f>
        <v>93.027977540058941</v>
      </c>
      <c r="Y5" s="11">
        <f>'Occ T1'!D9-'Occ T1'!C9</f>
        <v>25.484910290795369</v>
      </c>
      <c r="Z5" s="11">
        <f>'Occ T1'!E9-'Occ T1'!D9</f>
        <v>55.749459921340645</v>
      </c>
      <c r="AA5" s="11">
        <f>'Occ T1'!F9-'Occ T1'!E9</f>
        <v>90.758625834606505</v>
      </c>
      <c r="AB5" s="11">
        <f>'Occ T1'!D9-'Occ T1'!B9</f>
        <v>118.51288783085431</v>
      </c>
      <c r="AC5" s="11">
        <f>'Occ T1'!F9-'Occ T1'!D9</f>
        <v>146.50808575594715</v>
      </c>
    </row>
    <row r="6" spans="1:29" x14ac:dyDescent="0.3">
      <c r="W6" s="10" t="str">
        <f>name!E6</f>
        <v>Associate professional occupations</v>
      </c>
      <c r="X6" s="11">
        <f>'Occ T1'!C10-'Occ T1'!B10</f>
        <v>29.205971984247299</v>
      </c>
      <c r="Y6" s="11">
        <f>'Occ T1'!D10-'Occ T1'!C10</f>
        <v>26.689107795508107</v>
      </c>
      <c r="Z6" s="11">
        <f>'Occ T1'!E10-'Occ T1'!D10</f>
        <v>-8.3295423841906313</v>
      </c>
      <c r="AA6" s="11">
        <f>'Occ T1'!F10-'Occ T1'!E10</f>
        <v>38.456249714564819</v>
      </c>
      <c r="AB6" s="11">
        <f>'Occ T1'!D10-'Occ T1'!B10</f>
        <v>55.895079779755406</v>
      </c>
      <c r="AC6" s="11">
        <f>'Occ T1'!F10-'Occ T1'!D10</f>
        <v>30.126707330374188</v>
      </c>
    </row>
    <row r="7" spans="1:29" x14ac:dyDescent="0.3">
      <c r="W7" s="10" t="str">
        <f>name!E7</f>
        <v>Administrative and secretarial occupations</v>
      </c>
      <c r="X7" s="11">
        <f>'Occ T1'!C11-'Occ T1'!B11</f>
        <v>-7.1690771247471048</v>
      </c>
      <c r="Y7" s="11">
        <f>'Occ T1'!D11-'Occ T1'!C11</f>
        <v>2.6293348011950002</v>
      </c>
      <c r="Z7" s="11">
        <f>'Occ T1'!E11-'Occ T1'!D11</f>
        <v>-17.682018915475965</v>
      </c>
      <c r="AA7" s="11">
        <f>'Occ T1'!F11-'Occ T1'!E11</f>
        <v>-32.673657325891838</v>
      </c>
      <c r="AB7" s="11">
        <f>'Occ T1'!D11-'Occ T1'!B11</f>
        <v>-4.5397423235521046</v>
      </c>
      <c r="AC7" s="11">
        <f>'Occ T1'!F11-'Occ T1'!D11</f>
        <v>-50.355676241367803</v>
      </c>
    </row>
    <row r="8" spans="1:29" x14ac:dyDescent="0.3">
      <c r="W8" s="10" t="str">
        <f>name!E8</f>
        <v>Skilled trades occupations</v>
      </c>
      <c r="X8" s="11">
        <f>'Occ T1'!C12-'Occ T1'!B12</f>
        <v>-22.627840800935871</v>
      </c>
      <c r="Y8" s="11">
        <f>'Occ T1'!D12-'Occ T1'!C12</f>
        <v>-30.836855045997822</v>
      </c>
      <c r="Z8" s="11">
        <f>'Occ T1'!E12-'Occ T1'!D12</f>
        <v>10.164243751799518</v>
      </c>
      <c r="AA8" s="11">
        <f>'Occ T1'!F12-'Occ T1'!E12</f>
        <v>-3.9884115584059145</v>
      </c>
      <c r="AB8" s="11">
        <f>'Occ T1'!D12-'Occ T1'!B12</f>
        <v>-53.464695846933694</v>
      </c>
      <c r="AC8" s="11">
        <f>'Occ T1'!F12-'Occ T1'!D12</f>
        <v>6.1758321933936031</v>
      </c>
    </row>
    <row r="9" spans="1:29" x14ac:dyDescent="0.3">
      <c r="W9" s="10" t="str">
        <f>name!E9</f>
        <v>Caring, leisure and other service occupations</v>
      </c>
      <c r="X9" s="11">
        <f>'Occ T1'!C13-'Occ T1'!B13</f>
        <v>25.838180592041908</v>
      </c>
      <c r="Y9" s="11">
        <f>'Occ T1'!D13-'Occ T1'!C13</f>
        <v>-7.2042447549995359</v>
      </c>
      <c r="Z9" s="11">
        <f>'Occ T1'!E13-'Occ T1'!D13</f>
        <v>21.360314595163914</v>
      </c>
      <c r="AA9" s="11">
        <f>'Occ T1'!F13-'Occ T1'!E13</f>
        <v>32.629415304265649</v>
      </c>
      <c r="AB9" s="11">
        <f>'Occ T1'!D13-'Occ T1'!B13</f>
        <v>18.633935837042372</v>
      </c>
      <c r="AC9" s="11">
        <f>'Occ T1'!F13-'Occ T1'!D13</f>
        <v>53.989729899429562</v>
      </c>
    </row>
    <row r="10" spans="1:29" x14ac:dyDescent="0.3">
      <c r="W10" s="10" t="str">
        <f>name!E10</f>
        <v>Sales and customer service occupations</v>
      </c>
      <c r="X10" s="11">
        <f>'Occ T1'!C14-'Occ T1'!B14</f>
        <v>-20.161446295466703</v>
      </c>
      <c r="Y10" s="11">
        <f>'Occ T1'!D14-'Occ T1'!C14</f>
        <v>-1.6722338308691747</v>
      </c>
      <c r="Z10" s="11">
        <f>'Occ T1'!E14-'Occ T1'!D14</f>
        <v>0.8906361346252254</v>
      </c>
      <c r="AA10" s="11">
        <f>'Occ T1'!F14-'Occ T1'!E14</f>
        <v>0.36585411279949653</v>
      </c>
      <c r="AB10" s="11">
        <f>'Occ T1'!D14-'Occ T1'!B14</f>
        <v>-21.833680126335878</v>
      </c>
      <c r="AC10" s="11">
        <f>'Occ T1'!F14-'Occ T1'!D14</f>
        <v>1.2564902474247219</v>
      </c>
    </row>
    <row r="11" spans="1:29" x14ac:dyDescent="0.3">
      <c r="W11" s="10" t="str">
        <f>name!E11</f>
        <v>Process, plant and machine operatives</v>
      </c>
      <c r="X11" s="11">
        <f>'Occ T1'!C15-'Occ T1'!B15</f>
        <v>14.352533441468751</v>
      </c>
      <c r="Y11" s="11">
        <f>'Occ T1'!D15-'Occ T1'!C15</f>
        <v>-23.514450672422299</v>
      </c>
      <c r="Z11" s="11">
        <f>'Occ T1'!E15-'Occ T1'!D15</f>
        <v>29.438032066060771</v>
      </c>
      <c r="AA11" s="11">
        <f>'Occ T1'!F15-'Occ T1'!E15</f>
        <v>3.5923806498512079</v>
      </c>
      <c r="AB11" s="11">
        <f>'Occ T1'!D15-'Occ T1'!B15</f>
        <v>-9.1619172309535486</v>
      </c>
      <c r="AC11" s="11">
        <f>'Occ T1'!F15-'Occ T1'!D15</f>
        <v>33.030412715911979</v>
      </c>
    </row>
    <row r="12" spans="1:29" x14ac:dyDescent="0.3">
      <c r="W12" s="10" t="str">
        <f>name!E12</f>
        <v>Elementary occupations</v>
      </c>
      <c r="X12" s="11">
        <f>'Occ T1'!C16-'Occ T1'!B16</f>
        <v>-2.6892490530892701</v>
      </c>
      <c r="Y12" s="11">
        <f>'Occ T1'!D16-'Occ T1'!C16</f>
        <v>-30.516010942888101</v>
      </c>
      <c r="Z12" s="11">
        <f>'Occ T1'!E16-'Occ T1'!D16</f>
        <v>2.1528003828459532</v>
      </c>
      <c r="AA12" s="11">
        <f>'Occ T1'!F16-'Occ T1'!E16</f>
        <v>-13.97085449300431</v>
      </c>
      <c r="AB12" s="11">
        <f>'Occ T1'!D16-'Occ T1'!B16</f>
        <v>-33.205259995977372</v>
      </c>
      <c r="AC12" s="11">
        <f>'Occ T1'!F16-'Occ T1'!D16</f>
        <v>-11.818054110158357</v>
      </c>
    </row>
    <row r="14" spans="1:29" x14ac:dyDescent="0.3">
      <c r="W14" s="10" t="str">
        <f>name!E3</f>
        <v>All occupations</v>
      </c>
      <c r="X14" s="11">
        <f>'Occ T1'!C18-'Occ T1'!B18</f>
        <v>151.3239999988059</v>
      </c>
      <c r="Y14" s="11">
        <f>'Occ T1'!D18-'Occ T1'!C18</f>
        <v>-32.910999999917749</v>
      </c>
      <c r="Z14" s="11">
        <f>'Occ T1'!E18-'Occ T1'!D18</f>
        <v>106.06000000160338</v>
      </c>
      <c r="AA14" s="11">
        <f>'Occ T1'!F18-'Occ T1'!E18</f>
        <v>164.03099999789765</v>
      </c>
      <c r="AB14" s="11">
        <f>'Occ T1'!D18-'Occ T1'!B18</f>
        <v>118.41299999888815</v>
      </c>
      <c r="AC14" s="11">
        <f>'Occ T1'!F18-'Occ T1'!D18</f>
        <v>270.09099999950104</v>
      </c>
    </row>
    <row r="17" spans="23:26" x14ac:dyDescent="0.3">
      <c r="Y17" s="82" t="s">
        <v>442</v>
      </c>
      <c r="Z17" s="82" t="s">
        <v>443</v>
      </c>
    </row>
    <row r="18" spans="23:26" x14ac:dyDescent="0.3">
      <c r="W18" s="82" t="s">
        <v>444</v>
      </c>
      <c r="X18">
        <f>CEILING(MAX(X4:AA12),IF(MAX(X4:AA12)&lt;100,10,IF(MAX(X4:AA12)&lt;1000,100,1000)))</f>
        <v>100</v>
      </c>
      <c r="Y18">
        <f>MAX(X18,(X19*-1))</f>
        <v>100</v>
      </c>
      <c r="Z18">
        <f>IF(Y18&gt;1000,1000,IF(Y18&gt;500,500,IF(Y18&gt;100,100,IF(Y18&gt;40,20,10))))</f>
        <v>20</v>
      </c>
    </row>
    <row r="19" spans="23:26" x14ac:dyDescent="0.3">
      <c r="W19" s="82" t="s">
        <v>445</v>
      </c>
      <c r="X19">
        <f>FLOOR(MIN(X4:AA12),IF(MIN(X4:AA12)&gt;-100,10,IF(MIN(X4:AA12)&gt;-1000,100,1000)))</f>
        <v>-40</v>
      </c>
      <c r="Y19">
        <f>Y18*-1</f>
        <v>-100</v>
      </c>
    </row>
  </sheetData>
  <pageMargins left="0.7" right="0.7" top="0.75" bottom="0.75" header="0.3" footer="0.3"/>
  <pageSetup paperSize="9" scale="74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1"/>
  <dimension ref="A1:P13"/>
  <sheetViews>
    <sheetView showGridLines="0" zoomScale="75" zoomScaleNormal="75" workbookViewId="0"/>
  </sheetViews>
  <sheetFormatPr defaultRowHeight="12.45" x14ac:dyDescent="0.3"/>
  <cols>
    <col min="13" max="13" width="36" customWidth="1"/>
  </cols>
  <sheetData>
    <row r="1" spans="1:16" ht="15.45" x14ac:dyDescent="0.4">
      <c r="A1" s="79" t="str">
        <f>CONCATENATE("Occupation Figure 4  Occupational Change by Gender (000s) (SOC 2020), ",N1,", ",Info!B5)</f>
        <v>Occupation Figure 4  Occupational Change by Gender (000s) (SOC 2020), 2020-2035, East</v>
      </c>
      <c r="M1" s="82" t="s">
        <v>18</v>
      </c>
      <c r="N1" t="str">
        <f>'Occ T1'!F62</f>
        <v>2020-2035</v>
      </c>
    </row>
    <row r="2" spans="1:16" x14ac:dyDescent="0.3">
      <c r="A2" s="1" t="s">
        <v>538</v>
      </c>
      <c r="M2" s="1" t="s">
        <v>0</v>
      </c>
      <c r="N2" s="82" t="s">
        <v>32</v>
      </c>
      <c r="O2" s="82" t="s">
        <v>99</v>
      </c>
      <c r="P2" s="82" t="s">
        <v>98</v>
      </c>
    </row>
    <row r="3" spans="1:16" x14ac:dyDescent="0.3">
      <c r="M3" s="10" t="str">
        <f>name!E4</f>
        <v>Managers, directors and senior officials</v>
      </c>
      <c r="N3" s="11">
        <f>'Occ T1'!F64</f>
        <v>61.177472208545737</v>
      </c>
      <c r="O3" s="11">
        <f>'Occ T1'!AB64</f>
        <v>36.566906335677459</v>
      </c>
      <c r="P3" s="11">
        <f>'Occ T1'!Q64</f>
        <v>24.610565872866516</v>
      </c>
    </row>
    <row r="4" spans="1:16" x14ac:dyDescent="0.3">
      <c r="M4" s="10" t="str">
        <f>name!E5</f>
        <v>Professional occupations</v>
      </c>
      <c r="N4" s="11">
        <f>'Occ T1'!F65</f>
        <v>146.50808575594715</v>
      </c>
      <c r="O4" s="11">
        <f>'Occ T1'!AB65</f>
        <v>80.678184111185942</v>
      </c>
      <c r="P4" s="11">
        <f>'Occ T1'!Q65</f>
        <v>65.829901644761719</v>
      </c>
    </row>
    <row r="5" spans="1:16" x14ac:dyDescent="0.3">
      <c r="M5" s="10" t="str">
        <f>name!E6</f>
        <v>Associate professional occupations</v>
      </c>
      <c r="N5" s="11">
        <f>'Occ T1'!F66</f>
        <v>30.126707330374188</v>
      </c>
      <c r="O5" s="11">
        <f>'Occ T1'!AB66</f>
        <v>32.845110824784257</v>
      </c>
      <c r="P5" s="11">
        <f>'Occ T1'!Q66</f>
        <v>-2.7184034944097846</v>
      </c>
    </row>
    <row r="6" spans="1:16" x14ac:dyDescent="0.3">
      <c r="M6" s="10" t="str">
        <f>name!E7</f>
        <v>Administrative and secretarial occupations</v>
      </c>
      <c r="N6" s="11">
        <f>'Occ T1'!F67</f>
        <v>-50.355676241367803</v>
      </c>
      <c r="O6" s="11">
        <f>'Occ T1'!AB67</f>
        <v>-54.840522978224328</v>
      </c>
      <c r="P6" s="11">
        <f>'Occ T1'!Q67</f>
        <v>4.4848467368562126</v>
      </c>
    </row>
    <row r="7" spans="1:16" x14ac:dyDescent="0.3">
      <c r="M7" s="10" t="str">
        <f>name!E8</f>
        <v>Skilled trades occupations</v>
      </c>
      <c r="N7" s="11">
        <f>'Occ T1'!F68</f>
        <v>6.1758321933936031</v>
      </c>
      <c r="O7" s="11">
        <f>'Occ T1'!AB68</f>
        <v>10.575510968002675</v>
      </c>
      <c r="P7" s="11">
        <f>'Occ T1'!Q68</f>
        <v>-4.3996787746092991</v>
      </c>
    </row>
    <row r="8" spans="1:16" x14ac:dyDescent="0.3">
      <c r="M8" s="10" t="str">
        <f>name!E9</f>
        <v>Caring, leisure and other service occupations</v>
      </c>
      <c r="N8" s="11">
        <f>'Occ T1'!F69</f>
        <v>53.989729899429562</v>
      </c>
      <c r="O8" s="11">
        <f>'Occ T1'!AB69</f>
        <v>36.439586421865698</v>
      </c>
      <c r="P8" s="11">
        <f>'Occ T1'!Q69</f>
        <v>17.550143477563971</v>
      </c>
    </row>
    <row r="9" spans="1:16" x14ac:dyDescent="0.3">
      <c r="M9" s="10" t="str">
        <f>name!E10</f>
        <v>Sales and customer service occupations</v>
      </c>
      <c r="N9" s="11">
        <f>'Occ T1'!F70</f>
        <v>1.2564902474247219</v>
      </c>
      <c r="O9" s="11">
        <f>'Occ T1'!AB70</f>
        <v>-4.3078926856240685</v>
      </c>
      <c r="P9" s="11">
        <f>'Occ T1'!Q70</f>
        <v>5.5643829330488614</v>
      </c>
    </row>
    <row r="10" spans="1:16" x14ac:dyDescent="0.3">
      <c r="M10" s="10" t="str">
        <f>name!E11</f>
        <v>Process, plant and machine operatives</v>
      </c>
      <c r="N10" s="11">
        <f>'Occ T1'!F71</f>
        <v>33.030412715911979</v>
      </c>
      <c r="O10" s="11">
        <f>'Occ T1'!AB71</f>
        <v>10.179819707026759</v>
      </c>
      <c r="P10" s="11">
        <f>'Occ T1'!Q71</f>
        <v>22.850593008885397</v>
      </c>
    </row>
    <row r="11" spans="1:16" x14ac:dyDescent="0.3">
      <c r="M11" s="10" t="str">
        <f>name!E12</f>
        <v>Elementary occupations</v>
      </c>
      <c r="N11" s="11">
        <f>'Occ T1'!F72</f>
        <v>-11.818054110158357</v>
      </c>
      <c r="O11" s="11">
        <f>'Occ T1'!AB72</f>
        <v>-11.812702704376733</v>
      </c>
      <c r="P11" s="11">
        <f>'Occ T1'!Q72</f>
        <v>-5.3514057804022741E-3</v>
      </c>
    </row>
    <row r="12" spans="1:16" x14ac:dyDescent="0.3">
      <c r="M12" s="10"/>
      <c r="N12" s="11"/>
      <c r="O12" s="11"/>
      <c r="P12" s="11"/>
    </row>
    <row r="13" spans="1:16" x14ac:dyDescent="0.3">
      <c r="M13" s="10" t="str">
        <f>name!E3</f>
        <v>All occupations</v>
      </c>
      <c r="N13" s="11">
        <f>'Occ T1'!F74</f>
        <v>270.09099999950104</v>
      </c>
      <c r="O13" s="11">
        <f>'Occ T1'!AB74</f>
        <v>136.32400000031748</v>
      </c>
      <c r="P13" s="11">
        <f>'Occ T1'!Q74</f>
        <v>133.76699999918333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2"/>
  <dimension ref="A1:P79"/>
  <sheetViews>
    <sheetView showGridLines="0" zoomScale="75" zoomScaleNormal="75" workbookViewId="0"/>
  </sheetViews>
  <sheetFormatPr defaultColWidth="9.15234375" defaultRowHeight="12.45" x14ac:dyDescent="0.3"/>
  <cols>
    <col min="13" max="13" width="36" customWidth="1"/>
    <col min="14" max="14" width="19.53515625" customWidth="1"/>
  </cols>
  <sheetData>
    <row r="1" spans="1:16" ht="15.45" x14ac:dyDescent="0.4">
      <c r="A1" s="79" t="str">
        <f>CONCATENATE("Occupation Figure 5  Occupational Change by Status (000s) (SOC 2020), ",N1,", ",Info!B5)</f>
        <v>Occupation Figure 5  Occupational Change by Status (000s) (SOC 2020), 2020-2035, East</v>
      </c>
      <c r="M1" s="82" t="s">
        <v>18</v>
      </c>
      <c r="N1" t="str">
        <f>'Ind Occ T2'!G6&amp;"-"&amp;'Ind Occ T2'!L6</f>
        <v>2020-2035</v>
      </c>
    </row>
    <row r="2" spans="1:16" x14ac:dyDescent="0.3">
      <c r="A2" s="1" t="s">
        <v>538</v>
      </c>
      <c r="M2" s="1" t="s">
        <v>331</v>
      </c>
      <c r="N2" s="82" t="s">
        <v>338</v>
      </c>
      <c r="O2" s="82" t="s">
        <v>432</v>
      </c>
      <c r="P2" s="82" t="s">
        <v>433</v>
      </c>
    </row>
    <row r="3" spans="1:16" x14ac:dyDescent="0.3">
      <c r="M3" s="10" t="str">
        <f>name!E4</f>
        <v>Managers, directors and senior officials</v>
      </c>
      <c r="N3" s="11">
        <f>'Occ T5'!I44</f>
        <v>9.747485621538857</v>
      </c>
      <c r="O3" s="11">
        <f>'Occ T5'!H44</f>
        <v>16.053166202439591</v>
      </c>
      <c r="P3" s="11">
        <f>'Occ T5'!G44</f>
        <v>35.376820384565917</v>
      </c>
    </row>
    <row r="4" spans="1:16" x14ac:dyDescent="0.3">
      <c r="M4" s="10" t="str">
        <f>name!E5</f>
        <v>Professional occupations</v>
      </c>
      <c r="N4" s="11">
        <f>'Occ T5'!I45</f>
        <v>2.1097219923046993</v>
      </c>
      <c r="O4" s="11">
        <f>'Occ T5'!H45</f>
        <v>37.598799438157982</v>
      </c>
      <c r="P4" s="11">
        <f>'Occ T5'!G45</f>
        <v>106.7995643254859</v>
      </c>
    </row>
    <row r="5" spans="1:16" x14ac:dyDescent="0.3">
      <c r="M5" s="10" t="str">
        <f>name!E6</f>
        <v>Associate professional occupations</v>
      </c>
      <c r="N5" s="11">
        <f>'Occ T5'!I46</f>
        <v>2.2215050749051954</v>
      </c>
      <c r="O5" s="11">
        <f>'Occ T5'!H46</f>
        <v>7.0577174618206442</v>
      </c>
      <c r="P5" s="11">
        <f>'Occ T5'!G46</f>
        <v>20.847484793648334</v>
      </c>
    </row>
    <row r="6" spans="1:16" x14ac:dyDescent="0.3">
      <c r="M6" s="10" t="str">
        <f>name!E7</f>
        <v>Administrative and secretarial occupations</v>
      </c>
      <c r="N6" s="11">
        <f>'Occ T5'!I47</f>
        <v>-0.70895505510743817</v>
      </c>
      <c r="O6" s="11">
        <f>'Occ T5'!H47</f>
        <v>-22.167625773172631</v>
      </c>
      <c r="P6" s="11">
        <f>'Occ T5'!G47</f>
        <v>-27.479095413087634</v>
      </c>
    </row>
    <row r="7" spans="1:16" x14ac:dyDescent="0.3">
      <c r="M7" s="10" t="str">
        <f>name!E8</f>
        <v>Skilled trades occupations</v>
      </c>
      <c r="N7" s="11">
        <f>'Occ T5'!I48</f>
        <v>16.915047328430575</v>
      </c>
      <c r="O7" s="11">
        <f>'Occ T5'!H48</f>
        <v>5.9816992018155979</v>
      </c>
      <c r="P7" s="11">
        <f>'Occ T5'!G48</f>
        <v>-16.720914336852729</v>
      </c>
    </row>
    <row r="8" spans="1:16" x14ac:dyDescent="0.3">
      <c r="M8" s="10" t="str">
        <f>name!E9</f>
        <v>Caring, leisure and other service occupations</v>
      </c>
      <c r="N8" s="11">
        <f>'Occ T5'!I49</f>
        <v>9.0480355001852217</v>
      </c>
      <c r="O8" s="11">
        <f>'Occ T5'!H49</f>
        <v>13.239989323475982</v>
      </c>
      <c r="P8" s="11">
        <f>'Occ T5'!G49</f>
        <v>31.701705075768743</v>
      </c>
    </row>
    <row r="9" spans="1:16" x14ac:dyDescent="0.3">
      <c r="M9" s="10" t="str">
        <f>name!E10</f>
        <v>Sales and customer service occupations</v>
      </c>
      <c r="N9" s="11">
        <f>'Occ T5'!I50</f>
        <v>-1.6898056562565102</v>
      </c>
      <c r="O9" s="11">
        <f>'Occ T5'!H50</f>
        <v>1.9843105345663332</v>
      </c>
      <c r="P9" s="11">
        <f>'Occ T5'!G50</f>
        <v>0.96198536911481369</v>
      </c>
    </row>
    <row r="10" spans="1:16" x14ac:dyDescent="0.3">
      <c r="M10" s="10" t="str">
        <f>name!E11</f>
        <v>Process, plant and machine operatives</v>
      </c>
      <c r="N10" s="11">
        <f>'Occ T5'!I51</f>
        <v>12.513612700573155</v>
      </c>
      <c r="O10" s="11">
        <f>'Occ T5'!H51</f>
        <v>9.9353171459347074</v>
      </c>
      <c r="P10" s="11">
        <f>'Occ T5'!G51</f>
        <v>10.581482869404184</v>
      </c>
    </row>
    <row r="11" spans="1:16" x14ac:dyDescent="0.3">
      <c r="M11" s="10" t="str">
        <f>name!E12</f>
        <v>Elementary occupations</v>
      </c>
      <c r="N11" s="11">
        <f>'Occ T5'!I52</f>
        <v>7.3343524927151513</v>
      </c>
      <c r="O11" s="11">
        <f>'Occ T5'!H52</f>
        <v>-16.400373534078682</v>
      </c>
      <c r="P11" s="11">
        <f>'Occ T5'!G52</f>
        <v>-2.7520330687943897</v>
      </c>
    </row>
    <row r="12" spans="1:16" x14ac:dyDescent="0.3">
      <c r="M12" s="10"/>
      <c r="N12" s="11"/>
      <c r="O12" s="11"/>
      <c r="P12" s="11"/>
    </row>
    <row r="13" spans="1:16" x14ac:dyDescent="0.3">
      <c r="M13" s="10" t="str">
        <f>name!E3</f>
        <v>All occupations</v>
      </c>
      <c r="N13" s="11">
        <f>'Occ T5'!I54</f>
        <v>57.490999999288817</v>
      </c>
      <c r="O13" s="11">
        <f>'Occ T5'!H54</f>
        <v>53.283000000959419</v>
      </c>
      <c r="P13" s="11">
        <f>'Occ T5'!G54</f>
        <v>159.31699999925286</v>
      </c>
    </row>
    <row r="16" spans="1:16" x14ac:dyDescent="0.3">
      <c r="M16" s="82" t="s">
        <v>18</v>
      </c>
      <c r="N16" t="str">
        <f>N1</f>
        <v>2020-2035</v>
      </c>
    </row>
    <row r="17" spans="13:16" x14ac:dyDescent="0.3">
      <c r="M17" s="1" t="s">
        <v>99</v>
      </c>
      <c r="N17" s="82" t="s">
        <v>338</v>
      </c>
      <c r="O17" s="82" t="s">
        <v>432</v>
      </c>
      <c r="P17" s="82" t="s">
        <v>433</v>
      </c>
    </row>
    <row r="18" spans="13:16" x14ac:dyDescent="0.3">
      <c r="M18" s="10" t="str">
        <f>M3</f>
        <v>Managers, directors and senior officials</v>
      </c>
      <c r="N18" s="11">
        <f>'Occ T5'!AO44</f>
        <v>1.9322522056629587</v>
      </c>
      <c r="O18" s="11">
        <f>'Occ T5'!AN44</f>
        <v>10.568383898593098</v>
      </c>
      <c r="P18" s="11">
        <f>'Occ T5'!AM44</f>
        <v>24.066270231421129</v>
      </c>
    </row>
    <row r="19" spans="13:16" x14ac:dyDescent="0.3">
      <c r="M19" s="10" t="str">
        <f t="shared" ref="M19:M28" si="0">M4</f>
        <v>Professional occupations</v>
      </c>
      <c r="N19" s="11">
        <f>'Occ T5'!AO45</f>
        <v>3.8991369157246183</v>
      </c>
      <c r="O19" s="11">
        <f>'Occ T5'!AN45</f>
        <v>23.564087168924829</v>
      </c>
      <c r="P19" s="11">
        <f>'Occ T5'!AM45</f>
        <v>53.214960026536914</v>
      </c>
    </row>
    <row r="20" spans="13:16" x14ac:dyDescent="0.3">
      <c r="M20" s="10" t="str">
        <f t="shared" si="0"/>
        <v>Associate professional occupations</v>
      </c>
      <c r="N20" s="11">
        <f>'Occ T5'!AO46</f>
        <v>2.5435536870368907</v>
      </c>
      <c r="O20" s="11">
        <f>'Occ T5'!AN46</f>
        <v>9.0617986918371898</v>
      </c>
      <c r="P20" s="11">
        <f>'Occ T5'!AM46</f>
        <v>21.239758445909942</v>
      </c>
    </row>
    <row r="21" spans="13:16" x14ac:dyDescent="0.3">
      <c r="M21" s="10" t="str">
        <f t="shared" si="0"/>
        <v>Administrative and secretarial occupations</v>
      </c>
      <c r="N21" s="11">
        <f>'Occ T5'!AO47</f>
        <v>-2.6315747915638941</v>
      </c>
      <c r="O21" s="11">
        <f>'Occ T5'!AN47</f>
        <v>-20.875032333364928</v>
      </c>
      <c r="P21" s="11">
        <f>'Occ T5'!AM47</f>
        <v>-31.333915853295366</v>
      </c>
    </row>
    <row r="22" spans="13:16" x14ac:dyDescent="0.3">
      <c r="M22" s="10" t="str">
        <f t="shared" si="0"/>
        <v>Skilled trades occupations</v>
      </c>
      <c r="N22" s="11">
        <f>'Occ T5'!AO48</f>
        <v>4.4686046244627811</v>
      </c>
      <c r="O22" s="11">
        <f>'Occ T5'!AN48</f>
        <v>2.7144641401994924</v>
      </c>
      <c r="P22" s="11">
        <f>'Occ T5'!AM48</f>
        <v>3.39244220334038</v>
      </c>
    </row>
    <row r="23" spans="13:16" x14ac:dyDescent="0.3">
      <c r="M23" s="10" t="str">
        <f t="shared" si="0"/>
        <v>Caring, leisure and other service occupations</v>
      </c>
      <c r="N23" s="11">
        <f>'Occ T5'!AO49</f>
        <v>7.0143872085055392</v>
      </c>
      <c r="O23" s="11">
        <f>'Occ T5'!AN49</f>
        <v>9.2198923576770966</v>
      </c>
      <c r="P23" s="11">
        <f>'Occ T5'!AM49</f>
        <v>20.205306855683219</v>
      </c>
    </row>
    <row r="24" spans="13:16" x14ac:dyDescent="0.3">
      <c r="M24" s="10" t="str">
        <f t="shared" si="0"/>
        <v>Sales and customer service occupations</v>
      </c>
      <c r="N24" s="11">
        <f>'Occ T5'!AO50</f>
        <v>-0.99218307261007954</v>
      </c>
      <c r="O24" s="11">
        <f>'Occ T5'!AN50</f>
        <v>-0.49849730166518214</v>
      </c>
      <c r="P24" s="11">
        <f>'Occ T5'!AM50</f>
        <v>-2.817212311348726</v>
      </c>
    </row>
    <row r="25" spans="13:16" x14ac:dyDescent="0.3">
      <c r="M25" s="10" t="str">
        <f t="shared" si="0"/>
        <v>Process, plant and machine operatives</v>
      </c>
      <c r="N25" s="11">
        <f>'Occ T5'!AO51</f>
        <v>2.2931469931289046</v>
      </c>
      <c r="O25" s="11">
        <f>'Occ T5'!AN51</f>
        <v>5.5469198700608944</v>
      </c>
      <c r="P25" s="11">
        <f>'Occ T5'!AM51</f>
        <v>2.3397528438369317</v>
      </c>
    </row>
    <row r="26" spans="13:16" x14ac:dyDescent="0.3">
      <c r="M26" s="10" t="str">
        <f t="shared" si="0"/>
        <v>Elementary occupations</v>
      </c>
      <c r="N26" s="11">
        <f>'Occ T5'!AO52</f>
        <v>0.25767622888183261</v>
      </c>
      <c r="O26" s="11">
        <f>'Occ T5'!AN52</f>
        <v>-15.925016490840292</v>
      </c>
      <c r="P26" s="11">
        <f>'Occ T5'!AM52</f>
        <v>3.8546375575809435</v>
      </c>
    </row>
    <row r="27" spans="13:16" x14ac:dyDescent="0.3">
      <c r="M27" s="10"/>
      <c r="N27" s="11"/>
      <c r="O27" s="11"/>
      <c r="P27" s="11"/>
    </row>
    <row r="28" spans="13:16" x14ac:dyDescent="0.3">
      <c r="M28" s="10" t="str">
        <f t="shared" si="0"/>
        <v>All occupations</v>
      </c>
      <c r="N28" s="11">
        <f>'Occ T5'!AO54</f>
        <v>18.784999999229541</v>
      </c>
      <c r="O28" s="11">
        <f>'Occ T5'!AN54</f>
        <v>23.377000001422175</v>
      </c>
      <c r="P28" s="11">
        <f>'Occ T5'!AM54</f>
        <v>94.161999999665341</v>
      </c>
    </row>
    <row r="31" spans="13:16" x14ac:dyDescent="0.3">
      <c r="M31" s="82" t="s">
        <v>18</v>
      </c>
      <c r="N31" t="str">
        <f>N1</f>
        <v>2020-2035</v>
      </c>
    </row>
    <row r="32" spans="13:16" x14ac:dyDescent="0.3">
      <c r="M32" s="1" t="s">
        <v>98</v>
      </c>
      <c r="N32" s="82" t="s">
        <v>338</v>
      </c>
      <c r="O32" s="82" t="s">
        <v>432</v>
      </c>
      <c r="P32" s="82" t="s">
        <v>433</v>
      </c>
    </row>
    <row r="33" spans="1:16" x14ac:dyDescent="0.3">
      <c r="M33" s="10" t="str">
        <f>M3</f>
        <v>Managers, directors and senior officials</v>
      </c>
      <c r="N33" s="11">
        <f>'Occ T5'!Y44</f>
        <v>7.8152334158759231</v>
      </c>
      <c r="O33" s="11">
        <f>'Occ T5'!X44</f>
        <v>5.4847823038464334</v>
      </c>
      <c r="P33" s="11">
        <f>'Occ T5'!W44</f>
        <v>11.310550153144362</v>
      </c>
    </row>
    <row r="34" spans="1:16" x14ac:dyDescent="0.3">
      <c r="M34" s="10" t="str">
        <f t="shared" ref="M34:M43" si="1">M4</f>
        <v>Professional occupations</v>
      </c>
      <c r="N34" s="11">
        <f>'Occ T5'!Y45</f>
        <v>-1.7894149234199475</v>
      </c>
      <c r="O34" s="11">
        <f>'Occ T5'!X45</f>
        <v>14.034712269233104</v>
      </c>
      <c r="P34" s="11">
        <f>'Occ T5'!W45</f>
        <v>53.584604298948818</v>
      </c>
    </row>
    <row r="35" spans="1:16" x14ac:dyDescent="0.3">
      <c r="M35" s="10" t="str">
        <f t="shared" si="1"/>
        <v>Associate professional occupations</v>
      </c>
      <c r="N35" s="11">
        <f>'Occ T5'!Y46</f>
        <v>-0.32204861213171299</v>
      </c>
      <c r="O35" s="11">
        <f>'Occ T5'!X46</f>
        <v>-2.0040812300165491</v>
      </c>
      <c r="P35" s="11">
        <f>'Occ T5'!W46</f>
        <v>-0.3922736522615935</v>
      </c>
    </row>
    <row r="36" spans="1:16" x14ac:dyDescent="0.3">
      <c r="M36" s="10" t="str">
        <f t="shared" si="1"/>
        <v>Administrative and secretarial occupations</v>
      </c>
      <c r="N36" s="11">
        <f>'Occ T5'!Y47</f>
        <v>1.9226197364564594</v>
      </c>
      <c r="O36" s="11">
        <f>'Occ T5'!X47</f>
        <v>-1.292593439807737</v>
      </c>
      <c r="P36" s="11">
        <f>'Occ T5'!W47</f>
        <v>3.854820440207348</v>
      </c>
    </row>
    <row r="37" spans="1:16" x14ac:dyDescent="0.3">
      <c r="M37" s="10" t="str">
        <f t="shared" si="1"/>
        <v>Skilled trades occupations</v>
      </c>
      <c r="N37" s="11">
        <f>'Occ T5'!Y48</f>
        <v>12.446442703967861</v>
      </c>
      <c r="O37" s="11">
        <f>'Occ T5'!X48</f>
        <v>3.2672350616161321</v>
      </c>
      <c r="P37" s="11">
        <f>'Occ T5'!W48</f>
        <v>-20.113356540193109</v>
      </c>
    </row>
    <row r="38" spans="1:16" x14ac:dyDescent="0.3">
      <c r="M38" s="10" t="str">
        <f t="shared" si="1"/>
        <v>Caring, leisure and other service occupations</v>
      </c>
      <c r="N38" s="11">
        <f>'Occ T5'!Y49</f>
        <v>2.0336482916797003</v>
      </c>
      <c r="O38" s="11">
        <f>'Occ T5'!X49</f>
        <v>4.0200969657989418</v>
      </c>
      <c r="P38" s="11">
        <f>'Occ T5'!W49</f>
        <v>11.49639822008556</v>
      </c>
    </row>
    <row r="39" spans="1:16" x14ac:dyDescent="0.3">
      <c r="M39" s="10" t="str">
        <f t="shared" si="1"/>
        <v>Sales and customer service occupations</v>
      </c>
      <c r="N39" s="11">
        <f>'Occ T5'!Y50</f>
        <v>-0.69762258364642182</v>
      </c>
      <c r="O39" s="11">
        <f>'Occ T5'!X50</f>
        <v>2.4828078362314514</v>
      </c>
      <c r="P39" s="11">
        <f>'Occ T5'!W50</f>
        <v>3.7791976804635539</v>
      </c>
    </row>
    <row r="40" spans="1:16" ht="15.45" x14ac:dyDescent="0.4">
      <c r="A40" s="79" t="str">
        <f>CONCATENATE("Occupation Figure 5.1 Females:  Occupational Change by Status (000s) (SOC 2020), ",N1,", ",Info!B5)</f>
        <v>Occupation Figure 5.1 Females:  Occupational Change by Status (000s) (SOC 2020), 2020-2035, East</v>
      </c>
      <c r="M40" s="10" t="str">
        <f t="shared" si="1"/>
        <v>Process, plant and machine operatives</v>
      </c>
      <c r="N40" s="11">
        <f>'Occ T5'!Y51</f>
        <v>10.220465707444056</v>
      </c>
      <c r="O40" s="11">
        <f>'Occ T5'!X51</f>
        <v>4.388397275873853</v>
      </c>
      <c r="P40" s="11">
        <f>'Occ T5'!W51</f>
        <v>8.2417300255672359</v>
      </c>
    </row>
    <row r="41" spans="1:16" x14ac:dyDescent="0.3">
      <c r="M41" s="10" t="str">
        <f t="shared" si="1"/>
        <v>Elementary occupations</v>
      </c>
      <c r="N41" s="11">
        <f>'Occ T5'!Y52</f>
        <v>7.0766762638333329</v>
      </c>
      <c r="O41" s="11">
        <f>'Occ T5'!X52</f>
        <v>-0.47535704323850325</v>
      </c>
      <c r="P41" s="11">
        <f>'Occ T5'!W52</f>
        <v>-6.6066706263751911</v>
      </c>
    </row>
    <row r="42" spans="1:16" x14ac:dyDescent="0.3">
      <c r="M42" s="10"/>
      <c r="N42" s="11"/>
      <c r="O42" s="11"/>
      <c r="P42" s="11"/>
    </row>
    <row r="43" spans="1:16" x14ac:dyDescent="0.3">
      <c r="M43" s="10" t="str">
        <f t="shared" si="1"/>
        <v>All occupations</v>
      </c>
      <c r="N43" s="11">
        <f>'Occ T5'!Y54</f>
        <v>38.706000000059191</v>
      </c>
      <c r="O43" s="11">
        <f>'Occ T5'!X54</f>
        <v>29.90599999953713</v>
      </c>
      <c r="P43" s="11">
        <f>'Occ T5'!W54</f>
        <v>65.154999999587062</v>
      </c>
    </row>
    <row r="79" spans="1:1" ht="15.45" x14ac:dyDescent="0.4">
      <c r="A79" s="79" t="str">
        <f>CONCATENATE("Occupation Figure 5.2 Males:  Occupational Change by Status (000s) (SOC 2020), ",N1,", ",Info!B5)</f>
        <v>Occupation Figure 5.2 Males:  Occupational Change by Status (000s) (SOC 2020), 2020-2035, East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2"/>
  <dimension ref="A1:G57"/>
  <sheetViews>
    <sheetView showGridLines="0" zoomScale="85" zoomScaleNormal="85" workbookViewId="0"/>
  </sheetViews>
  <sheetFormatPr defaultRowHeight="12.45" x14ac:dyDescent="0.3"/>
  <cols>
    <col min="1" max="1" width="36.69140625" customWidth="1"/>
    <col min="2" max="6" width="11.69140625" customWidth="1"/>
  </cols>
  <sheetData>
    <row r="1" spans="1:7" ht="15.45" x14ac:dyDescent="0.4">
      <c r="A1" s="18" t="str">
        <f>CONCATENATE("Qualification Table 1  Employment by Qualification, ",B$3,"-",F$3,", ",Info!B5)</f>
        <v>Qualification Table 1  Employment by Qualification, 2015-2035, East</v>
      </c>
    </row>
    <row r="2" spans="1:7" x14ac:dyDescent="0.3">
      <c r="A2" s="1" t="s">
        <v>541</v>
      </c>
    </row>
    <row r="3" spans="1:7" x14ac:dyDescent="0.3">
      <c r="A3" s="21"/>
      <c r="B3" s="22">
        <f>'Occ T3'!B5</f>
        <v>2015</v>
      </c>
      <c r="C3" s="22">
        <f>'Occ T3'!C5</f>
        <v>2019</v>
      </c>
      <c r="D3" s="22">
        <f>'Occ T3'!D5</f>
        <v>2020</v>
      </c>
      <c r="E3" s="22">
        <f>'Occ T3'!E5</f>
        <v>2025</v>
      </c>
      <c r="F3" s="22">
        <f>'Occ T3'!F5</f>
        <v>2035</v>
      </c>
      <c r="G3" s="10"/>
    </row>
    <row r="4" spans="1:7" x14ac:dyDescent="0.3">
      <c r="A4" s="1" t="s">
        <v>13</v>
      </c>
      <c r="C4" s="10"/>
      <c r="D4" s="10"/>
      <c r="E4" s="10"/>
      <c r="F4" s="10"/>
    </row>
    <row r="5" spans="1:7" x14ac:dyDescent="0.3">
      <c r="A5" t="str">
        <f>name!F4</f>
        <v>RQF8 Doctorate</v>
      </c>
      <c r="B5" s="11">
        <f>HLOOKUP(B$3,'Qual F1'!$M$4:$BZ$14,11,FALSE)</f>
        <v>36.974427371078121</v>
      </c>
      <c r="C5" s="11">
        <f>HLOOKUP(C$3,'Qual F1'!$M$4:$BZ$14,11,FALSE)</f>
        <v>46.534592342672106</v>
      </c>
      <c r="D5" s="11">
        <f>HLOOKUP(D$3,'Qual F1'!$M$4:$BZ$14,11,FALSE)</f>
        <v>45.751429839235122</v>
      </c>
      <c r="E5" s="11">
        <f>HLOOKUP(E$3,'Qual F1'!$M$4:$BZ$14,11,FALSE)</f>
        <v>58.110314098046679</v>
      </c>
      <c r="F5" s="11">
        <f>HLOOKUP(F$3,'Qual F1'!$M$4:$BZ$14,11,FALSE)</f>
        <v>75.377232108376305</v>
      </c>
      <c r="G5" s="11"/>
    </row>
    <row r="6" spans="1:7" x14ac:dyDescent="0.3">
      <c r="A6" t="str">
        <f>name!F5</f>
        <v>RQF7 Other higher degree</v>
      </c>
      <c r="B6" s="11">
        <f>HLOOKUP(B$3,'Qual F1'!$M$4:$BZ$14,10,FALSE)</f>
        <v>238.1442138311877</v>
      </c>
      <c r="C6" s="11">
        <f>HLOOKUP(C$3,'Qual F1'!$M$4:$BZ$14,10,FALSE)</f>
        <v>310.29479593541743</v>
      </c>
      <c r="D6" s="11">
        <f>HLOOKUP(D$3,'Qual F1'!$M$4:$BZ$14,10,FALSE)</f>
        <v>309.62997967254921</v>
      </c>
      <c r="E6" s="11">
        <f>HLOOKUP(E$3,'Qual F1'!$M$4:$BZ$14,10,FALSE)</f>
        <v>395.65703014048506</v>
      </c>
      <c r="F6" s="11">
        <f>HLOOKUP(F$3,'Qual F1'!$M$4:$BZ$14,10,FALSE)</f>
        <v>518.35251208381055</v>
      </c>
      <c r="G6" s="11"/>
    </row>
    <row r="7" spans="1:7" x14ac:dyDescent="0.3">
      <c r="A7" t="str">
        <f>name!F6</f>
        <v>RQF6 First degree</v>
      </c>
      <c r="B7" s="11">
        <f>HLOOKUP(B$3,'Qual F1'!$M$4:$BZ$14,9,FALSE)</f>
        <v>525.43592636585629</v>
      </c>
      <c r="C7" s="11">
        <f>HLOOKUP(C$3,'Qual F1'!$M$4:$BZ$14,9,FALSE)</f>
        <v>588.43324674716268</v>
      </c>
      <c r="D7" s="11">
        <f>HLOOKUP(D$3,'Qual F1'!$M$4:$BZ$14,9,FALSE)</f>
        <v>660.6690159101272</v>
      </c>
      <c r="E7" s="11">
        <f>HLOOKUP(E$3,'Qual F1'!$M$4:$BZ$14,9,FALSE)</f>
        <v>688.6122259732731</v>
      </c>
      <c r="F7" s="11">
        <f>HLOOKUP(F$3,'Qual F1'!$M$4:$BZ$14,9,FALSE)</f>
        <v>825.96029950573779</v>
      </c>
      <c r="G7" s="11"/>
    </row>
    <row r="8" spans="1:7" x14ac:dyDescent="0.3">
      <c r="A8" t="str">
        <f>name!F7</f>
        <v>RQF5 Foundation degree;Nursing;Teaching</v>
      </c>
      <c r="B8" s="11">
        <f>HLOOKUP(B$3,'Qual F1'!$M$4:$BZ$14,8,FALSE)</f>
        <v>153.54135211510925</v>
      </c>
      <c r="C8" s="11">
        <f>HLOOKUP(C$3,'Qual F1'!$M$4:$BZ$14,8,FALSE)</f>
        <v>159.26176969701874</v>
      </c>
      <c r="D8" s="11">
        <f>HLOOKUP(D$3,'Qual F1'!$M$4:$BZ$14,8,FALSE)</f>
        <v>180.33887006585007</v>
      </c>
      <c r="E8" s="11">
        <f>HLOOKUP(E$3,'Qual F1'!$M$4:$BZ$14,8,FALSE)</f>
        <v>176.30587381290988</v>
      </c>
      <c r="F8" s="11">
        <f>HLOOKUP(F$3,'Qual F1'!$M$4:$BZ$14,8,FALSE)</f>
        <v>205.99694559964465</v>
      </c>
      <c r="G8" s="11"/>
    </row>
    <row r="9" spans="1:7" x14ac:dyDescent="0.3">
      <c r="A9" t="str">
        <f>name!F8</f>
        <v>RQF4 HE below degree level</v>
      </c>
      <c r="B9" s="11">
        <f>HLOOKUP(B$3,'Qual F1'!$M$4:$BZ$14,7,FALSE)</f>
        <v>150.68527696860417</v>
      </c>
      <c r="C9" s="11">
        <f>HLOOKUP(C$3,'Qual F1'!$M$4:$BZ$14,7,FALSE)</f>
        <v>162.30511144496458</v>
      </c>
      <c r="D9" s="11">
        <f>HLOOKUP(D$3,'Qual F1'!$M$4:$BZ$14,7,FALSE)</f>
        <v>183.52610792279194</v>
      </c>
      <c r="E9" s="11">
        <f>HLOOKUP(E$3,'Qual F1'!$M$4:$BZ$14,7,FALSE)</f>
        <v>187.4504707065062</v>
      </c>
      <c r="F9" s="11">
        <f>HLOOKUP(F$3,'Qual F1'!$M$4:$BZ$14,7,FALSE)</f>
        <v>223.47715854059405</v>
      </c>
      <c r="G9" s="11"/>
    </row>
    <row r="10" spans="1:7" x14ac:dyDescent="0.3">
      <c r="A10" t="str">
        <f>name!F9</f>
        <v>RQF3 A level &amp; equivalent</v>
      </c>
      <c r="B10" s="11">
        <f>HLOOKUP(B$3,'Qual F1'!$M$4:$BZ$14,6,FALSE)</f>
        <v>623.32973353306818</v>
      </c>
      <c r="C10" s="11">
        <f>HLOOKUP(C$3,'Qual F1'!$M$4:$BZ$14,6,FALSE)</f>
        <v>631.31405399173821</v>
      </c>
      <c r="D10" s="11">
        <f>HLOOKUP(D$3,'Qual F1'!$M$4:$BZ$14,6,FALSE)</f>
        <v>606.60283706100836</v>
      </c>
      <c r="E10" s="11">
        <f>HLOOKUP(E$3,'Qual F1'!$M$4:$BZ$14,6,FALSE)</f>
        <v>654.80300574649254</v>
      </c>
      <c r="F10" s="11">
        <f>HLOOKUP(F$3,'Qual F1'!$M$4:$BZ$14,6,FALSE)</f>
        <v>689.22564214720899</v>
      </c>
      <c r="G10" s="11"/>
    </row>
    <row r="11" spans="1:7" x14ac:dyDescent="0.3">
      <c r="A11" t="str">
        <f>name!F10</f>
        <v>RQF2 GCSE(A-C) &amp; equivalent</v>
      </c>
      <c r="B11" s="11">
        <f>HLOOKUP(B$3,'Qual F1'!$M$4:$BZ$14,5,FALSE)</f>
        <v>675.58397934000402</v>
      </c>
      <c r="C11" s="11">
        <f>HLOOKUP(C$3,'Qual F1'!$M$4:$BZ$14,5,FALSE)</f>
        <v>672.38661328891988</v>
      </c>
      <c r="D11" s="11">
        <f>HLOOKUP(D$3,'Qual F1'!$M$4:$BZ$14,5,FALSE)</f>
        <v>653.11181179721393</v>
      </c>
      <c r="E11" s="11">
        <f>HLOOKUP(E$3,'Qual F1'!$M$4:$BZ$14,5,FALSE)</f>
        <v>636.23390047529108</v>
      </c>
      <c r="F11" s="11">
        <f>HLOOKUP(F$3,'Qual F1'!$M$4:$BZ$14,5,FALSE)</f>
        <v>560.57279698976367</v>
      </c>
      <c r="G11" s="11"/>
    </row>
    <row r="12" spans="1:7" x14ac:dyDescent="0.3">
      <c r="A12" t="str">
        <f>name!F11</f>
        <v>RQF1 GCSE(below grade C) &amp; equivalent</v>
      </c>
      <c r="B12" s="11">
        <f>HLOOKUP(B$3,'Qual F1'!$M$4:$BZ$14,4,FALSE)</f>
        <v>488.21252802958577</v>
      </c>
      <c r="C12" s="11">
        <f>HLOOKUP(C$3,'Qual F1'!$M$4:$BZ$14,4,FALSE)</f>
        <v>478.51693207360199</v>
      </c>
      <c r="D12" s="11">
        <f>HLOOKUP(D$3,'Qual F1'!$M$4:$BZ$14,4,FALSE)</f>
        <v>420.97505357800122</v>
      </c>
      <c r="E12" s="11">
        <f>HLOOKUP(E$3,'Qual F1'!$M$4:$BZ$14,4,FALSE)</f>
        <v>388.91262234212439</v>
      </c>
      <c r="F12" s="11">
        <f>HLOOKUP(F$3,'Qual F1'!$M$4:$BZ$14,4,FALSE)</f>
        <v>278.67975499645797</v>
      </c>
      <c r="G12" s="11"/>
    </row>
    <row r="13" spans="1:7" x14ac:dyDescent="0.3">
      <c r="A13" t="str">
        <f>name!F12</f>
        <v>No Qualification</v>
      </c>
      <c r="B13" s="11">
        <f>HLOOKUP(B$3,'Qual F1'!$M$4:$BZ$14,3,FALSE)</f>
        <v>163.87156244502003</v>
      </c>
      <c r="C13" s="11">
        <f>HLOOKUP(C$3,'Qual F1'!$M$4:$BZ$14,3,FALSE)</f>
        <v>158.05588447682442</v>
      </c>
      <c r="D13" s="11">
        <f>HLOOKUP(D$3,'Qual F1'!$M$4:$BZ$14,3,FALSE)</f>
        <v>113.58689415162651</v>
      </c>
      <c r="E13" s="11">
        <f>HLOOKUP(E$3,'Qual F1'!$M$4:$BZ$14,3,FALSE)</f>
        <v>94.166556704874651</v>
      </c>
      <c r="F13" s="11">
        <f>HLOOKUP(F$3,'Qual F1'!$M$4:$BZ$14,3,FALSE)</f>
        <v>66.640658026300159</v>
      </c>
      <c r="G13" s="11"/>
    </row>
    <row r="14" spans="1:7" x14ac:dyDescent="0.3">
      <c r="B14" s="11"/>
      <c r="C14" s="11"/>
      <c r="D14" s="11"/>
      <c r="E14" s="11"/>
      <c r="F14" s="11"/>
      <c r="G14" s="11"/>
    </row>
    <row r="15" spans="1:7" x14ac:dyDescent="0.3">
      <c r="A15" t="str">
        <f>name!F3</f>
        <v>All qualifications</v>
      </c>
      <c r="B15" s="11">
        <f>SUM(B5:B13)</f>
        <v>3055.7789999995139</v>
      </c>
      <c r="C15" s="11">
        <f t="shared" ref="C15:F15" si="0">SUM(C5:C13)</f>
        <v>3207.1029999983198</v>
      </c>
      <c r="D15" s="11">
        <f t="shared" si="0"/>
        <v>3174.1919999984034</v>
      </c>
      <c r="E15" s="11">
        <f t="shared" si="0"/>
        <v>3280.2520000000036</v>
      </c>
      <c r="F15" s="11">
        <f t="shared" si="0"/>
        <v>3444.2829999978944</v>
      </c>
      <c r="G15" s="11"/>
    </row>
    <row r="16" spans="1:7" x14ac:dyDescent="0.3">
      <c r="B16" s="11"/>
      <c r="C16" s="11"/>
      <c r="D16" s="11"/>
      <c r="E16" s="11"/>
      <c r="F16" s="11"/>
      <c r="G16" s="11"/>
    </row>
    <row r="17" spans="1:7" x14ac:dyDescent="0.3">
      <c r="B17" s="11"/>
      <c r="C17" s="11"/>
      <c r="D17" s="11"/>
      <c r="E17" s="11"/>
      <c r="F17" s="11"/>
      <c r="G17" s="11"/>
    </row>
    <row r="18" spans="1:7" x14ac:dyDescent="0.3">
      <c r="A18" s="1" t="s">
        <v>463</v>
      </c>
      <c r="B18" s="16">
        <f>B$3</f>
        <v>2015</v>
      </c>
      <c r="C18" s="16">
        <f>C$3</f>
        <v>2019</v>
      </c>
      <c r="D18" s="16">
        <f>D$3</f>
        <v>2020</v>
      </c>
      <c r="E18" s="16">
        <f>E$3</f>
        <v>2025</v>
      </c>
      <c r="F18" s="16">
        <f>F$3</f>
        <v>2035</v>
      </c>
      <c r="G18" s="11"/>
    </row>
    <row r="19" spans="1:7" x14ac:dyDescent="0.3">
      <c r="A19" t="str">
        <f>$A5</f>
        <v>RQF8 Doctorate</v>
      </c>
      <c r="B19" s="17">
        <f t="shared" ref="B19:F21" si="1">B5/B$15*100</f>
        <v>1.2099836857012241</v>
      </c>
      <c r="C19" s="17">
        <f t="shared" si="1"/>
        <v>1.450985276827607</v>
      </c>
      <c r="D19" s="17">
        <f t="shared" si="1"/>
        <v>1.4413567244595833</v>
      </c>
      <c r="E19" s="17">
        <f>E5/E$15*100</f>
        <v>1.7715198130523697</v>
      </c>
      <c r="F19" s="17">
        <f t="shared" si="1"/>
        <v>2.18847383064697</v>
      </c>
      <c r="G19" s="11"/>
    </row>
    <row r="20" spans="1:7" x14ac:dyDescent="0.3">
      <c r="A20" t="str">
        <f>$A6</f>
        <v>RQF7 Other higher degree</v>
      </c>
      <c r="B20" s="17">
        <f t="shared" si="1"/>
        <v>7.7932407360357407</v>
      </c>
      <c r="C20" s="17">
        <f t="shared" si="1"/>
        <v>9.6752363717529484</v>
      </c>
      <c r="D20" s="17">
        <f t="shared" si="1"/>
        <v>9.7546077764894168</v>
      </c>
      <c r="E20" s="17">
        <f t="shared" si="1"/>
        <v>12.061787635233044</v>
      </c>
      <c r="F20" s="17">
        <f t="shared" si="1"/>
        <v>15.049649290843043</v>
      </c>
      <c r="G20" s="11"/>
    </row>
    <row r="21" spans="1:7" x14ac:dyDescent="0.3">
      <c r="A21" t="str">
        <f>$A7</f>
        <v>RQF6 First degree</v>
      </c>
      <c r="B21" s="17">
        <f t="shared" si="1"/>
        <v>17.19482745204872</v>
      </c>
      <c r="C21" s="17">
        <f t="shared" si="1"/>
        <v>18.347812550687365</v>
      </c>
      <c r="D21" s="17">
        <f t="shared" si="1"/>
        <v>20.813769800644057</v>
      </c>
      <c r="E21" s="17">
        <f t="shared" si="1"/>
        <v>20.992662331225539</v>
      </c>
      <c r="F21" s="17">
        <f t="shared" si="1"/>
        <v>23.980616561015538</v>
      </c>
      <c r="G21" s="11"/>
    </row>
    <row r="22" spans="1:7" x14ac:dyDescent="0.3">
      <c r="A22" t="str">
        <f t="shared" ref="A22:A27" si="2">$A8</f>
        <v>RQF5 Foundation degree;Nursing;Teaching</v>
      </c>
      <c r="B22" s="17">
        <f t="shared" ref="B22:F22" si="3">B8/B$15*100</f>
        <v>5.0246222686632009</v>
      </c>
      <c r="C22" s="17">
        <f t="shared" si="3"/>
        <v>4.9659075401414352</v>
      </c>
      <c r="D22" s="17">
        <f t="shared" si="3"/>
        <v>5.6814102633344419</v>
      </c>
      <c r="E22" s="17">
        <f t="shared" si="3"/>
        <v>5.3747661403120759</v>
      </c>
      <c r="F22" s="17">
        <f t="shared" si="3"/>
        <v>5.9808368127639504</v>
      </c>
      <c r="G22" s="11"/>
    </row>
    <row r="23" spans="1:7" x14ac:dyDescent="0.3">
      <c r="A23" t="str">
        <f t="shared" si="2"/>
        <v>RQF4 HE below degree level</v>
      </c>
      <c r="B23" s="17">
        <f t="shared" ref="B23:F23" si="4">B9/B$15*100</f>
        <v>4.931157553233664</v>
      </c>
      <c r="C23" s="17">
        <f t="shared" si="4"/>
        <v>5.0608013351940864</v>
      </c>
      <c r="D23" s="17">
        <f t="shared" si="4"/>
        <v>5.7818212610605864</v>
      </c>
      <c r="E23" s="17">
        <f t="shared" si="4"/>
        <v>5.7145143332434829</v>
      </c>
      <c r="F23" s="17">
        <f t="shared" si="4"/>
        <v>6.4883506535534581</v>
      </c>
      <c r="G23" s="11"/>
    </row>
    <row r="24" spans="1:7" x14ac:dyDescent="0.3">
      <c r="A24" t="str">
        <f t="shared" si="2"/>
        <v>RQF3 A level &amp; equivalent</v>
      </c>
      <c r="B24" s="17">
        <f t="shared" ref="B24:F24" si="5">B10/B$15*100</f>
        <v>20.398390509692206</v>
      </c>
      <c r="C24" s="17">
        <f t="shared" si="5"/>
        <v>19.68486992753488</v>
      </c>
      <c r="D24" s="17">
        <f t="shared" si="5"/>
        <v>19.110464554800512</v>
      </c>
      <c r="E24" s="17">
        <f t="shared" si="5"/>
        <v>19.961972609009667</v>
      </c>
      <c r="F24" s="17">
        <f t="shared" si="5"/>
        <v>20.010714629071721</v>
      </c>
      <c r="G24" s="11"/>
    </row>
    <row r="25" spans="1:7" x14ac:dyDescent="0.3">
      <c r="A25" t="str">
        <f t="shared" si="2"/>
        <v>RQF2 GCSE(A-C) &amp; equivalent</v>
      </c>
      <c r="B25" s="17">
        <f t="shared" ref="B25:F25" si="6">B11/B$15*100</f>
        <v>22.108404414720813</v>
      </c>
      <c r="C25" s="17">
        <f t="shared" si="6"/>
        <v>20.965544707771226</v>
      </c>
      <c r="D25" s="17">
        <f t="shared" si="6"/>
        <v>20.575687034607309</v>
      </c>
      <c r="E25" s="17">
        <f t="shared" si="6"/>
        <v>19.395884842850194</v>
      </c>
      <c r="F25" s="17">
        <f t="shared" si="6"/>
        <v>16.275456952582186</v>
      </c>
      <c r="G25" s="11"/>
    </row>
    <row r="26" spans="1:7" x14ac:dyDescent="0.3">
      <c r="A26" t="str">
        <f t="shared" si="2"/>
        <v>RQF1 GCSE(below grade C) &amp; equivalent</v>
      </c>
      <c r="B26" s="17">
        <f t="shared" ref="B26:F26" si="7">B12/B$15*100</f>
        <v>15.976696221476208</v>
      </c>
      <c r="C26" s="17">
        <f>C12/C$15*100</f>
        <v>14.920535201827089</v>
      </c>
      <c r="D26" s="17">
        <f t="shared" si="7"/>
        <v>13.262431937898306</v>
      </c>
      <c r="E26" s="17">
        <f t="shared" si="7"/>
        <v>11.856181242847317</v>
      </c>
      <c r="F26" s="17">
        <f t="shared" si="7"/>
        <v>8.0910818012523471</v>
      </c>
      <c r="G26" s="11"/>
    </row>
    <row r="27" spans="1:7" x14ac:dyDescent="0.3">
      <c r="A27" t="str">
        <f t="shared" si="2"/>
        <v>No Qualification</v>
      </c>
      <c r="B27" s="17">
        <f t="shared" ref="B27:F27" si="8">B13/B$15*100</f>
        <v>5.3626771584282142</v>
      </c>
      <c r="C27" s="17">
        <f>C13/C$15*100</f>
        <v>4.928307088263371</v>
      </c>
      <c r="D27" s="17">
        <f t="shared" si="8"/>
        <v>3.5784506467057962</v>
      </c>
      <c r="E27" s="17">
        <f t="shared" si="8"/>
        <v>2.8707110522263091</v>
      </c>
      <c r="F27" s="17">
        <f t="shared" si="8"/>
        <v>1.9348194682707809</v>
      </c>
      <c r="G27" s="11"/>
    </row>
    <row r="28" spans="1:7" x14ac:dyDescent="0.3">
      <c r="B28" s="17"/>
      <c r="C28" s="17"/>
      <c r="D28" s="17"/>
      <c r="E28" s="17"/>
      <c r="F28" s="17"/>
      <c r="G28" s="11"/>
    </row>
    <row r="29" spans="1:7" x14ac:dyDescent="0.3">
      <c r="A29" t="str">
        <f>$A15</f>
        <v>All qualifications</v>
      </c>
      <c r="B29" s="17">
        <f>B15/B$15*100</f>
        <v>100</v>
      </c>
      <c r="C29" s="17">
        <f>C15/C$15*100</f>
        <v>100</v>
      </c>
      <c r="D29" s="17">
        <f>D15/D$15*100</f>
        <v>100</v>
      </c>
      <c r="E29" s="17">
        <f>E15/E$15*100</f>
        <v>100</v>
      </c>
      <c r="F29" s="17">
        <f>F15/F$15*100</f>
        <v>100</v>
      </c>
      <c r="G29" s="11"/>
    </row>
    <row r="30" spans="1:7" x14ac:dyDescent="0.3">
      <c r="B30" s="17"/>
      <c r="C30" s="17"/>
      <c r="D30" s="17"/>
      <c r="E30" s="17"/>
      <c r="F30" s="17"/>
      <c r="G30" s="11"/>
    </row>
    <row r="32" spans="1:7" x14ac:dyDescent="0.3">
      <c r="A32" s="1" t="s">
        <v>14</v>
      </c>
      <c r="B32" s="19" t="str">
        <f>CONCATENATE(B$3,"-",C$3)</f>
        <v>2015-2019</v>
      </c>
      <c r="C32" s="19" t="str">
        <f>CONCATENATE(C$3,"-",D$3)</f>
        <v>2019-2020</v>
      </c>
      <c r="D32" s="19" t="str">
        <f>CONCATENATE(D$3,"-",E$3)</f>
        <v>2020-2025</v>
      </c>
      <c r="E32" s="19" t="str">
        <f>CONCATENATE(E$3,"-",F$3)</f>
        <v>2025-2035</v>
      </c>
      <c r="F32" s="19" t="str">
        <f>CONCATENATE(D$3,"-",F$3)</f>
        <v>2020-2035</v>
      </c>
    </row>
    <row r="33" spans="1:6" x14ac:dyDescent="0.3">
      <c r="A33" t="str">
        <f>$A19</f>
        <v>RQF8 Doctorate</v>
      </c>
      <c r="B33" s="17">
        <f>IF(C$3-B$3 &lt;&gt; 0,(EXP(LN(C5/B5)/(C$3-B$3))-1)*100,0)</f>
        <v>5.9177177401565695</v>
      </c>
      <c r="C33" s="17">
        <f t="shared" ref="B33:E35" si="9">IF(D$3-C$3 &lt;&gt; 0,(EXP(LN(D5/C5)/(D$3-C$3))-1)*100,0)</f>
        <v>-1.6829684413477208</v>
      </c>
      <c r="D33" s="17">
        <f t="shared" si="9"/>
        <v>4.8986044130558515</v>
      </c>
      <c r="E33" s="17">
        <f t="shared" si="9"/>
        <v>2.635758525455012</v>
      </c>
      <c r="F33" s="17">
        <f>IF(F$3-D$3 &lt;&gt; 0,(EXP(LN(F5/D5)/(F$3-D$3))-1)*100,0)</f>
        <v>3.384564098520193</v>
      </c>
    </row>
    <row r="34" spans="1:6" x14ac:dyDescent="0.3">
      <c r="A34" t="str">
        <f>$A20</f>
        <v>RQF7 Other higher degree</v>
      </c>
      <c r="B34" s="17">
        <f t="shared" si="9"/>
        <v>6.8399348434626361</v>
      </c>
      <c r="C34" s="17">
        <f t="shared" si="9"/>
        <v>-0.214253113998919</v>
      </c>
      <c r="D34" s="17">
        <f t="shared" si="9"/>
        <v>5.0256012603932199</v>
      </c>
      <c r="E34" s="17">
        <f t="shared" si="9"/>
        <v>2.7378876366985105</v>
      </c>
      <c r="F34" s="17">
        <f t="shared" ref="F34:F43" si="10">IF(F$3-D$3 &lt;&gt; 0,(EXP(LN(F6/D6)/(F$3-D$3))-1)*100,0)</f>
        <v>3.4948676637561293</v>
      </c>
    </row>
    <row r="35" spans="1:6" x14ac:dyDescent="0.3">
      <c r="A35" t="str">
        <f>$A21</f>
        <v>RQF6 First degree</v>
      </c>
      <c r="B35" s="17">
        <f t="shared" si="9"/>
        <v>2.8713311508453021</v>
      </c>
      <c r="C35" s="17">
        <f t="shared" si="9"/>
        <v>12.275949661627926</v>
      </c>
      <c r="D35" s="17">
        <f t="shared" si="9"/>
        <v>0.83194808273721055</v>
      </c>
      <c r="E35" s="17">
        <f t="shared" si="9"/>
        <v>1.8353228063034521</v>
      </c>
      <c r="F35" s="17">
        <f t="shared" si="10"/>
        <v>1.4997600497076657</v>
      </c>
    </row>
    <row r="36" spans="1:6" x14ac:dyDescent="0.3">
      <c r="A36" t="str">
        <f t="shared" ref="A36:A41" si="11">$A22</f>
        <v>RQF5 Foundation degree;Nursing;Teaching</v>
      </c>
      <c r="B36" s="17">
        <f>IF(C$3-B$3 &lt;&gt; 0,(EXP(LN(C8/B8)/(C$3-B$3))-1)*100,0)</f>
        <v>0.91867598859867172</v>
      </c>
      <c r="C36" s="17">
        <f t="shared" ref="C36:E36" si="12">IF(D$3-C$3 &lt;&gt; 0,(EXP(LN(D8/C8)/(D$3-C$3))-1)*100,0)</f>
        <v>13.23424975681775</v>
      </c>
      <c r="D36" s="17">
        <f t="shared" si="12"/>
        <v>-0.45132418718514256</v>
      </c>
      <c r="E36" s="17">
        <f t="shared" si="12"/>
        <v>1.5685844883450484</v>
      </c>
      <c r="F36" s="17">
        <f t="shared" si="10"/>
        <v>0.89076826369787199</v>
      </c>
    </row>
    <row r="37" spans="1:6" x14ac:dyDescent="0.3">
      <c r="A37" t="str">
        <f t="shared" si="11"/>
        <v>RQF4 HE below degree level</v>
      </c>
      <c r="B37" s="17">
        <f t="shared" ref="B37:E37" si="13">IF(C$3-B$3 &lt;&gt; 0,(EXP(LN(C9/B9)/(C$3-B$3))-1)*100,0)</f>
        <v>1.8744657256324571</v>
      </c>
      <c r="C37" s="17">
        <f t="shared" si="13"/>
        <v>13.074755495314827</v>
      </c>
      <c r="D37" s="17">
        <f t="shared" si="13"/>
        <v>0.4240509503597556</v>
      </c>
      <c r="E37" s="17">
        <f t="shared" si="13"/>
        <v>1.7734883635860399</v>
      </c>
      <c r="F37" s="17">
        <f t="shared" si="10"/>
        <v>1.3216730626378403</v>
      </c>
    </row>
    <row r="38" spans="1:6" x14ac:dyDescent="0.3">
      <c r="A38" t="str">
        <f t="shared" si="11"/>
        <v>RQF3 A level &amp; equivalent</v>
      </c>
      <c r="B38" s="17">
        <f t="shared" ref="B38:E38" si="14">IF(C$3-B$3 &lt;&gt; 0,(EXP(LN(C10/B10)/(C$3-B$3))-1)*100,0)</f>
        <v>0.3187018034567668</v>
      </c>
      <c r="C38" s="17">
        <f t="shared" si="14"/>
        <v>-3.914251041060024</v>
      </c>
      <c r="D38" s="17">
        <f t="shared" si="14"/>
        <v>1.5409554131710301</v>
      </c>
      <c r="E38" s="17">
        <f t="shared" si="14"/>
        <v>0.51365745790659112</v>
      </c>
      <c r="F38" s="17">
        <f t="shared" si="10"/>
        <v>0.8549300800840598</v>
      </c>
    </row>
    <row r="39" spans="1:6" x14ac:dyDescent="0.3">
      <c r="A39" t="str">
        <f t="shared" si="11"/>
        <v>RQF2 GCSE(A-C) &amp; equivalent</v>
      </c>
      <c r="B39" s="17">
        <f t="shared" ref="B39:E39" si="15">IF(C$3-B$3 &lt;&gt; 0,(EXP(LN(C11/B11)/(C$3-B$3))-1)*100,0)</f>
        <v>-0.11852917197058277</v>
      </c>
      <c r="C39" s="17">
        <f t="shared" si="15"/>
        <v>-2.8666248123865756</v>
      </c>
      <c r="D39" s="17">
        <f t="shared" si="15"/>
        <v>-0.52227296168078086</v>
      </c>
      <c r="E39" s="17">
        <f t="shared" si="15"/>
        <v>-1.2580905420756072</v>
      </c>
      <c r="F39" s="17">
        <f t="shared" si="10"/>
        <v>-1.013424756518766</v>
      </c>
    </row>
    <row r="40" spans="1:6" x14ac:dyDescent="0.3">
      <c r="A40" t="str">
        <f t="shared" si="11"/>
        <v>RQF1 GCSE(below grade C) &amp; equivalent</v>
      </c>
      <c r="B40" s="17">
        <f t="shared" ref="B40:E40" si="16">IF(C$3-B$3 &lt;&gt; 0,(EXP(LN(C12/B12)/(C$3-B$3))-1)*100,0)</f>
        <v>-0.50022526797925959</v>
      </c>
      <c r="C40" s="17">
        <f t="shared" si="16"/>
        <v>-12.025045434912652</v>
      </c>
      <c r="D40" s="17">
        <f t="shared" si="16"/>
        <v>-1.5718923551342967</v>
      </c>
      <c r="E40" s="17">
        <f t="shared" si="16"/>
        <v>-3.2779844245257483</v>
      </c>
      <c r="F40" s="17">
        <f t="shared" si="10"/>
        <v>-2.7125984563564298</v>
      </c>
    </row>
    <row r="41" spans="1:6" x14ac:dyDescent="0.3">
      <c r="A41" t="str">
        <f t="shared" si="11"/>
        <v>No Qualification</v>
      </c>
      <c r="B41" s="17">
        <f t="shared" ref="B41:E41" si="17">IF(C$3-B$3 &lt;&gt; 0,(EXP(LN(C13/B13)/(C$3-B$3))-1)*100,0)</f>
        <v>-0.89928937254156738</v>
      </c>
      <c r="C41" s="17">
        <f t="shared" si="17"/>
        <v>-28.134979265335957</v>
      </c>
      <c r="D41" s="17">
        <f t="shared" si="17"/>
        <v>-3.6806167336038254</v>
      </c>
      <c r="E41" s="17">
        <f t="shared" si="17"/>
        <v>-3.3984135670165672</v>
      </c>
      <c r="F41" s="17">
        <f t="shared" si="10"/>
        <v>-3.4925730384865461</v>
      </c>
    </row>
    <row r="42" spans="1:6" x14ac:dyDescent="0.3">
      <c r="B42" s="17"/>
      <c r="C42" s="17"/>
      <c r="D42" s="17"/>
      <c r="E42" s="17"/>
      <c r="F42" s="17"/>
    </row>
    <row r="43" spans="1:6" x14ac:dyDescent="0.3">
      <c r="A43" t="str">
        <f>$A29</f>
        <v>All qualifications</v>
      </c>
      <c r="B43" s="17">
        <f>IF(C$3-B$3 &lt;&gt; 0,(EXP(LN(C15/B15)/(C$3-B$3))-1)*100,0)</f>
        <v>1.2156670242623679</v>
      </c>
      <c r="C43" s="17">
        <f t="shared" ref="C43" si="18">IF(D$3-C$3 &lt;&gt; 0,(EXP(LN(D15/C15)/(D$3-C$3))-1)*100,0)</f>
        <v>-1.0261909268250435</v>
      </c>
      <c r="D43" s="17">
        <f>IF(E$3-D$3 &lt;&gt; 0,(EXP(LN(E15/D15)/(E$3-D$3))-1)*100,0)</f>
        <v>0.6595079780407298</v>
      </c>
      <c r="E43" s="17">
        <f>IF(F$3-E$3 &lt;&gt; 0,(EXP(LN(F15/E15)/(F$3-E$3))-1)*100,0)</f>
        <v>0.48914750314454913</v>
      </c>
      <c r="F43" s="17">
        <f t="shared" si="10"/>
        <v>0.54590226783473028</v>
      </c>
    </row>
    <row r="44" spans="1:6" x14ac:dyDescent="0.3">
      <c r="B44" s="17"/>
      <c r="C44" s="17"/>
      <c r="D44" s="17"/>
      <c r="E44" s="17"/>
      <c r="F44" s="17"/>
    </row>
    <row r="46" spans="1:6" x14ac:dyDescent="0.3">
      <c r="A46" s="1" t="s">
        <v>15</v>
      </c>
      <c r="B46" s="19" t="str">
        <f>CONCATENATE(B$3,"-",C$3)</f>
        <v>2015-2019</v>
      </c>
      <c r="C46" s="19" t="str">
        <f>CONCATENATE(C$3,"-",D$3)</f>
        <v>2019-2020</v>
      </c>
      <c r="D46" s="19" t="str">
        <f>CONCATENATE(D$3,"-",E$3)</f>
        <v>2020-2025</v>
      </c>
      <c r="E46" s="19" t="str">
        <f>CONCATENATE(E$3,"-",F$3)</f>
        <v>2025-2035</v>
      </c>
      <c r="F46" s="19" t="str">
        <f>CONCATENATE(D$3,"-",F$3)</f>
        <v>2020-2035</v>
      </c>
    </row>
    <row r="47" spans="1:6" x14ac:dyDescent="0.3">
      <c r="A47" t="str">
        <f>$A33</f>
        <v>RQF8 Doctorate</v>
      </c>
      <c r="B47" s="26">
        <f>C5-B5</f>
        <v>9.5601649715939843</v>
      </c>
      <c r="C47" s="26">
        <f>D5-C5</f>
        <v>-0.78316250343698357</v>
      </c>
      <c r="D47" s="26">
        <f>E5-D5</f>
        <v>12.358884258811557</v>
      </c>
      <c r="E47" s="26">
        <f>F5-E5</f>
        <v>17.266918010329626</v>
      </c>
      <c r="F47" s="26">
        <f>F5-D5</f>
        <v>29.625802269141182</v>
      </c>
    </row>
    <row r="48" spans="1:6" x14ac:dyDescent="0.3">
      <c r="A48" t="str">
        <f t="shared" ref="A48:A55" si="19">$A34</f>
        <v>RQF7 Other higher degree</v>
      </c>
      <c r="B48" s="26">
        <f t="shared" ref="B48:E48" si="20">C6-B6</f>
        <v>72.150582104229727</v>
      </c>
      <c r="C48" s="26">
        <f t="shared" si="20"/>
        <v>-0.66481626286821438</v>
      </c>
      <c r="D48" s="26">
        <f t="shared" si="20"/>
        <v>86.027050467935851</v>
      </c>
      <c r="E48" s="26">
        <f t="shared" si="20"/>
        <v>122.69548194332549</v>
      </c>
      <c r="F48" s="26">
        <f t="shared" ref="F48:F57" si="21">F6-D6</f>
        <v>208.72253241126134</v>
      </c>
    </row>
    <row r="49" spans="1:6" x14ac:dyDescent="0.3">
      <c r="A49" t="str">
        <f t="shared" si="19"/>
        <v>RQF6 First degree</v>
      </c>
      <c r="B49" s="26">
        <f t="shared" ref="B49:E49" si="22">C7-B7</f>
        <v>62.997320381306395</v>
      </c>
      <c r="C49" s="26">
        <f t="shared" si="22"/>
        <v>72.235769162964516</v>
      </c>
      <c r="D49" s="26">
        <f t="shared" si="22"/>
        <v>27.943210063145898</v>
      </c>
      <c r="E49" s="26">
        <f t="shared" si="22"/>
        <v>137.3480735324647</v>
      </c>
      <c r="F49" s="26">
        <f t="shared" si="21"/>
        <v>165.29128359561059</v>
      </c>
    </row>
    <row r="50" spans="1:6" x14ac:dyDescent="0.3">
      <c r="A50" t="str">
        <f t="shared" si="19"/>
        <v>RQF5 Foundation degree;Nursing;Teaching</v>
      </c>
      <c r="B50" s="26">
        <f t="shared" ref="B50:E50" si="23">C8-B8</f>
        <v>5.7204175819094871</v>
      </c>
      <c r="C50" s="26">
        <f t="shared" si="23"/>
        <v>21.077100368831339</v>
      </c>
      <c r="D50" s="26">
        <f t="shared" si="23"/>
        <v>-4.0329962529401939</v>
      </c>
      <c r="E50" s="26">
        <f t="shared" si="23"/>
        <v>29.691071786734767</v>
      </c>
      <c r="F50" s="26">
        <f t="shared" si="21"/>
        <v>25.658075533794573</v>
      </c>
    </row>
    <row r="51" spans="1:6" x14ac:dyDescent="0.3">
      <c r="A51" t="str">
        <f t="shared" si="19"/>
        <v>RQF4 HE below degree level</v>
      </c>
      <c r="B51" s="26">
        <f t="shared" ref="B51:E51" si="24">C9-B9</f>
        <v>11.61983447636041</v>
      </c>
      <c r="C51" s="26">
        <f t="shared" si="24"/>
        <v>21.220996477827356</v>
      </c>
      <c r="D51" s="26">
        <f t="shared" si="24"/>
        <v>3.9243627837142583</v>
      </c>
      <c r="E51" s="26">
        <f t="shared" si="24"/>
        <v>36.026687834087852</v>
      </c>
      <c r="F51" s="26">
        <f t="shared" si="21"/>
        <v>39.95105061780211</v>
      </c>
    </row>
    <row r="52" spans="1:6" x14ac:dyDescent="0.3">
      <c r="A52" t="str">
        <f t="shared" si="19"/>
        <v>RQF3 A level &amp; equivalent</v>
      </c>
      <c r="B52" s="26">
        <f t="shared" ref="B52:E52" si="25">C10-B10</f>
        <v>7.9843204586700267</v>
      </c>
      <c r="C52" s="26">
        <f t="shared" si="25"/>
        <v>-24.711216930729847</v>
      </c>
      <c r="D52" s="26">
        <f t="shared" si="25"/>
        <v>48.200168685484186</v>
      </c>
      <c r="E52" s="26">
        <f t="shared" si="25"/>
        <v>34.422636400716442</v>
      </c>
      <c r="F52" s="26">
        <f t="shared" si="21"/>
        <v>82.622805086200628</v>
      </c>
    </row>
    <row r="53" spans="1:6" x14ac:dyDescent="0.3">
      <c r="A53" t="str">
        <f t="shared" si="19"/>
        <v>RQF2 GCSE(A-C) &amp; equivalent</v>
      </c>
      <c r="B53" s="26">
        <f t="shared" ref="B53:E53" si="26">C11-B11</f>
        <v>-3.1973660510841455</v>
      </c>
      <c r="C53" s="26">
        <f>D11-C11</f>
        <v>-19.274801491705944</v>
      </c>
      <c r="D53" s="26">
        <f t="shared" si="26"/>
        <v>-16.877911321922852</v>
      </c>
      <c r="E53" s="26">
        <f t="shared" si="26"/>
        <v>-75.661103485527406</v>
      </c>
      <c r="F53" s="26">
        <f t="shared" si="21"/>
        <v>-92.539014807450258</v>
      </c>
    </row>
    <row r="54" spans="1:6" x14ac:dyDescent="0.3">
      <c r="A54" t="str">
        <f t="shared" si="19"/>
        <v>RQF1 GCSE(below grade C) &amp; equivalent</v>
      </c>
      <c r="B54" s="26">
        <f t="shared" ref="B54:E54" si="27">C12-B12</f>
        <v>-9.6955959559837765</v>
      </c>
      <c r="C54" s="26">
        <f t="shared" si="27"/>
        <v>-57.54187849560077</v>
      </c>
      <c r="D54" s="26">
        <f t="shared" si="27"/>
        <v>-32.062431235876829</v>
      </c>
      <c r="E54" s="26">
        <f t="shared" si="27"/>
        <v>-110.23286734566642</v>
      </c>
      <c r="F54" s="26">
        <f t="shared" si="21"/>
        <v>-142.29529858154325</v>
      </c>
    </row>
    <row r="55" spans="1:6" x14ac:dyDescent="0.3">
      <c r="A55" t="str">
        <f t="shared" si="19"/>
        <v>No Qualification</v>
      </c>
      <c r="B55" s="26">
        <f t="shared" ref="B55:E55" si="28">C13-B13</f>
        <v>-5.8156779681956152</v>
      </c>
      <c r="C55" s="26">
        <f t="shared" si="28"/>
        <v>-44.468990325197908</v>
      </c>
      <c r="D55" s="26">
        <f t="shared" si="28"/>
        <v>-19.420337446751859</v>
      </c>
      <c r="E55" s="26">
        <f t="shared" si="28"/>
        <v>-27.525898678574492</v>
      </c>
      <c r="F55" s="26">
        <f t="shared" si="21"/>
        <v>-46.946236125326351</v>
      </c>
    </row>
    <row r="56" spans="1:6" x14ac:dyDescent="0.3">
      <c r="B56" s="20"/>
      <c r="C56" s="26"/>
      <c r="D56" s="20"/>
      <c r="E56" s="20"/>
      <c r="F56" s="26"/>
    </row>
    <row r="57" spans="1:6" x14ac:dyDescent="0.3">
      <c r="A57" s="23" t="str">
        <f>$A43</f>
        <v>All qualifications</v>
      </c>
      <c r="B57" s="28">
        <f>C15-B15</f>
        <v>151.3239999988059</v>
      </c>
      <c r="C57" s="28">
        <f t="shared" ref="C57" si="29">D15-C15</f>
        <v>-32.910999999916385</v>
      </c>
      <c r="D57" s="28">
        <f>E15-D15</f>
        <v>106.0600000016002</v>
      </c>
      <c r="E57" s="28">
        <f>F15-E15</f>
        <v>164.03099999789083</v>
      </c>
      <c r="F57" s="28">
        <f t="shared" si="21"/>
        <v>270.09099999949103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4"/>
  <dimension ref="A1:BP52"/>
  <sheetViews>
    <sheetView zoomScale="75" zoomScaleNormal="75" workbookViewId="0"/>
  </sheetViews>
  <sheetFormatPr defaultRowHeight="12.45" x14ac:dyDescent="0.3"/>
  <cols>
    <col min="1" max="1" width="17" style="80" customWidth="1"/>
    <col min="2" max="8" width="9.15234375" style="80"/>
    <col min="9" max="9" width="31.84375" style="80" customWidth="1"/>
    <col min="10" max="10" width="11.23046875" style="80" customWidth="1"/>
    <col min="11" max="11" width="6.15234375" style="80" customWidth="1"/>
    <col min="12" max="12" width="27.15234375" customWidth="1"/>
    <col min="13" max="33" width="4.69140625" bestFit="1" customWidth="1"/>
    <col min="34" max="37" width="6.4609375" customWidth="1"/>
    <col min="38" max="38" width="7.15234375" customWidth="1"/>
    <col min="39" max="68" width="6.23046875" customWidth="1"/>
  </cols>
  <sheetData>
    <row r="1" spans="1:68" ht="15.45" x14ac:dyDescent="0.4">
      <c r="A1" s="79" t="str">
        <f>CONCATENATE("Qualification Figure 1  Employment by Qualification, ",$M$2,"-",$O$2,", ",Info!B5)</f>
        <v>Qualification Figure 1  Employment by Qualification, 2010-2035, East</v>
      </c>
      <c r="H1"/>
      <c r="L1" s="45"/>
    </row>
    <row r="2" spans="1:68" x14ac:dyDescent="0.3">
      <c r="A2" s="1" t="s">
        <v>541</v>
      </c>
      <c r="L2" s="15" t="s">
        <v>28</v>
      </c>
      <c r="M2" s="15">
        <f>M4</f>
        <v>2010</v>
      </c>
      <c r="N2" s="46" t="s">
        <v>27</v>
      </c>
      <c r="O2" s="47">
        <f>MAX(M4:BP4)</f>
        <v>2035</v>
      </c>
    </row>
    <row r="3" spans="1:68" x14ac:dyDescent="0.3">
      <c r="L3" s="15"/>
      <c r="M3" s="15"/>
      <c r="N3" s="46"/>
      <c r="O3" s="15"/>
    </row>
    <row r="4" spans="1:68" x14ac:dyDescent="0.3">
      <c r="L4" s="13"/>
      <c r="M4" s="47">
        <v>2010</v>
      </c>
      <c r="N4" s="47">
        <v>2011</v>
      </c>
      <c r="O4" s="47">
        <v>2012</v>
      </c>
      <c r="P4" s="47">
        <v>2013</v>
      </c>
      <c r="Q4" s="47">
        <v>2014</v>
      </c>
      <c r="R4" s="47">
        <v>2015</v>
      </c>
      <c r="S4" s="47">
        <v>2016</v>
      </c>
      <c r="T4" s="47">
        <v>2017</v>
      </c>
      <c r="U4" s="47">
        <v>2018</v>
      </c>
      <c r="V4" s="47">
        <v>2019</v>
      </c>
      <c r="W4" s="47">
        <v>2020</v>
      </c>
      <c r="X4" s="47">
        <v>2021</v>
      </c>
      <c r="Y4" s="47">
        <v>2022</v>
      </c>
      <c r="Z4" s="47">
        <v>2023</v>
      </c>
      <c r="AA4" s="47">
        <v>2024</v>
      </c>
      <c r="AB4" s="47">
        <v>2025</v>
      </c>
      <c r="AC4" s="47">
        <v>2026</v>
      </c>
      <c r="AD4" s="47">
        <v>2027</v>
      </c>
      <c r="AE4" s="47">
        <v>2028</v>
      </c>
      <c r="AF4" s="47">
        <v>2029</v>
      </c>
      <c r="AG4" s="47">
        <v>2030</v>
      </c>
      <c r="AH4" s="47">
        <v>2031</v>
      </c>
      <c r="AI4" s="47">
        <v>2032</v>
      </c>
      <c r="AJ4" s="47">
        <v>2033</v>
      </c>
      <c r="AK4" s="47">
        <v>2034</v>
      </c>
      <c r="AL4" s="47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</row>
    <row r="5" spans="1:68" x14ac:dyDescent="0.3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</row>
    <row r="6" spans="1:68" x14ac:dyDescent="0.3">
      <c r="L6" s="232" t="str">
        <f>name!F12</f>
        <v>No Qualification</v>
      </c>
      <c r="M6" s="11">
        <v>169.2603880982775</v>
      </c>
      <c r="N6" s="11">
        <v>182.83122324763721</v>
      </c>
      <c r="O6" s="11">
        <v>168.33999670805511</v>
      </c>
      <c r="P6" s="11">
        <v>151.08857796820263</v>
      </c>
      <c r="Q6" s="11">
        <v>166.01737633626971</v>
      </c>
      <c r="R6" s="11">
        <v>163.87156244502003</v>
      </c>
      <c r="S6" s="11">
        <v>155.82103398575086</v>
      </c>
      <c r="T6" s="11">
        <v>135.58168047051805</v>
      </c>
      <c r="U6" s="11">
        <v>152.91781216886164</v>
      </c>
      <c r="V6" s="11">
        <v>158.05588447682442</v>
      </c>
      <c r="W6" s="11">
        <v>113.58689415162651</v>
      </c>
      <c r="X6" s="11">
        <v>103.62151189946687</v>
      </c>
      <c r="Y6" s="11">
        <v>110.30495259837211</v>
      </c>
      <c r="Z6" s="11">
        <v>103.94904466983623</v>
      </c>
      <c r="AA6" s="11">
        <v>97.712164674947289</v>
      </c>
      <c r="AB6" s="11">
        <v>94.166556704874651</v>
      </c>
      <c r="AC6" s="11">
        <v>90.967951636853869</v>
      </c>
      <c r="AD6" s="11">
        <v>87.778011171399925</v>
      </c>
      <c r="AE6" s="11">
        <v>84.641650154090883</v>
      </c>
      <c r="AF6" s="11">
        <v>81.550597659831141</v>
      </c>
      <c r="AG6" s="11">
        <v>78.531264671004948</v>
      </c>
      <c r="AH6" s="11">
        <v>75.554322406171011</v>
      </c>
      <c r="AI6" s="11">
        <v>72.624378722951434</v>
      </c>
      <c r="AJ6" s="11">
        <v>69.742646619586267</v>
      </c>
      <c r="AK6" s="11">
        <v>67.056425349519088</v>
      </c>
      <c r="AL6" s="11">
        <v>66.640658026300159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</row>
    <row r="7" spans="1:68" x14ac:dyDescent="0.3">
      <c r="L7" s="232" t="str">
        <f>name!F11</f>
        <v>RQF1 GCSE(below grade C) &amp; equivalent</v>
      </c>
      <c r="M7" s="11">
        <v>507.58941464976067</v>
      </c>
      <c r="N7" s="11">
        <v>482.1267329705866</v>
      </c>
      <c r="O7" s="11">
        <v>468.43798188644598</v>
      </c>
      <c r="P7" s="11">
        <v>439.58179938523313</v>
      </c>
      <c r="Q7" s="11">
        <v>455.07870010795199</v>
      </c>
      <c r="R7" s="11">
        <v>488.21252802958577</v>
      </c>
      <c r="S7" s="11">
        <v>472.34950308711956</v>
      </c>
      <c r="T7" s="11">
        <v>471.59868354515561</v>
      </c>
      <c r="U7" s="11">
        <v>469.1243730793783</v>
      </c>
      <c r="V7" s="11">
        <v>478.51693207360199</v>
      </c>
      <c r="W7" s="11">
        <v>420.97505357800122</v>
      </c>
      <c r="X7" s="11">
        <v>392.15591950506814</v>
      </c>
      <c r="Y7" s="11">
        <v>413.88601106790725</v>
      </c>
      <c r="Z7" s="11">
        <v>406.08379234653216</v>
      </c>
      <c r="AA7" s="11">
        <v>398.42078185132016</v>
      </c>
      <c r="AB7" s="11">
        <v>388.91262234212439</v>
      </c>
      <c r="AC7" s="11">
        <v>378.86144382528823</v>
      </c>
      <c r="AD7" s="11">
        <v>368.46247493910192</v>
      </c>
      <c r="AE7" s="11">
        <v>357.90442609539508</v>
      </c>
      <c r="AF7" s="11">
        <v>347.14776319848028</v>
      </c>
      <c r="AG7" s="11">
        <v>336.30861664352585</v>
      </c>
      <c r="AH7" s="11">
        <v>325.2540090658847</v>
      </c>
      <c r="AI7" s="11">
        <v>314.00363204380852</v>
      </c>
      <c r="AJ7" s="11">
        <v>302.55456073050624</v>
      </c>
      <c r="AK7" s="11">
        <v>290.86004955504319</v>
      </c>
      <c r="AL7" s="11">
        <v>278.67975499645797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</row>
    <row r="8" spans="1:68" x14ac:dyDescent="0.3">
      <c r="L8" s="232" t="str">
        <f>name!F10</f>
        <v>RQF2 GCSE(A-C) &amp; equivalent</v>
      </c>
      <c r="M8" s="11">
        <v>626.13695996274976</v>
      </c>
      <c r="N8" s="11">
        <v>686.09054613866806</v>
      </c>
      <c r="O8" s="11">
        <v>641.88774850025186</v>
      </c>
      <c r="P8" s="11">
        <v>676.02899428100693</v>
      </c>
      <c r="Q8" s="11">
        <v>667.42356581442834</v>
      </c>
      <c r="R8" s="11">
        <v>675.58397934000402</v>
      </c>
      <c r="S8" s="11">
        <v>654.22176492065125</v>
      </c>
      <c r="T8" s="11">
        <v>693.78678609203428</v>
      </c>
      <c r="U8" s="11">
        <v>697.93621176128397</v>
      </c>
      <c r="V8" s="11">
        <v>672.38661328891988</v>
      </c>
      <c r="W8" s="11">
        <v>653.11181179721393</v>
      </c>
      <c r="X8" s="11">
        <v>650.62366226832137</v>
      </c>
      <c r="Y8" s="11">
        <v>648.83501963556137</v>
      </c>
      <c r="Z8" s="11">
        <v>645.24187331316273</v>
      </c>
      <c r="AA8" s="11">
        <v>642.13958140143961</v>
      </c>
      <c r="AB8" s="11">
        <v>636.23390047529108</v>
      </c>
      <c r="AC8" s="11">
        <v>629.5591914462467</v>
      </c>
      <c r="AD8" s="11">
        <v>622.46464506095447</v>
      </c>
      <c r="AE8" s="11">
        <v>615.23983865290688</v>
      </c>
      <c r="AF8" s="11">
        <v>607.83650063924836</v>
      </c>
      <c r="AG8" s="11">
        <v>600.4548962867143</v>
      </c>
      <c r="AH8" s="11">
        <v>592.8844364658429</v>
      </c>
      <c r="AI8" s="11">
        <v>585.16169395210375</v>
      </c>
      <c r="AJ8" s="11">
        <v>577.29826369341492</v>
      </c>
      <c r="AK8" s="11">
        <v>569.21949197088406</v>
      </c>
      <c r="AL8" s="11">
        <v>560.57279698976367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</row>
    <row r="9" spans="1:68" x14ac:dyDescent="0.3">
      <c r="L9" s="232" t="str">
        <f>name!F9</f>
        <v>RQF3 A level &amp; equivalent</v>
      </c>
      <c r="M9" s="11">
        <v>554.17866610304156</v>
      </c>
      <c r="N9" s="11">
        <v>562.30981711565732</v>
      </c>
      <c r="O9" s="11">
        <v>563.55568700843958</v>
      </c>
      <c r="P9" s="11">
        <v>570.86269579867985</v>
      </c>
      <c r="Q9" s="11">
        <v>608.81374639320518</v>
      </c>
      <c r="R9" s="11">
        <v>623.32973353306818</v>
      </c>
      <c r="S9" s="11">
        <v>622.86271893380058</v>
      </c>
      <c r="T9" s="11">
        <v>628.00938355367566</v>
      </c>
      <c r="U9" s="11">
        <v>629.1911090495197</v>
      </c>
      <c r="V9" s="11">
        <v>631.31405399173821</v>
      </c>
      <c r="W9" s="11">
        <v>606.60283706100836</v>
      </c>
      <c r="X9" s="11">
        <v>656.02428719395061</v>
      </c>
      <c r="Y9" s="11">
        <v>638.92465622635541</v>
      </c>
      <c r="Z9" s="11">
        <v>644.57140359168829</v>
      </c>
      <c r="AA9" s="11">
        <v>650.97099238404212</v>
      </c>
      <c r="AB9" s="11">
        <v>654.80300574649254</v>
      </c>
      <c r="AC9" s="11">
        <v>658.07975722508945</v>
      </c>
      <c r="AD9" s="11">
        <v>661.13820103721002</v>
      </c>
      <c r="AE9" s="11">
        <v>664.28974888244807</v>
      </c>
      <c r="AF9" s="11">
        <v>667.48767129615703</v>
      </c>
      <c r="AG9" s="11">
        <v>670.96378385888534</v>
      </c>
      <c r="AH9" s="11">
        <v>674.49691897418325</v>
      </c>
      <c r="AI9" s="11">
        <v>678.138185663841</v>
      </c>
      <c r="AJ9" s="11">
        <v>681.91292573454768</v>
      </c>
      <c r="AK9" s="11">
        <v>685.74563327973124</v>
      </c>
      <c r="AL9" s="11">
        <v>689.22564214720899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</row>
    <row r="10" spans="1:68" x14ac:dyDescent="0.3">
      <c r="L10" s="232" t="str">
        <f>name!F8</f>
        <v>RQF4 HE below degree level</v>
      </c>
      <c r="M10" s="11">
        <v>134.88514734130905</v>
      </c>
      <c r="N10" s="11">
        <v>125.23549722022197</v>
      </c>
      <c r="O10" s="11">
        <v>150.86117507501859</v>
      </c>
      <c r="P10" s="11">
        <v>149.4832685110309</v>
      </c>
      <c r="Q10" s="11">
        <v>151.35217466452784</v>
      </c>
      <c r="R10" s="11">
        <v>150.68527696860417</v>
      </c>
      <c r="S10" s="11">
        <v>156.30448088976965</v>
      </c>
      <c r="T10" s="11">
        <v>158.85293995743535</v>
      </c>
      <c r="U10" s="11">
        <v>157.20335183990349</v>
      </c>
      <c r="V10" s="11">
        <v>162.30511144496458</v>
      </c>
      <c r="W10" s="11">
        <v>183.52610792279194</v>
      </c>
      <c r="X10" s="11">
        <v>181.51552174931058</v>
      </c>
      <c r="Y10" s="11">
        <v>176.42235972636234</v>
      </c>
      <c r="Z10" s="11">
        <v>180.27574574485644</v>
      </c>
      <c r="AA10" s="11">
        <v>184.29634951922631</v>
      </c>
      <c r="AB10" s="11">
        <v>187.4504707065062</v>
      </c>
      <c r="AC10" s="11">
        <v>190.59190163174372</v>
      </c>
      <c r="AD10" s="11">
        <v>193.83452348083421</v>
      </c>
      <c r="AE10" s="11">
        <v>197.10709774278988</v>
      </c>
      <c r="AF10" s="11">
        <v>200.47739898755651</v>
      </c>
      <c r="AG10" s="11">
        <v>204.05868798933398</v>
      </c>
      <c r="AH10">
        <v>207.71007084741109</v>
      </c>
      <c r="AI10">
        <v>211.49584462770858</v>
      </c>
      <c r="AJ10">
        <v>215.37931065282402</v>
      </c>
      <c r="AK10">
        <v>219.45249062163339</v>
      </c>
      <c r="AL10" s="11">
        <v>223.47715854059405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</row>
    <row r="11" spans="1:68" x14ac:dyDescent="0.3">
      <c r="L11" s="232" t="str">
        <f>name!F7</f>
        <v>RQF5 Foundation degree;Nursing;Teaching</v>
      </c>
      <c r="M11" s="11">
        <v>154.52734134458484</v>
      </c>
      <c r="N11" s="11">
        <v>141.00760090337121</v>
      </c>
      <c r="O11" s="11">
        <v>158.60869776716237</v>
      </c>
      <c r="P11" s="11">
        <v>159.94837259422678</v>
      </c>
      <c r="Q11" s="11">
        <v>161.28313637356248</v>
      </c>
      <c r="R11" s="11">
        <v>153.54135211510925</v>
      </c>
      <c r="S11" s="11">
        <v>158.66878255814567</v>
      </c>
      <c r="T11" s="11">
        <v>158.64664143540165</v>
      </c>
      <c r="U11" s="11">
        <v>156.95425288459458</v>
      </c>
      <c r="V11" s="11">
        <v>159.26176969701874</v>
      </c>
      <c r="W11" s="11">
        <v>180.33887006585007</v>
      </c>
      <c r="X11" s="11">
        <v>172.32589710643643</v>
      </c>
      <c r="Y11" s="11">
        <v>168.18687589836262</v>
      </c>
      <c r="Z11" s="11">
        <v>170.87348229081655</v>
      </c>
      <c r="AA11" s="11">
        <v>173.92693573064014</v>
      </c>
      <c r="AB11" s="11">
        <v>176.30587381290988</v>
      </c>
      <c r="AC11" s="11">
        <v>178.61982039071279</v>
      </c>
      <c r="AD11" s="11">
        <v>181.08006016183219</v>
      </c>
      <c r="AE11" s="11">
        <v>183.75894005319432</v>
      </c>
      <c r="AF11" s="11">
        <v>186.51141065400657</v>
      </c>
      <c r="AG11" s="11">
        <v>189.44763024682314</v>
      </c>
      <c r="AH11">
        <v>192.60773104671611</v>
      </c>
      <c r="AI11">
        <v>195.84834730549545</v>
      </c>
      <c r="AJ11">
        <v>199.20211584382542</v>
      </c>
      <c r="AK11">
        <v>202.64472747666139</v>
      </c>
      <c r="AL11" s="11">
        <v>205.99694559964465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</row>
    <row r="12" spans="1:68" x14ac:dyDescent="0.3">
      <c r="L12" s="232" t="str">
        <f>name!F6</f>
        <v>RQF6 First degree</v>
      </c>
      <c r="M12" s="11">
        <v>416.80403996613484</v>
      </c>
      <c r="N12" s="11">
        <v>407.32030212321484</v>
      </c>
      <c r="O12" s="11">
        <v>486.93523597091797</v>
      </c>
      <c r="P12" s="11">
        <v>505.85105749909638</v>
      </c>
      <c r="Q12" s="11">
        <v>526.40873538329799</v>
      </c>
      <c r="R12" s="11">
        <v>525.43592636585629</v>
      </c>
      <c r="S12" s="11">
        <v>542.08008107858848</v>
      </c>
      <c r="T12" s="11">
        <v>564.32239706246628</v>
      </c>
      <c r="U12" s="11">
        <v>558.41174465652819</v>
      </c>
      <c r="V12" s="11">
        <v>588.43324674716268</v>
      </c>
      <c r="W12" s="11">
        <v>660.6690159101272</v>
      </c>
      <c r="X12" s="11">
        <v>654.27194929966822</v>
      </c>
      <c r="Y12" s="11">
        <v>643.49521956754597</v>
      </c>
      <c r="Z12" s="11">
        <v>658.55544687477197</v>
      </c>
      <c r="AA12" s="11">
        <v>674.7006755460493</v>
      </c>
      <c r="AB12" s="11">
        <v>688.6122259732731</v>
      </c>
      <c r="AC12" s="11">
        <v>701.93408192071377</v>
      </c>
      <c r="AD12" s="11">
        <v>714.92157126400809</v>
      </c>
      <c r="AE12" s="11">
        <v>728.05322637592758</v>
      </c>
      <c r="AF12" s="11">
        <v>741.35467953301793</v>
      </c>
      <c r="AG12" s="11">
        <v>754.99371932683482</v>
      </c>
      <c r="AH12">
        <v>768.72605044854947</v>
      </c>
      <c r="AI12">
        <v>782.72262456400426</v>
      </c>
      <c r="AJ12">
        <v>797.05286823292886</v>
      </c>
      <c r="AK12">
        <v>811.53244513055677</v>
      </c>
      <c r="AL12">
        <v>825.96029950573779</v>
      </c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</row>
    <row r="13" spans="1:68" x14ac:dyDescent="0.3">
      <c r="L13" s="232" t="str">
        <f>name!F5</f>
        <v>RQF7 Other higher degree</v>
      </c>
      <c r="M13" s="11">
        <v>204.91109532377334</v>
      </c>
      <c r="N13" s="11">
        <v>171.15611409152336</v>
      </c>
      <c r="O13" s="11">
        <v>197.10836937492994</v>
      </c>
      <c r="P13" s="11">
        <v>186.09043123105255</v>
      </c>
      <c r="Q13" s="11">
        <v>227.07600465140663</v>
      </c>
      <c r="R13" s="11">
        <v>238.1442138311877</v>
      </c>
      <c r="S13" s="11">
        <v>287.57731377220568</v>
      </c>
      <c r="T13" s="11">
        <v>299.14048501839102</v>
      </c>
      <c r="U13" s="11">
        <v>309.2821329316547</v>
      </c>
      <c r="V13" s="11">
        <v>310.29479593541743</v>
      </c>
      <c r="W13" s="11">
        <v>309.62997967254921</v>
      </c>
      <c r="X13" s="11">
        <v>327.59728452690507</v>
      </c>
      <c r="Y13" s="11">
        <v>351.40266504608081</v>
      </c>
      <c r="Z13" s="11">
        <v>366.46152303417898</v>
      </c>
      <c r="AA13" s="11">
        <v>381.90140758028747</v>
      </c>
      <c r="AB13" s="11">
        <v>395.65703014048506</v>
      </c>
      <c r="AC13" s="11">
        <v>408.84897023614491</v>
      </c>
      <c r="AD13" s="11">
        <v>421.69715667025241</v>
      </c>
      <c r="AE13" s="11">
        <v>434.36329173017066</v>
      </c>
      <c r="AF13" s="11">
        <v>446.84169680242957</v>
      </c>
      <c r="AG13" s="11">
        <v>459.26395797559502</v>
      </c>
      <c r="AH13">
        <v>471.48878984840559</v>
      </c>
      <c r="AI13">
        <v>483.53618899402966</v>
      </c>
      <c r="AJ13">
        <v>495.44826578144568</v>
      </c>
      <c r="AK13">
        <v>507.12539933841236</v>
      </c>
      <c r="AL13">
        <v>518.35251208381055</v>
      </c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</row>
    <row r="14" spans="1:68" x14ac:dyDescent="0.3">
      <c r="L14" s="232" t="str">
        <f>name!F4</f>
        <v>RQF8 Doctorate</v>
      </c>
      <c r="M14" s="11">
        <v>30.174947209760251</v>
      </c>
      <c r="N14" s="11">
        <v>25.847166187836585</v>
      </c>
      <c r="O14" s="11">
        <v>29.261107707508931</v>
      </c>
      <c r="P14" s="11">
        <v>28.008802730281751</v>
      </c>
      <c r="Q14" s="11">
        <v>34.941560275305967</v>
      </c>
      <c r="R14" s="11">
        <v>36.974427371078121</v>
      </c>
      <c r="S14" s="11">
        <v>43.186320772782814</v>
      </c>
      <c r="T14" s="11">
        <v>44.704002865593282</v>
      </c>
      <c r="U14" s="11">
        <v>46.282011628283712</v>
      </c>
      <c r="V14" s="11">
        <v>46.534592342672106</v>
      </c>
      <c r="W14" s="11">
        <v>45.751429839235122</v>
      </c>
      <c r="X14" s="11">
        <v>47.917966449155315</v>
      </c>
      <c r="Y14" s="11">
        <v>51.822240231957117</v>
      </c>
      <c r="Z14" s="11">
        <v>53.964688132422793</v>
      </c>
      <c r="AA14" s="11">
        <v>56.145111310128051</v>
      </c>
      <c r="AB14" s="11">
        <v>58.110314098046679</v>
      </c>
      <c r="AC14" s="11">
        <v>60.000881687221309</v>
      </c>
      <c r="AD14" s="11">
        <v>61.831356213770952</v>
      </c>
      <c r="AE14" s="11">
        <v>63.636780311703355</v>
      </c>
      <c r="AF14" s="11">
        <v>65.393281228594716</v>
      </c>
      <c r="AG14" s="11">
        <v>67.137443000598395</v>
      </c>
      <c r="AH14">
        <v>68.847670896125081</v>
      </c>
      <c r="AI14">
        <v>70.535104125213095</v>
      </c>
      <c r="AJ14">
        <v>72.179042710258926</v>
      </c>
      <c r="AK14">
        <v>73.814337277215813</v>
      </c>
      <c r="AL14">
        <v>75.377232108376305</v>
      </c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</row>
    <row r="15" spans="1:68" x14ac:dyDescent="0.3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3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13:68" x14ac:dyDescent="0.3">
      <c r="M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13:68" x14ac:dyDescent="0.3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13:68" x14ac:dyDescent="0.3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13:68" x14ac:dyDescent="0.3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13:68" x14ac:dyDescent="0.3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13:68" x14ac:dyDescent="0.3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13:68" x14ac:dyDescent="0.3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13:68" x14ac:dyDescent="0.3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13:68" x14ac:dyDescent="0.3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13:68" x14ac:dyDescent="0.3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13:68" x14ac:dyDescent="0.3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13:68" x14ac:dyDescent="0.3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13:68" x14ac:dyDescent="0.3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13:68" x14ac:dyDescent="0.3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13:68" x14ac:dyDescent="0.3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3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3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3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3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3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3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3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3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3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3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3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3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4">
      <c r="A48" s="79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45" x14ac:dyDescent="0.4">
      <c r="A51" s="79" t="str">
        <f>CONCATENATE("Qualification Figure 1.1  Employment by Qualification, ",$M$2,"-",$O$2," ",Info!B5)</f>
        <v>Qualification Figure 1.1  Employment by Qualification, 2010-2035 East</v>
      </c>
    </row>
    <row r="52" spans="1:1" x14ac:dyDescent="0.3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5234375" defaultRowHeight="12.45" x14ac:dyDescent="0.3"/>
  <cols>
    <col min="1" max="1" width="57.84375" style="90" customWidth="1"/>
    <col min="2" max="6" width="11.69140625" style="90" customWidth="1"/>
    <col min="7" max="7" width="5.69140625" style="90" customWidth="1"/>
    <col min="8" max="12" width="11.69140625" style="90" customWidth="1"/>
    <col min="13" max="16384" width="9.15234375" style="90"/>
  </cols>
  <sheetData>
    <row r="1" spans="1:12" ht="15.45" x14ac:dyDescent="0.4">
      <c r="A1" s="18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3">
      <c r="F3" s="116"/>
      <c r="L3" s="116" t="s">
        <v>19</v>
      </c>
    </row>
    <row r="4" spans="1:12" x14ac:dyDescent="0.3">
      <c r="A4" s="95"/>
      <c r="B4" s="117" t="s">
        <v>17</v>
      </c>
      <c r="C4" s="95"/>
      <c r="D4" s="95"/>
      <c r="E4" s="95"/>
      <c r="F4" s="118"/>
      <c r="H4" s="117" t="s">
        <v>18</v>
      </c>
      <c r="I4" s="95"/>
      <c r="J4" s="95"/>
      <c r="K4" s="95"/>
      <c r="L4" s="95"/>
    </row>
    <row r="5" spans="1:12" x14ac:dyDescent="0.3">
      <c r="A5" s="91"/>
      <c r="B5" s="119">
        <v>2008</v>
      </c>
      <c r="C5" s="119">
        <v>2010</v>
      </c>
      <c r="D5" s="119">
        <v>2012</v>
      </c>
      <c r="E5" s="119">
        <v>2015</v>
      </c>
      <c r="F5" s="119">
        <v>2020</v>
      </c>
      <c r="H5" s="120" t="str">
        <f>CONCATENATE(B$5,"-",C$5)</f>
        <v>2008-2010</v>
      </c>
      <c r="I5" s="120" t="str">
        <f>CONCATENATE(B$5,"-",D$5)</f>
        <v>2008-2012</v>
      </c>
      <c r="J5" s="120" t="str">
        <f>CONCATENATE(D$5,"-",E$5)</f>
        <v>2012-2015</v>
      </c>
      <c r="K5" s="120" t="str">
        <f>CONCATENATE(E$5,"-",F$5)</f>
        <v>2015-2020</v>
      </c>
      <c r="L5" s="120" t="str">
        <f>CONCATENATE(D$5,"-",F$5)</f>
        <v>2012-2020</v>
      </c>
    </row>
    <row r="7" spans="1:12" s="121" customFormat="1" ht="12.9" x14ac:dyDescent="0.35">
      <c r="A7" s="121" t="str">
        <f>name!F4</f>
        <v>RQF8 Doctorate</v>
      </c>
      <c r="B7" s="122">
        <v>71325.851049592791</v>
      </c>
      <c r="C7" s="122">
        <v>67875.205285452204</v>
      </c>
      <c r="D7" s="122">
        <v>65953.088065984106</v>
      </c>
      <c r="E7" s="122">
        <v>63161.5699830265</v>
      </c>
      <c r="F7" s="122">
        <v>59517.030027737295</v>
      </c>
      <c r="H7" s="122">
        <f>C7-B7</f>
        <v>-3450.6457641405868</v>
      </c>
      <c r="I7" s="122">
        <f>D7-B7</f>
        <v>-5372.7629836086853</v>
      </c>
      <c r="J7" s="122">
        <f>E7-D7</f>
        <v>-2791.5180829576057</v>
      </c>
      <c r="K7" s="122">
        <f>F7-E7</f>
        <v>-3644.539955289205</v>
      </c>
      <c r="L7" s="122">
        <f>F7-D7</f>
        <v>-6436.0580382468106</v>
      </c>
    </row>
    <row r="8" spans="1:12" x14ac:dyDescent="0.3">
      <c r="A8" s="90" t="str">
        <f>name!J4</f>
        <v>SE</v>
      </c>
      <c r="B8" s="93">
        <v>21828.171692536111</v>
      </c>
      <c r="C8" s="93">
        <v>20792.172573048945</v>
      </c>
      <c r="D8" s="93">
        <v>20234.216118009812</v>
      </c>
      <c r="E8" s="93">
        <v>19430.497541178578</v>
      </c>
      <c r="F8" s="93">
        <v>18413.968008235337</v>
      </c>
      <c r="H8" s="93">
        <f>C8-B8</f>
        <v>-1035.9991194871654</v>
      </c>
      <c r="I8" s="93">
        <f>D8-B8</f>
        <v>-1593.9555745262987</v>
      </c>
      <c r="J8" s="93">
        <f t="shared" ref="J8:K10" si="0">E8-D8</f>
        <v>-803.7185768312338</v>
      </c>
      <c r="K8" s="93">
        <f t="shared" si="0"/>
        <v>-1016.5295329432411</v>
      </c>
      <c r="L8" s="93">
        <f>F8-D8</f>
        <v>-1820.2481097744749</v>
      </c>
    </row>
    <row r="9" spans="1:12" x14ac:dyDescent="0.3">
      <c r="A9" s="90" t="str">
        <f>name!J5</f>
        <v>FT</v>
      </c>
      <c r="B9" s="93">
        <v>49497.679357056688</v>
      </c>
      <c r="C9" s="93">
        <v>47083.032712403263</v>
      </c>
      <c r="D9" s="93">
        <v>45718.871947974287</v>
      </c>
      <c r="E9" s="93">
        <v>43731.072441847915</v>
      </c>
      <c r="F9" s="93">
        <v>41103.062019501958</v>
      </c>
      <c r="H9" s="93">
        <f>C9-B9</f>
        <v>-2414.646644653425</v>
      </c>
      <c r="I9" s="93">
        <f>D9-B9</f>
        <v>-3778.8074090824011</v>
      </c>
      <c r="J9" s="93">
        <f t="shared" si="0"/>
        <v>-1987.7995061263719</v>
      </c>
      <c r="K9" s="93">
        <f t="shared" si="0"/>
        <v>-2628.0104223459566</v>
      </c>
      <c r="L9" s="93">
        <f>F9-D9</f>
        <v>-4615.8099284723285</v>
      </c>
    </row>
    <row r="10" spans="1:12" x14ac:dyDescent="0.3">
      <c r="A10" s="90" t="str">
        <f>name!J6</f>
        <v>PT</v>
      </c>
      <c r="B10" s="93">
        <v>0</v>
      </c>
      <c r="C10" s="93">
        <v>0</v>
      </c>
      <c r="D10" s="93">
        <v>0</v>
      </c>
      <c r="E10" s="93">
        <v>0</v>
      </c>
      <c r="F10" s="93">
        <v>0</v>
      </c>
      <c r="H10" s="93">
        <f>C10-B10</f>
        <v>0</v>
      </c>
      <c r="I10" s="93">
        <f>D10-B10</f>
        <v>0</v>
      </c>
      <c r="J10" s="93">
        <f t="shared" si="0"/>
        <v>0</v>
      </c>
      <c r="K10" s="93">
        <f t="shared" si="0"/>
        <v>0</v>
      </c>
      <c r="L10" s="93">
        <f>F10-D10</f>
        <v>0</v>
      </c>
    </row>
    <row r="11" spans="1:12" x14ac:dyDescent="0.3">
      <c r="H11" s="93"/>
      <c r="I11" s="93"/>
      <c r="J11" s="93"/>
      <c r="K11" s="93"/>
      <c r="L11" s="93"/>
    </row>
    <row r="12" spans="1:12" s="121" customFormat="1" ht="12.9" x14ac:dyDescent="0.35">
      <c r="A12" s="121" t="str">
        <f>name!F5</f>
        <v>RQF7 Other higher degree</v>
      </c>
      <c r="B12" s="122">
        <v>117603.36216609999</v>
      </c>
      <c r="C12" s="122">
        <v>115939.95604983499</v>
      </c>
      <c r="D12" s="122">
        <v>117782.27837055401</v>
      </c>
      <c r="E12" s="122">
        <v>118889.39584623399</v>
      </c>
      <c r="F12" s="122">
        <v>120707.41471465</v>
      </c>
      <c r="H12" s="122">
        <f>C12-B12</f>
        <v>-1663.4061162650032</v>
      </c>
      <c r="I12" s="122">
        <f>D12-B12</f>
        <v>178.9162044540135</v>
      </c>
      <c r="J12" s="122">
        <f t="shared" ref="J12:K14" si="1">E12-D12</f>
        <v>1107.1174756799883</v>
      </c>
      <c r="K12" s="122">
        <f t="shared" si="1"/>
        <v>1818.0188684160094</v>
      </c>
      <c r="L12" s="122">
        <f>F12-D12</f>
        <v>2925.1363440959976</v>
      </c>
    </row>
    <row r="13" spans="1:12" x14ac:dyDescent="0.3">
      <c r="A13" s="90">
        <f>name!J7</f>
        <v>0</v>
      </c>
      <c r="B13" s="93">
        <v>85684.696366442135</v>
      </c>
      <c r="C13" s="93">
        <v>84496.661838978005</v>
      </c>
      <c r="D13" s="93">
        <v>85862.536135946357</v>
      </c>
      <c r="E13" s="93">
        <v>86649.544796460745</v>
      </c>
      <c r="F13" s="93">
        <v>87931.502704386687</v>
      </c>
      <c r="H13" s="93">
        <f>C13-B13</f>
        <v>-1188.0345274641295</v>
      </c>
      <c r="I13" s="93">
        <f>D13-B13</f>
        <v>177.8397695042222</v>
      </c>
      <c r="J13" s="93">
        <f t="shared" si="1"/>
        <v>787.00866051438788</v>
      </c>
      <c r="K13" s="93">
        <f t="shared" si="1"/>
        <v>1281.957907925942</v>
      </c>
      <c r="L13" s="93">
        <f>F13-D13</f>
        <v>2068.9665684403299</v>
      </c>
    </row>
    <row r="14" spans="1:12" x14ac:dyDescent="0.3">
      <c r="A14" s="90">
        <f>name!J8</f>
        <v>0</v>
      </c>
      <c r="B14" s="93">
        <v>31918.665799657861</v>
      </c>
      <c r="C14" s="93">
        <v>31443.29421085698</v>
      </c>
      <c r="D14" s="93">
        <v>31919.742234607653</v>
      </c>
      <c r="E14" s="93">
        <v>32239.851049773246</v>
      </c>
      <c r="F14" s="93">
        <v>32775.912010263324</v>
      </c>
      <c r="H14" s="93">
        <f>C14-B14</f>
        <v>-475.371588800881</v>
      </c>
      <c r="I14" s="93">
        <f>D14-B14</f>
        <v>1.0764349497912917</v>
      </c>
      <c r="J14" s="93">
        <f t="shared" si="1"/>
        <v>320.10881516559311</v>
      </c>
      <c r="K14" s="93">
        <f t="shared" si="1"/>
        <v>536.06096049007829</v>
      </c>
      <c r="L14" s="93">
        <f>F14-D14</f>
        <v>856.1697756556714</v>
      </c>
    </row>
    <row r="15" spans="1:12" x14ac:dyDescent="0.3">
      <c r="H15" s="93"/>
      <c r="I15" s="93"/>
      <c r="J15" s="93"/>
      <c r="K15" s="93"/>
      <c r="L15" s="93"/>
    </row>
    <row r="16" spans="1:12" s="121" customFormat="1" ht="12.9" x14ac:dyDescent="0.35">
      <c r="A16" s="121" t="str">
        <f>name!F6</f>
        <v>RQF6 First degree</v>
      </c>
      <c r="B16" s="122">
        <v>10699.858351711669</v>
      </c>
      <c r="C16" s="122">
        <v>10970.73916072664</v>
      </c>
      <c r="D16" s="122">
        <v>11301.540359819686</v>
      </c>
      <c r="E16" s="122">
        <v>11603.888290360199</v>
      </c>
      <c r="F16" s="122">
        <v>11675.073262162417</v>
      </c>
      <c r="H16" s="122">
        <f>C16-B16</f>
        <v>270.88080901497051</v>
      </c>
      <c r="I16" s="122">
        <f>D16-B16</f>
        <v>601.68200810801682</v>
      </c>
      <c r="J16" s="122">
        <f t="shared" ref="J16:K18" si="2">E16-D16</f>
        <v>302.34793054051261</v>
      </c>
      <c r="K16" s="122">
        <f t="shared" si="2"/>
        <v>71.18497180221857</v>
      </c>
      <c r="L16" s="122">
        <f>F16-D16</f>
        <v>373.53290234273118</v>
      </c>
    </row>
    <row r="17" spans="1:12" x14ac:dyDescent="0.3">
      <c r="A17" s="90">
        <f>name!J9</f>
        <v>0</v>
      </c>
      <c r="B17" s="93">
        <v>8525.1872183076739</v>
      </c>
      <c r="C17" s="93">
        <v>8709.9422108052859</v>
      </c>
      <c r="D17" s="93">
        <v>8966.579956519352</v>
      </c>
      <c r="E17" s="93">
        <v>9198.0093388787081</v>
      </c>
      <c r="F17" s="93">
        <v>9243.5195858644965</v>
      </c>
      <c r="H17" s="93">
        <f>C17-B17</f>
        <v>184.75499249761197</v>
      </c>
      <c r="I17" s="93">
        <f>D17-B17</f>
        <v>441.39273821167808</v>
      </c>
      <c r="J17" s="93">
        <f t="shared" si="2"/>
        <v>231.42938235935617</v>
      </c>
      <c r="K17" s="93">
        <f t="shared" si="2"/>
        <v>45.510246985788399</v>
      </c>
      <c r="L17" s="93">
        <f>F17-D17</f>
        <v>276.93962934514457</v>
      </c>
    </row>
    <row r="18" spans="1:12" x14ac:dyDescent="0.3">
      <c r="A18" s="90">
        <f>name!J10</f>
        <v>0</v>
      </c>
      <c r="B18" s="93">
        <v>2174.6711334039956</v>
      </c>
      <c r="C18" s="93">
        <v>2260.7969499213555</v>
      </c>
      <c r="D18" s="93">
        <v>2334.9604033003338</v>
      </c>
      <c r="E18" s="93">
        <v>2405.8789514814907</v>
      </c>
      <c r="F18" s="93">
        <v>2431.5536762979191</v>
      </c>
      <c r="H18" s="93">
        <f>C18-B18</f>
        <v>86.125816517359908</v>
      </c>
      <c r="I18" s="93">
        <f>D18-B18</f>
        <v>160.28926989633828</v>
      </c>
      <c r="J18" s="93">
        <f t="shared" si="2"/>
        <v>70.918548181156893</v>
      </c>
      <c r="K18" s="93">
        <f t="shared" si="2"/>
        <v>25.674724816428352</v>
      </c>
      <c r="L18" s="93">
        <f>F18-D18</f>
        <v>96.593272997585245</v>
      </c>
    </row>
    <row r="19" spans="1:12" x14ac:dyDescent="0.3">
      <c r="H19" s="93"/>
      <c r="I19" s="93"/>
      <c r="J19" s="93"/>
      <c r="K19" s="93"/>
      <c r="L19" s="93"/>
    </row>
    <row r="20" spans="1:12" x14ac:dyDescent="0.3">
      <c r="A20" s="91" t="str">
        <f>name!J3</f>
        <v>EE</v>
      </c>
      <c r="B20" s="92">
        <v>199629.07156740446</v>
      </c>
      <c r="C20" s="92">
        <v>194785.90049601384</v>
      </c>
      <c r="D20" s="92">
        <v>195036.90679635777</v>
      </c>
      <c r="E20" s="92">
        <v>193654.85411962072</v>
      </c>
      <c r="F20" s="92">
        <v>191899.51800454973</v>
      </c>
      <c r="H20" s="92">
        <f>C20-B20</f>
        <v>-4843.1710713906214</v>
      </c>
      <c r="I20" s="92">
        <f>D20-B20</f>
        <v>-4592.1647710466932</v>
      </c>
      <c r="J20" s="92">
        <f>E20-D20</f>
        <v>-1382.0526767370466</v>
      </c>
      <c r="K20" s="92">
        <f>F20-E20</f>
        <v>-1755.336115070997</v>
      </c>
      <c r="L20" s="92">
        <f>F20-D20</f>
        <v>-3137.3887918080436</v>
      </c>
    </row>
    <row r="23" spans="1:12" x14ac:dyDescent="0.3">
      <c r="A23" s="90" t="str">
        <f>CONCATENATE("Note: For ",Info!$A$1," there is no European LFS data for some of the ISCED Qualifications.")</f>
        <v>Note: For Region/Nation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5"/>
  <dimension ref="A1:CS102"/>
  <sheetViews>
    <sheetView showGridLines="0" zoomScale="85" zoomScaleNormal="85" zoomScaleSheetLayoutView="85" workbookViewId="0"/>
  </sheetViews>
  <sheetFormatPr defaultColWidth="9.15234375" defaultRowHeight="12.45" x14ac:dyDescent="0.3"/>
  <cols>
    <col min="1" max="1" width="50.69140625" style="129" customWidth="1"/>
    <col min="2" max="2" width="13" style="129" customWidth="1"/>
    <col min="3" max="3" width="10.15234375" style="129" customWidth="1"/>
    <col min="4" max="4" width="3.69140625" style="129" customWidth="1"/>
    <col min="5" max="6" width="10.15234375" style="129" customWidth="1"/>
    <col min="7" max="7" width="3.69140625" style="129" customWidth="1"/>
    <col min="8" max="9" width="10.15234375" style="129" customWidth="1"/>
    <col min="10" max="10" width="3.69140625" style="129" customWidth="1"/>
    <col min="11" max="12" width="10.15234375" style="129" customWidth="1"/>
    <col min="13" max="13" width="3.69140625" style="129" customWidth="1"/>
    <col min="14" max="15" width="10.15234375" style="129" customWidth="1"/>
    <col min="16" max="16" width="3.69140625" style="129" customWidth="1"/>
    <col min="17" max="18" width="10.15234375" style="129" customWidth="1"/>
    <col min="19" max="19" width="9.15234375" style="129"/>
    <col min="20" max="20" width="16.69140625" style="129" customWidth="1"/>
    <col min="21" max="21" width="9.15234375" style="129"/>
    <col min="22" max="22" width="8.84375" style="129" customWidth="1"/>
    <col min="23" max="41" width="9.15234375" style="129"/>
    <col min="42" max="46" width="9.15234375" style="136" customWidth="1"/>
    <col min="47" max="49" width="9.15234375" style="129"/>
    <col min="50" max="50" width="9.15234375" style="129" customWidth="1"/>
    <col min="51" max="16384" width="9.15234375" style="129"/>
  </cols>
  <sheetData>
    <row r="1" spans="1:97" ht="18.75" customHeight="1" x14ac:dyDescent="0.4">
      <c r="A1" s="276" t="str">
        <f>CONCATENATE("ShiftShare Table 1  Shift-share by occupation, ",I4,", ",Info!B5)</f>
        <v>ShiftShare Table 1  Shift-share by occupation, 2015-2020, East</v>
      </c>
      <c r="W1" s="203" t="str">
        <f>CONCATENATE("Shift-share Figure 1: Levels of Employment, ",C4," - ",F40,", ",Info!B5)</f>
        <v>Shift-share Figure 1: Levels of Employment, 2015 - 2035, East</v>
      </c>
      <c r="AK1" s="203" t="str">
        <f>CONCATENATE("Shift-share Figure 1.1: Net Changes, ",C4,"-",F40,", ",Info!B5)</f>
        <v>Shift-share Figure 1.1: Net Changes, 2015-2035, East</v>
      </c>
    </row>
    <row r="2" spans="1:97" ht="18.75" customHeight="1" x14ac:dyDescent="0.4">
      <c r="A2" s="135" t="s">
        <v>539</v>
      </c>
      <c r="W2" s="203"/>
      <c r="AK2" s="203"/>
    </row>
    <row r="3" spans="1:97" x14ac:dyDescent="0.3">
      <c r="A3" s="145"/>
      <c r="B3" s="275"/>
      <c r="C3" s="275"/>
      <c r="D3" s="275"/>
      <c r="E3" s="275"/>
      <c r="F3" s="275"/>
      <c r="G3" s="275"/>
      <c r="H3" s="275"/>
      <c r="I3" s="275"/>
      <c r="J3" s="275"/>
      <c r="K3" s="378" t="s">
        <v>53</v>
      </c>
      <c r="L3" s="378"/>
      <c r="M3" s="378"/>
      <c r="N3" s="378"/>
      <c r="O3" s="378"/>
      <c r="P3" s="378"/>
      <c r="Q3" s="378"/>
      <c r="R3" s="378"/>
      <c r="AT3" s="137"/>
      <c r="AU3" s="125"/>
      <c r="AW3" s="137"/>
      <c r="AX3" s="136"/>
      <c r="AY3" s="138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25"/>
      <c r="CC3" s="125"/>
      <c r="CD3" s="125"/>
      <c r="CE3" s="125"/>
      <c r="CF3" s="125"/>
      <c r="CG3" s="125"/>
      <c r="CH3" s="125"/>
      <c r="CI3" s="125"/>
      <c r="CJ3" s="125"/>
      <c r="CK3" s="125"/>
      <c r="CL3" s="125"/>
      <c r="CM3" s="125"/>
      <c r="CN3" s="125"/>
      <c r="CO3" s="125"/>
      <c r="CP3" s="125"/>
      <c r="CQ3" s="125"/>
      <c r="CR3" s="125"/>
      <c r="CS3" s="125"/>
    </row>
    <row r="4" spans="1:97" x14ac:dyDescent="0.3">
      <c r="B4" s="270" t="s">
        <v>54</v>
      </c>
      <c r="C4" s="271">
        <v>2015</v>
      </c>
      <c r="D4" s="135"/>
      <c r="E4" s="270" t="s">
        <v>55</v>
      </c>
      <c r="F4" s="271">
        <v>2020</v>
      </c>
      <c r="G4" s="135"/>
      <c r="H4" s="270" t="s">
        <v>18</v>
      </c>
      <c r="I4" s="270" t="str">
        <f>CONCATENATE(C4,"-",F4)</f>
        <v>2015-2020</v>
      </c>
      <c r="J4" s="135"/>
      <c r="K4" s="377" t="s">
        <v>56</v>
      </c>
      <c r="L4" s="377"/>
      <c r="M4" s="135"/>
      <c r="N4" s="377" t="s">
        <v>57</v>
      </c>
      <c r="O4" s="377"/>
      <c r="P4" s="135"/>
      <c r="Q4" s="377" t="s">
        <v>58</v>
      </c>
      <c r="R4" s="377"/>
      <c r="AW4" s="136"/>
      <c r="AX4" s="136"/>
      <c r="AY4" s="138"/>
    </row>
    <row r="5" spans="1:97" x14ac:dyDescent="0.3">
      <c r="A5" s="142" t="s">
        <v>507</v>
      </c>
      <c r="B5" s="272" t="s">
        <v>60</v>
      </c>
      <c r="C5" s="272" t="s">
        <v>61</v>
      </c>
      <c r="D5" s="135"/>
      <c r="E5" s="272" t="str">
        <f>B5</f>
        <v>000s</v>
      </c>
      <c r="F5" s="272" t="str">
        <f>C5</f>
        <v>% share</v>
      </c>
      <c r="G5" s="135"/>
      <c r="H5" s="272" t="str">
        <f>E5</f>
        <v>000s</v>
      </c>
      <c r="I5" s="272" t="s">
        <v>62</v>
      </c>
      <c r="J5" s="135"/>
      <c r="K5" s="272" t="str">
        <f>H5</f>
        <v>000s</v>
      </c>
      <c r="L5" s="272" t="str">
        <f>I5</f>
        <v xml:space="preserve">%   </v>
      </c>
      <c r="M5" s="135"/>
      <c r="N5" s="272" t="str">
        <f>K5</f>
        <v>000s</v>
      </c>
      <c r="O5" s="272" t="str">
        <f>L5</f>
        <v xml:space="preserve">%   </v>
      </c>
      <c r="P5" s="135"/>
      <c r="Q5" s="272" t="str">
        <f>N5</f>
        <v>000s</v>
      </c>
      <c r="R5" s="272" t="str">
        <f>O5</f>
        <v xml:space="preserve">%   </v>
      </c>
      <c r="Z5" s="138" t="e">
        <f>"Levels of Employment, "&amp;#REF!&amp;"-"&amp;#REF!</f>
        <v>#REF!</v>
      </c>
      <c r="AM5" s="129" t="e">
        <f>"Net Changes, "&amp;#REF!&amp;"-"&amp;#REF!</f>
        <v>#REF!</v>
      </c>
      <c r="AV5" s="136"/>
      <c r="AW5" s="136"/>
      <c r="AX5" s="136"/>
    </row>
    <row r="6" spans="1:97" x14ac:dyDescent="0.3">
      <c r="A6" s="142"/>
      <c r="B6" s="270"/>
      <c r="C6" s="270"/>
      <c r="D6" s="135"/>
      <c r="E6" s="270"/>
      <c r="F6" s="270"/>
      <c r="G6" s="135"/>
      <c r="H6" s="270"/>
      <c r="I6" s="270"/>
      <c r="J6" s="135"/>
      <c r="K6" s="270"/>
      <c r="L6" s="270"/>
      <c r="M6" s="135"/>
      <c r="N6" s="270"/>
      <c r="O6" s="270"/>
      <c r="P6" s="135"/>
      <c r="Q6" s="270"/>
      <c r="R6" s="270"/>
      <c r="T6" s="135"/>
      <c r="AV6" s="136"/>
      <c r="AW6" s="136"/>
      <c r="AX6" s="136"/>
      <c r="AY6" s="138"/>
    </row>
    <row r="7" spans="1:97" x14ac:dyDescent="0.3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5"/>
      <c r="AV7" s="136"/>
      <c r="AW7" s="136"/>
      <c r="AX7" s="136"/>
      <c r="AY7" s="138"/>
    </row>
    <row r="8" spans="1:97" x14ac:dyDescent="0.3">
      <c r="A8" s="10" t="str">
        <f>name!$D4</f>
        <v>11 Corporate managers and directors</v>
      </c>
      <c r="B8" s="150">
        <v>215.07175900141254</v>
      </c>
      <c r="C8" s="140">
        <f t="shared" ref="C8:C33" si="0">B8/B$35*100</f>
        <v>7.0381974285917552</v>
      </c>
      <c r="E8" s="150">
        <v>256.42027451780478</v>
      </c>
      <c r="F8" s="140">
        <f t="shared" ref="F8:F33" si="1">E8/E$35*100</f>
        <v>8.0782849467812277</v>
      </c>
      <c r="H8" s="150">
        <f>E8-B8</f>
        <v>41.34851551639224</v>
      </c>
      <c r="I8" s="140">
        <f>IF(B8&lt;&gt;0,((E8/B8)-1)*100,0)</f>
        <v>19.225450941757849</v>
      </c>
      <c r="K8" s="207">
        <f t="shared" ref="K8:K33" si="2">(($E$35/$B$35)-1)*B8</f>
        <v>8.3341407210401037</v>
      </c>
      <c r="L8" s="140">
        <f>IF(B8&lt;&gt;0,K8/B8*100,0)</f>
        <v>3.8750511734947803</v>
      </c>
      <c r="N8" s="150">
        <f>H8-(K8+Q8)</f>
        <v>35.000259968280801</v>
      </c>
      <c r="O8" s="140">
        <f>IF(B8&lt;&gt;0,N8/B8*100,0)</f>
        <v>16.273759107559506</v>
      </c>
      <c r="Q8" s="150">
        <v>-1.9858851729286651</v>
      </c>
      <c r="R8" s="140">
        <f>IF(B8&lt;&gt;0,Q8/B8*100,0)</f>
        <v>-0.92335933929643554</v>
      </c>
      <c r="AT8" s="136" t="e">
        <f ca="1">CONCATENATE("C:",INT(CELL("col",#REF!))," R:",INT(CELL("row",#REF!)))</f>
        <v>#REF!</v>
      </c>
    </row>
    <row r="9" spans="1:97" x14ac:dyDescent="0.3">
      <c r="A9" s="10" t="str">
        <f>name!$D5</f>
        <v>12 Other managers and proprietors</v>
      </c>
      <c r="B9" s="150">
        <v>102.22745303138501</v>
      </c>
      <c r="C9" s="140">
        <f t="shared" si="0"/>
        <v>3.3453810969772793</v>
      </c>
      <c r="E9" s="150">
        <v>108.45532958998095</v>
      </c>
      <c r="F9" s="140">
        <f t="shared" si="1"/>
        <v>3.4167854241342548</v>
      </c>
      <c r="H9" s="150">
        <f t="shared" ref="H9:H32" si="3">E9-B9</f>
        <v>6.2278765585959377</v>
      </c>
      <c r="I9" s="140">
        <f t="shared" ref="I9:I35" si="4">IF(B9&lt;&gt;0,((E9/B9)-1)*100,0)</f>
        <v>6.0921761952573705</v>
      </c>
      <c r="K9" s="207">
        <f t="shared" si="2"/>
        <v>3.9613661183265112</v>
      </c>
      <c r="L9" s="140">
        <f t="shared" ref="L9:L32" si="5">IF(B9&lt;&gt;0,K9/B9*100,0)</f>
        <v>3.8750511734947812</v>
      </c>
      <c r="N9" s="150">
        <f t="shared" ref="N9:N31" si="6">H9-(K9+Q9)</f>
        <v>2.6083161515012105</v>
      </c>
      <c r="O9" s="140">
        <f>IF(B9&lt;&gt;0,N9/B9*100,0)</f>
        <v>2.5514830646327726</v>
      </c>
      <c r="Q9" s="150">
        <v>-0.34180571123178405</v>
      </c>
      <c r="R9" s="140">
        <f>IF(B9&lt;&gt;0,Q9/B9*100,0)</f>
        <v>-0.33435804287019233</v>
      </c>
      <c r="T9" s="135"/>
    </row>
    <row r="10" spans="1:97" x14ac:dyDescent="0.3">
      <c r="A10" s="10" t="str">
        <f>name!$D6</f>
        <v>21 Science, research, engineering and technology professionals</v>
      </c>
      <c r="B10" s="150">
        <v>186.41484950766176</v>
      </c>
      <c r="C10" s="140">
        <f t="shared" si="0"/>
        <v>6.1004035143801794</v>
      </c>
      <c r="E10" s="150">
        <v>219.28005434285362</v>
      </c>
      <c r="F10" s="140">
        <f t="shared" si="1"/>
        <v>6.9082164639997865</v>
      </c>
      <c r="H10" s="150">
        <f t="shared" si="3"/>
        <v>32.865204835191861</v>
      </c>
      <c r="I10" s="140">
        <f t="shared" si="4"/>
        <v>17.630143157582022</v>
      </c>
      <c r="K10" s="207">
        <f t="shared" si="2"/>
        <v>7.2236708134151772</v>
      </c>
      <c r="L10" s="140">
        <f t="shared" si="5"/>
        <v>3.8750511734947812</v>
      </c>
      <c r="N10" s="150">
        <f t="shared" si="6"/>
        <v>25.831418863916596</v>
      </c>
      <c r="O10" s="140">
        <f t="shared" ref="O10:O32" si="7">IF(B10&lt;&gt;0,N10/B10*100,0)</f>
        <v>13.856953419826626</v>
      </c>
      <c r="Q10" s="150">
        <v>-0.18988484213991097</v>
      </c>
      <c r="R10" s="140">
        <f t="shared" ref="R10:R32" si="8">IF(B10&lt;&gt;0,Q10/B10*100,0)</f>
        <v>-0.10186143573938115</v>
      </c>
      <c r="AT10" s="136" t="e">
        <f ca="1">CONCATENATE("C:",INT(CELL("col",#REF!))," R:",INT(CELL("row",#REF!)))</f>
        <v>#REF!</v>
      </c>
    </row>
    <row r="11" spans="1:97" x14ac:dyDescent="0.3">
      <c r="A11" s="10" t="str">
        <f>name!$D7</f>
        <v>22 Health professionals</v>
      </c>
      <c r="B11" s="150">
        <v>101.29090452362664</v>
      </c>
      <c r="C11" s="140">
        <f t="shared" si="0"/>
        <v>3.314732659778171</v>
      </c>
      <c r="E11" s="150">
        <v>119.29571542032333</v>
      </c>
      <c r="F11" s="140">
        <f t="shared" si="1"/>
        <v>3.7583018109926383</v>
      </c>
      <c r="H11" s="150">
        <f>E11-B11</f>
        <v>18.004810896696696</v>
      </c>
      <c r="I11" s="140">
        <f>IF(B11&lt;&gt;0,((E11/B11)-1)*100,0)</f>
        <v>17.775348123677759</v>
      </c>
      <c r="K11" s="207">
        <f t="shared" si="2"/>
        <v>3.9250743843862725</v>
      </c>
      <c r="L11" s="140">
        <f t="shared" si="5"/>
        <v>3.8750511734947812</v>
      </c>
      <c r="N11" s="150">
        <f t="shared" si="6"/>
        <v>11.95220814079952</v>
      </c>
      <c r="O11" s="140">
        <f t="shared" si="7"/>
        <v>11.799882918422952</v>
      </c>
      <c r="Q11" s="150">
        <v>2.1275283715109032</v>
      </c>
      <c r="R11" s="140">
        <f>IF(B11&lt;&gt;0,Q11/B11*100,0)</f>
        <v>2.1004140317600246</v>
      </c>
      <c r="T11" s="135"/>
    </row>
    <row r="12" spans="1:97" x14ac:dyDescent="0.3">
      <c r="A12" s="10" t="str">
        <f>name!$D8</f>
        <v>23 Teaching and other educational professionals</v>
      </c>
      <c r="B12" s="150">
        <v>128.56143721289453</v>
      </c>
      <c r="C12" s="140">
        <f t="shared" si="0"/>
        <v>4.2071575599189286</v>
      </c>
      <c r="E12" s="150">
        <v>150.97859691014554</v>
      </c>
      <c r="F12" s="140">
        <f t="shared" si="1"/>
        <v>4.7564418570213016</v>
      </c>
      <c r="H12" s="150">
        <f t="shared" si="3"/>
        <v>22.417159697251009</v>
      </c>
      <c r="I12" s="140">
        <f t="shared" si="4"/>
        <v>17.436923686632987</v>
      </c>
      <c r="K12" s="207">
        <f t="shared" si="2"/>
        <v>4.9818214813800257</v>
      </c>
      <c r="L12" s="140">
        <f t="shared" si="5"/>
        <v>3.8750511734947812</v>
      </c>
      <c r="N12" s="150">
        <f t="shared" si="6"/>
        <v>13.260708840991176</v>
      </c>
      <c r="O12" s="140">
        <f t="shared" si="7"/>
        <v>10.314686214211944</v>
      </c>
      <c r="Q12" s="150">
        <v>4.1746293748798067</v>
      </c>
      <c r="R12" s="140">
        <f t="shared" si="8"/>
        <v>3.247186298926267</v>
      </c>
      <c r="AT12" s="136" t="e">
        <f ca="1">CONCATENATE("C:",INT(CELL("col",#REF!))," R:",INT(CELL("row",#REF!)))</f>
        <v>#REF!</v>
      </c>
    </row>
    <row r="13" spans="1:97" x14ac:dyDescent="0.3">
      <c r="A13" s="10" t="str">
        <f>name!$D9</f>
        <v>24 Business, media and public service professionals</v>
      </c>
      <c r="B13" s="150">
        <v>170.0371064822983</v>
      </c>
      <c r="C13" s="140">
        <f t="shared" si="0"/>
        <v>5.5644438450007483</v>
      </c>
      <c r="E13" s="150">
        <v>215.262818884013</v>
      </c>
      <c r="F13" s="140">
        <f t="shared" si="1"/>
        <v>6.7816571550845524</v>
      </c>
      <c r="H13" s="150">
        <f t="shared" si="3"/>
        <v>45.225712401714702</v>
      </c>
      <c r="I13" s="140">
        <f t="shared" si="4"/>
        <v>26.597554696934878</v>
      </c>
      <c r="K13" s="207">
        <f t="shared" si="2"/>
        <v>6.5890248901188713</v>
      </c>
      <c r="L13" s="140">
        <f t="shared" si="5"/>
        <v>3.8750511734947812</v>
      </c>
      <c r="N13" s="150">
        <f>H13-(K13+Q13)</f>
        <v>36.821062503877961</v>
      </c>
      <c r="O13" s="140">
        <f>IF(B13&lt;&gt;0,N13/B13*100,0)</f>
        <v>21.654721881374293</v>
      </c>
      <c r="Q13" s="150">
        <v>1.8156250077178684</v>
      </c>
      <c r="R13" s="140">
        <f t="shared" si="8"/>
        <v>1.0677816420658064</v>
      </c>
      <c r="T13" s="135"/>
    </row>
    <row r="14" spans="1:97" x14ac:dyDescent="0.3">
      <c r="A14" s="10" t="str">
        <f>name!$D10</f>
        <v>31 Science, engineering and technology associate professionals</v>
      </c>
      <c r="B14" s="150">
        <v>51.916227810861997</v>
      </c>
      <c r="C14" s="140">
        <f t="shared" si="0"/>
        <v>1.6989523067888836</v>
      </c>
      <c r="E14" s="150">
        <v>66.661989893571118</v>
      </c>
      <c r="F14" s="140">
        <f t="shared" si="1"/>
        <v>2.100124689798371</v>
      </c>
      <c r="H14" s="150">
        <f t="shared" si="3"/>
        <v>14.74576208270912</v>
      </c>
      <c r="I14" s="140">
        <f t="shared" si="4"/>
        <v>28.402992098019865</v>
      </c>
      <c r="K14" s="207">
        <f t="shared" si="2"/>
        <v>2.0117803950190316</v>
      </c>
      <c r="L14" s="140">
        <f>IF(B14&lt;&gt;0,K14/B14*100,0)</f>
        <v>3.8750511734947803</v>
      </c>
      <c r="N14" s="150">
        <f t="shared" si="6"/>
        <v>12.524559422504925</v>
      </c>
      <c r="O14" s="140">
        <f t="shared" si="7"/>
        <v>24.124555944498951</v>
      </c>
      <c r="Q14" s="150">
        <v>0.2094222651851641</v>
      </c>
      <c r="R14" s="140">
        <f t="shared" si="8"/>
        <v>0.40338498002612672</v>
      </c>
      <c r="AT14" s="136" t="e">
        <f ca="1">CONCATENATE("C:",INT(CELL("col",#REF!))," R:",INT(CELL("row",#REF!)))</f>
        <v>#REF!</v>
      </c>
    </row>
    <row r="15" spans="1:97" x14ac:dyDescent="0.3">
      <c r="A15" s="10" t="str">
        <f>name!$D11</f>
        <v>32 Health and social care associate professionals</v>
      </c>
      <c r="B15" s="150">
        <v>43.592593838917885</v>
      </c>
      <c r="C15" s="140">
        <f t="shared" si="0"/>
        <v>1.4265623868389972</v>
      </c>
      <c r="E15" s="150">
        <v>52.293649494333124</v>
      </c>
      <c r="F15" s="140">
        <f t="shared" si="1"/>
        <v>1.647463338523929</v>
      </c>
      <c r="H15" s="150">
        <f t="shared" si="3"/>
        <v>8.7010556554152387</v>
      </c>
      <c r="I15" s="140">
        <f t="shared" si="4"/>
        <v>19.959940185177171</v>
      </c>
      <c r="K15" s="207">
        <f t="shared" si="2"/>
        <v>1.6892353191118012</v>
      </c>
      <c r="L15" s="140">
        <f t="shared" si="5"/>
        <v>3.8750511734947812</v>
      </c>
      <c r="N15" s="150">
        <f t="shared" si="6"/>
        <v>5.9754428768331307</v>
      </c>
      <c r="O15" s="140">
        <f t="shared" si="7"/>
        <v>13.707472647563524</v>
      </c>
      <c r="Q15" s="150">
        <v>1.036377459470307</v>
      </c>
      <c r="R15" s="140">
        <f t="shared" si="8"/>
        <v>2.3774163641188677</v>
      </c>
      <c r="T15" s="11"/>
    </row>
    <row r="16" spans="1:97" x14ac:dyDescent="0.3">
      <c r="A16" s="10" t="str">
        <f>name!$D12</f>
        <v>33 Protective service occupations</v>
      </c>
      <c r="B16" s="150">
        <v>30.017339672230531</v>
      </c>
      <c r="C16" s="140">
        <f t="shared" si="0"/>
        <v>0.98231382806921974</v>
      </c>
      <c r="E16" s="150">
        <v>31.864429233105461</v>
      </c>
      <c r="F16" s="140">
        <f t="shared" si="1"/>
        <v>1.0038595407310433</v>
      </c>
      <c r="H16" s="150">
        <f t="shared" si="3"/>
        <v>1.8470895608749309</v>
      </c>
      <c r="I16" s="140">
        <f t="shared" si="4"/>
        <v>6.1534085999756405</v>
      </c>
      <c r="K16" s="207">
        <f t="shared" si="2"/>
        <v>1.1631872732206836</v>
      </c>
      <c r="L16" s="140">
        <f t="shared" si="5"/>
        <v>3.8750511734947812</v>
      </c>
      <c r="N16" s="150">
        <f t="shared" si="6"/>
        <v>2.303609727466954</v>
      </c>
      <c r="O16" s="140">
        <f t="shared" si="7"/>
        <v>7.6742634511280698</v>
      </c>
      <c r="Q16" s="150">
        <v>-1.6197074398127067</v>
      </c>
      <c r="R16" s="140">
        <f t="shared" si="8"/>
        <v>-5.3959060246472177</v>
      </c>
      <c r="T16" s="11"/>
    </row>
    <row r="17" spans="1:20" x14ac:dyDescent="0.3">
      <c r="A17" s="10" t="str">
        <f>name!$D13</f>
        <v>34 Culture, media and sports occupations</v>
      </c>
      <c r="B17" s="150">
        <v>61.226797374406303</v>
      </c>
      <c r="C17" s="140">
        <f t="shared" si="0"/>
        <v>2.0036395751923184</v>
      </c>
      <c r="E17" s="150">
        <v>72.766048539117293</v>
      </c>
      <c r="F17" s="140">
        <f t="shared" si="1"/>
        <v>2.2924274441859205</v>
      </c>
      <c r="H17" s="150">
        <f t="shared" si="3"/>
        <v>11.53925116471099</v>
      </c>
      <c r="I17" s="140">
        <f t="shared" si="4"/>
        <v>18.846733227197298</v>
      </c>
      <c r="K17" s="207">
        <f t="shared" si="2"/>
        <v>2.3725697301502033</v>
      </c>
      <c r="L17" s="140">
        <f t="shared" si="5"/>
        <v>3.8750511734947812</v>
      </c>
      <c r="N17" s="150">
        <f t="shared" si="6"/>
        <v>4.0550956064718413</v>
      </c>
      <c r="O17" s="140">
        <f t="shared" si="7"/>
        <v>6.6230731973038495</v>
      </c>
      <c r="Q17" s="150">
        <v>5.1115858280889457</v>
      </c>
      <c r="R17" s="140">
        <f t="shared" si="8"/>
        <v>8.3486088563986574</v>
      </c>
      <c r="T17" s="11"/>
    </row>
    <row r="18" spans="1:20" x14ac:dyDescent="0.3">
      <c r="A18" s="10" t="str">
        <f>name!$D14</f>
        <v>35 Business and public service associate professionals</v>
      </c>
      <c r="B18" s="150">
        <v>182.23852840786006</v>
      </c>
      <c r="C18" s="140">
        <f t="shared" si="0"/>
        <v>5.9637339090257884</v>
      </c>
      <c r="E18" s="150">
        <v>201.30044972390519</v>
      </c>
      <c r="F18" s="140">
        <f t="shared" si="1"/>
        <v>6.3417855543712109</v>
      </c>
      <c r="H18" s="150">
        <f t="shared" si="3"/>
        <v>19.06192131604513</v>
      </c>
      <c r="I18" s="140">
        <f t="shared" si="4"/>
        <v>10.459874474723296</v>
      </c>
      <c r="K18" s="207">
        <f t="shared" si="2"/>
        <v>7.0618362336284015</v>
      </c>
      <c r="L18" s="140">
        <f t="shared" si="5"/>
        <v>3.8750511734947812</v>
      </c>
      <c r="N18" s="150">
        <f t="shared" si="6"/>
        <v>12.124408262206844</v>
      </c>
      <c r="O18" s="140">
        <f t="shared" si="7"/>
        <v>6.6530433317984974</v>
      </c>
      <c r="Q18" s="150">
        <v>-0.12432317979011585</v>
      </c>
      <c r="R18" s="140">
        <f t="shared" si="8"/>
        <v>-6.8220030569975637E-2</v>
      </c>
      <c r="T18" s="11"/>
    </row>
    <row r="19" spans="1:20" x14ac:dyDescent="0.3">
      <c r="A19" s="10" t="str">
        <f>name!$D15</f>
        <v>41 Administrative occupations</v>
      </c>
      <c r="B19" s="150">
        <v>259.61010329935812</v>
      </c>
      <c r="C19" s="140">
        <f t="shared" si="0"/>
        <v>8.4957093853776566</v>
      </c>
      <c r="E19" s="150">
        <v>261.75573790944139</v>
      </c>
      <c r="F19" s="140">
        <f t="shared" si="1"/>
        <v>8.2463738144880097</v>
      </c>
      <c r="H19" s="150">
        <f t="shared" si="3"/>
        <v>2.1456346100832775</v>
      </c>
      <c r="I19" s="140">
        <f t="shared" si="4"/>
        <v>0.82648347765152952</v>
      </c>
      <c r="K19" s="207">
        <f t="shared" si="2"/>
        <v>10.060024354412791</v>
      </c>
      <c r="L19" s="140">
        <f t="shared" si="5"/>
        <v>3.8750511734947812</v>
      </c>
      <c r="N19" s="150">
        <f t="shared" si="6"/>
        <v>-5.2650365556985079</v>
      </c>
      <c r="O19" s="140">
        <f t="shared" si="7"/>
        <v>-2.0280553371327619</v>
      </c>
      <c r="Q19" s="150">
        <v>-2.6493531886310056</v>
      </c>
      <c r="R19" s="140">
        <f t="shared" si="8"/>
        <v>-1.0205123587104847</v>
      </c>
      <c r="T19" s="11"/>
    </row>
    <row r="20" spans="1:20" x14ac:dyDescent="0.3">
      <c r="A20" s="10" t="str">
        <f>name!$D16</f>
        <v>42 Secretarial and related occupations</v>
      </c>
      <c r="B20" s="150">
        <v>75.640118464250264</v>
      </c>
      <c r="C20" s="140">
        <f t="shared" si="0"/>
        <v>2.4753137731577555</v>
      </c>
      <c r="E20" s="150">
        <v>68.954741530614868</v>
      </c>
      <c r="F20" s="140">
        <f t="shared" si="1"/>
        <v>2.172355721728541</v>
      </c>
      <c r="H20" s="150">
        <f t="shared" si="3"/>
        <v>-6.6853769336353963</v>
      </c>
      <c r="I20" s="140">
        <f t="shared" si="4"/>
        <v>-8.838400929785827</v>
      </c>
      <c r="K20" s="207">
        <f t="shared" si="2"/>
        <v>2.9310932981817728</v>
      </c>
      <c r="L20" s="140">
        <f t="shared" si="5"/>
        <v>3.8750511734947812</v>
      </c>
      <c r="N20" s="150">
        <f t="shared" si="6"/>
        <v>-10.44172462801868</v>
      </c>
      <c r="O20" s="140">
        <f t="shared" si="7"/>
        <v>-13.804479474676848</v>
      </c>
      <c r="Q20" s="150">
        <v>0.82525439620150942</v>
      </c>
      <c r="R20" s="140">
        <f t="shared" si="8"/>
        <v>1.0910273713962371</v>
      </c>
      <c r="T20" s="11"/>
    </row>
    <row r="21" spans="1:20" x14ac:dyDescent="0.3">
      <c r="A21" s="10" t="str">
        <f>name!$D17</f>
        <v>51 Skilled agricultural and related trades</v>
      </c>
      <c r="B21" s="150">
        <v>39.127265446710197</v>
      </c>
      <c r="C21" s="140">
        <f t="shared" si="0"/>
        <v>1.2804350526237807</v>
      </c>
      <c r="E21" s="150">
        <v>27.701459442035809</v>
      </c>
      <c r="F21" s="140">
        <f t="shared" si="1"/>
        <v>0.87270900569498522</v>
      </c>
      <c r="H21" s="150">
        <f t="shared" si="3"/>
        <v>-11.425806004674389</v>
      </c>
      <c r="I21" s="140">
        <f t="shared" si="4"/>
        <v>-29.201647174234267</v>
      </c>
      <c r="K21" s="207">
        <f t="shared" si="2"/>
        <v>1.5162015588491615</v>
      </c>
      <c r="L21" s="140">
        <f t="shared" si="5"/>
        <v>3.8750511734947812</v>
      </c>
      <c r="N21" s="150">
        <f t="shared" si="6"/>
        <v>-6.0773372339585432</v>
      </c>
      <c r="O21" s="140">
        <f t="shared" si="7"/>
        <v>-15.532230950909764</v>
      </c>
      <c r="Q21" s="150">
        <v>-6.8646703295650067</v>
      </c>
      <c r="R21" s="140">
        <f t="shared" si="8"/>
        <v>-17.544467396819279</v>
      </c>
      <c r="T21" s="11"/>
    </row>
    <row r="22" spans="1:20" x14ac:dyDescent="0.3">
      <c r="A22" s="10" t="str">
        <f>name!$D18</f>
        <v>52 Skilled metal, electrical and electronic trades</v>
      </c>
      <c r="B22" s="150">
        <v>118.00540714420841</v>
      </c>
      <c r="C22" s="140">
        <f t="shared" si="0"/>
        <v>3.8617127463807832</v>
      </c>
      <c r="E22" s="150">
        <v>100.42539928195286</v>
      </c>
      <c r="F22" s="140">
        <f t="shared" si="1"/>
        <v>3.1638098540354034</v>
      </c>
      <c r="H22" s="150">
        <f t="shared" si="3"/>
        <v>-17.580007862255542</v>
      </c>
      <c r="I22" s="140">
        <f t="shared" si="4"/>
        <v>-14.897629089802567</v>
      </c>
      <c r="K22" s="207">
        <f t="shared" si="2"/>
        <v>4.5727699143289424</v>
      </c>
      <c r="L22" s="140">
        <f t="shared" si="5"/>
        <v>3.8750511734947812</v>
      </c>
      <c r="N22" s="150">
        <f t="shared" si="6"/>
        <v>-18.905083988037251</v>
      </c>
      <c r="O22" s="140">
        <f t="shared" si="7"/>
        <v>-16.020523504430869</v>
      </c>
      <c r="Q22" s="150">
        <v>-3.2476937885472315</v>
      </c>
      <c r="R22" s="140">
        <f t="shared" si="8"/>
        <v>-2.752156758866473</v>
      </c>
      <c r="T22" s="11"/>
    </row>
    <row r="23" spans="1:20" x14ac:dyDescent="0.3">
      <c r="A23" s="10" t="str">
        <f>name!$D19</f>
        <v>53 Skilled construction and building trades</v>
      </c>
      <c r="B23" s="150">
        <v>96.086748078120166</v>
      </c>
      <c r="C23" s="140">
        <f t="shared" si="0"/>
        <v>3.1444272664396049</v>
      </c>
      <c r="E23" s="150">
        <v>82.52660532338669</v>
      </c>
      <c r="F23" s="140">
        <f t="shared" si="1"/>
        <v>2.5999248099493752</v>
      </c>
      <c r="H23" s="150">
        <f t="shared" si="3"/>
        <v>-13.560142754733477</v>
      </c>
      <c r="I23" s="140">
        <f t="shared" si="4"/>
        <v>-14.112396377187054</v>
      </c>
      <c r="K23" s="207">
        <f t="shared" si="2"/>
        <v>3.7234106589741698</v>
      </c>
      <c r="L23" s="140">
        <f t="shared" si="5"/>
        <v>3.8750511734947812</v>
      </c>
      <c r="N23" s="150">
        <f t="shared" si="6"/>
        <v>-23.047221582410369</v>
      </c>
      <c r="O23" s="140">
        <f t="shared" si="7"/>
        <v>-23.985848250034007</v>
      </c>
      <c r="Q23" s="150">
        <v>5.763668168702722</v>
      </c>
      <c r="R23" s="140">
        <f t="shared" si="8"/>
        <v>5.9984006993521746</v>
      </c>
      <c r="T23" s="11"/>
    </row>
    <row r="24" spans="1:20" x14ac:dyDescent="0.3">
      <c r="A24" s="10" t="str">
        <f>name!$D20</f>
        <v>54 Textiles, printing and other skilled trades</v>
      </c>
      <c r="B24" s="150">
        <v>71.711869284133982</v>
      </c>
      <c r="C24" s="140">
        <f t="shared" si="0"/>
        <v>2.3467622915186412</v>
      </c>
      <c r="E24" s="150">
        <v>60.813130058863692</v>
      </c>
      <c r="F24" s="140">
        <f t="shared" si="1"/>
        <v>1.9158617392676416</v>
      </c>
      <c r="H24" s="150">
        <f t="shared" si="3"/>
        <v>-10.89873922527029</v>
      </c>
      <c r="I24" s="140">
        <f t="shared" si="4"/>
        <v>-15.197957233673176</v>
      </c>
      <c r="K24" s="207">
        <f t="shared" si="2"/>
        <v>2.7788716322298774</v>
      </c>
      <c r="L24" s="140">
        <f t="shared" si="5"/>
        <v>3.8750511734947812</v>
      </c>
      <c r="N24" s="150">
        <f t="shared" si="6"/>
        <v>-13.965006366020878</v>
      </c>
      <c r="O24" s="140">
        <f t="shared" si="7"/>
        <v>-19.473772620107379</v>
      </c>
      <c r="Q24" s="150">
        <v>0.28739550852071061</v>
      </c>
      <c r="R24" s="140">
        <f t="shared" si="8"/>
        <v>0.40076421293942754</v>
      </c>
      <c r="T24" s="11"/>
    </row>
    <row r="25" spans="1:20" x14ac:dyDescent="0.3">
      <c r="A25" s="10" t="str">
        <f>name!$D21</f>
        <v>61 Caring personal service occupations</v>
      </c>
      <c r="B25" s="150">
        <v>211.95390549156167</v>
      </c>
      <c r="C25" s="140">
        <f t="shared" si="0"/>
        <v>6.9361660477277809</v>
      </c>
      <c r="E25" s="150">
        <v>223.65609032128737</v>
      </c>
      <c r="F25" s="140">
        <f t="shared" si="1"/>
        <v>7.0460794533348983</v>
      </c>
      <c r="H25" s="150">
        <f t="shared" si="3"/>
        <v>11.702184829725695</v>
      </c>
      <c r="I25" s="140">
        <f t="shared" si="4"/>
        <v>5.5210989401615729</v>
      </c>
      <c r="K25" s="207">
        <f t="shared" si="2"/>
        <v>8.2133223020187796</v>
      </c>
      <c r="L25" s="140">
        <f t="shared" si="5"/>
        <v>3.8750511734947812</v>
      </c>
      <c r="N25" s="150">
        <f t="shared" si="6"/>
        <v>-2.8885946518283472</v>
      </c>
      <c r="O25" s="140">
        <f t="shared" si="7"/>
        <v>-1.3628409654113913</v>
      </c>
      <c r="Q25" s="150">
        <v>6.3774571795352628</v>
      </c>
      <c r="R25" s="140">
        <f t="shared" si="8"/>
        <v>3.0088887320781939</v>
      </c>
      <c r="T25" s="11"/>
    </row>
    <row r="26" spans="1:20" x14ac:dyDescent="0.3">
      <c r="A26" s="10" t="str">
        <f>name!$D22</f>
        <v>62 Leisure, travel and related personal service occupations</v>
      </c>
      <c r="B26" s="150">
        <v>65.78241893690182</v>
      </c>
      <c r="C26" s="140">
        <f t="shared" si="0"/>
        <v>2.1527217425380671</v>
      </c>
      <c r="E26" s="150">
        <v>72.441128106543133</v>
      </c>
      <c r="F26" s="140">
        <f t="shared" si="1"/>
        <v>2.2821911247517361</v>
      </c>
      <c r="H26" s="150">
        <f t="shared" si="3"/>
        <v>6.6587091696413125</v>
      </c>
      <c r="I26" s="140">
        <f t="shared" si="4"/>
        <v>10.122323376445475</v>
      </c>
      <c r="K26" s="207">
        <f t="shared" si="2"/>
        <v>2.5491023969676672</v>
      </c>
      <c r="L26" s="140">
        <f t="shared" si="5"/>
        <v>3.8750511734947812</v>
      </c>
      <c r="N26" s="150">
        <f t="shared" si="6"/>
        <v>-1.3463329660048462</v>
      </c>
      <c r="O26" s="140">
        <f t="shared" si="7"/>
        <v>-2.0466455745512224</v>
      </c>
      <c r="Q26" s="150">
        <v>5.4559397386784916</v>
      </c>
      <c r="R26" s="140">
        <f t="shared" si="8"/>
        <v>8.2939177775019228</v>
      </c>
      <c r="T26" s="11"/>
    </row>
    <row r="27" spans="1:20" x14ac:dyDescent="0.3">
      <c r="A27" s="10" t="str">
        <f>name!$D23</f>
        <v>63 Community and civil enforcement occupations</v>
      </c>
      <c r="B27" s="150">
        <v>3.1420191309526011</v>
      </c>
      <c r="C27" s="140">
        <f t="shared" si="0"/>
        <v>0.10282219790610193</v>
      </c>
      <c r="E27" s="150">
        <v>3.4150609686279489</v>
      </c>
      <c r="F27" s="140">
        <f t="shared" si="1"/>
        <v>0.10758835535562025</v>
      </c>
      <c r="H27" s="150">
        <f t="shared" si="3"/>
        <v>0.27304183767534784</v>
      </c>
      <c r="I27" s="140">
        <f t="shared" si="4"/>
        <v>8.6900119412247623</v>
      </c>
      <c r="K27" s="207">
        <f t="shared" si="2"/>
        <v>0.1217548492054093</v>
      </c>
      <c r="L27" s="140">
        <f t="shared" si="5"/>
        <v>3.8750511734947812</v>
      </c>
      <c r="N27" s="150">
        <f t="shared" si="6"/>
        <v>0.25283016252645141</v>
      </c>
      <c r="O27" s="140">
        <f t="shared" si="7"/>
        <v>8.0467416648032337</v>
      </c>
      <c r="Q27" s="150">
        <v>-0.10154317405651286</v>
      </c>
      <c r="R27" s="140">
        <f t="shared" si="8"/>
        <v>-3.231780897073242</v>
      </c>
      <c r="T27" s="171"/>
    </row>
    <row r="28" spans="1:20" x14ac:dyDescent="0.3">
      <c r="A28" s="10" t="str">
        <f>name!$D24</f>
        <v>71 Sales occupations</v>
      </c>
      <c r="B28" s="150">
        <v>221.41596432763646</v>
      </c>
      <c r="C28" s="140">
        <f t="shared" si="0"/>
        <v>7.2458107843424466</v>
      </c>
      <c r="E28" s="150">
        <v>194.6954129401295</v>
      </c>
      <c r="F28" s="140">
        <f t="shared" si="1"/>
        <v>6.1336999444339728</v>
      </c>
      <c r="H28" s="150">
        <f t="shared" si="3"/>
        <v>-26.720551387506958</v>
      </c>
      <c r="I28" s="140">
        <f t="shared" si="4"/>
        <v>-12.068032884913249</v>
      </c>
      <c r="K28" s="207">
        <f t="shared" si="2"/>
        <v>8.5799819239828636</v>
      </c>
      <c r="L28" s="140">
        <f t="shared" si="5"/>
        <v>3.8750511734947821</v>
      </c>
      <c r="N28" s="150">
        <f t="shared" si="6"/>
        <v>-17.346036981342504</v>
      </c>
      <c r="O28" s="140">
        <f t="shared" si="7"/>
        <v>-7.8341401596837903</v>
      </c>
      <c r="Q28" s="150">
        <v>-17.954496330147318</v>
      </c>
      <c r="R28" s="140">
        <f t="shared" si="8"/>
        <v>-8.1089438987242417</v>
      </c>
      <c r="T28" s="11"/>
    </row>
    <row r="29" spans="1:20" x14ac:dyDescent="0.3">
      <c r="A29" s="10" t="str">
        <f>name!$D25</f>
        <v>72 Customer service occupations</v>
      </c>
      <c r="B29" s="150">
        <v>44.973783490930849</v>
      </c>
      <c r="C29" s="140">
        <f t="shared" si="0"/>
        <v>1.4717616519695311</v>
      </c>
      <c r="E29" s="150">
        <v>49.860654752101922</v>
      </c>
      <c r="F29" s="140">
        <f t="shared" si="1"/>
        <v>1.5708140765311942</v>
      </c>
      <c r="H29" s="150">
        <f t="shared" si="3"/>
        <v>4.8868712611710734</v>
      </c>
      <c r="I29" s="140">
        <f t="shared" si="4"/>
        <v>10.866044352609405</v>
      </c>
      <c r="K29" s="207">
        <f t="shared" si="2"/>
        <v>1.742757124930318</v>
      </c>
      <c r="L29" s="140">
        <f t="shared" si="5"/>
        <v>3.8750511734947812</v>
      </c>
      <c r="N29" s="150">
        <f t="shared" si="6"/>
        <v>4.2343557228076056</v>
      </c>
      <c r="O29" s="140">
        <f t="shared" si="7"/>
        <v>9.415164556171888</v>
      </c>
      <c r="Q29" s="150">
        <v>-1.0902415865668502</v>
      </c>
      <c r="R29" s="140">
        <f t="shared" si="8"/>
        <v>-2.4241713770572626</v>
      </c>
      <c r="T29" s="11"/>
    </row>
    <row r="30" spans="1:20" x14ac:dyDescent="0.3">
      <c r="A30" s="10" t="str">
        <f>name!$D26</f>
        <v>81 Process, plant and machine operatives</v>
      </c>
      <c r="B30" s="150">
        <v>77.455594000314903</v>
      </c>
      <c r="C30" s="140">
        <f t="shared" si="0"/>
        <v>2.5347249915758718</v>
      </c>
      <c r="E30" s="150">
        <v>66.18299631124377</v>
      </c>
      <c r="F30" s="140">
        <f t="shared" si="1"/>
        <v>2.0850344374655698</v>
      </c>
      <c r="H30" s="150">
        <f t="shared" si="3"/>
        <v>-11.272597689071134</v>
      </c>
      <c r="I30" s="140">
        <f t="shared" si="4"/>
        <v>-14.55362628685709</v>
      </c>
      <c r="K30" s="207">
        <f t="shared" si="2"/>
        <v>3.0014439042465559</v>
      </c>
      <c r="L30" s="140">
        <f t="shared" si="5"/>
        <v>3.8750511734947812</v>
      </c>
      <c r="N30" s="150">
        <f t="shared" si="6"/>
        <v>-13.992435533399901</v>
      </c>
      <c r="O30" s="140">
        <f t="shared" si="7"/>
        <v>-18.065106483261896</v>
      </c>
      <c r="Q30" s="150">
        <v>-0.28160605991778953</v>
      </c>
      <c r="R30" s="140">
        <f t="shared" si="8"/>
        <v>-0.36357097708997577</v>
      </c>
      <c r="T30" s="11"/>
    </row>
    <row r="31" spans="1:20" x14ac:dyDescent="0.3">
      <c r="A31" s="10" t="str">
        <f>name!$D27</f>
        <v>82 Transport and mobile machine drivers and operatives</v>
      </c>
      <c r="B31" s="150">
        <v>113.32252578308525</v>
      </c>
      <c r="C31" s="140">
        <f t="shared" si="0"/>
        <v>3.708466017441161</v>
      </c>
      <c r="E31" s="150">
        <v>115.43320624120283</v>
      </c>
      <c r="F31" s="140">
        <f t="shared" si="1"/>
        <v>3.6366170112350158</v>
      </c>
      <c r="H31" s="150">
        <f t="shared" si="3"/>
        <v>2.1106804581175709</v>
      </c>
      <c r="I31" s="140">
        <f t="shared" si="4"/>
        <v>1.8625427235514413</v>
      </c>
      <c r="K31" s="207">
        <f t="shared" si="2"/>
        <v>4.391305865191371</v>
      </c>
      <c r="L31" s="140">
        <f t="shared" si="5"/>
        <v>3.8750511734947812</v>
      </c>
      <c r="N31" s="150">
        <f t="shared" si="6"/>
        <v>-7.0533052317297749</v>
      </c>
      <c r="O31" s="140">
        <f t="shared" si="7"/>
        <v>-6.2240981508219839</v>
      </c>
      <c r="Q31" s="150">
        <v>4.7726798246559747</v>
      </c>
      <c r="R31" s="140">
        <f t="shared" si="8"/>
        <v>4.2115897008786529</v>
      </c>
      <c r="T31" s="11"/>
    </row>
    <row r="32" spans="1:20" x14ac:dyDescent="0.3">
      <c r="A32" s="10" t="str">
        <f>name!$D28</f>
        <v>91 Elementary trades and related occupations</v>
      </c>
      <c r="B32" s="150">
        <v>54.899703673527384</v>
      </c>
      <c r="C32" s="140">
        <f t="shared" si="0"/>
        <v>1.7965861953215905</v>
      </c>
      <c r="E32" s="150">
        <v>43.984729492292018</v>
      </c>
      <c r="F32" s="140">
        <f t="shared" si="1"/>
        <v>1.3856984546717457</v>
      </c>
      <c r="H32" s="150">
        <f t="shared" si="3"/>
        <v>-10.914974181235365</v>
      </c>
      <c r="I32" s="140">
        <f t="shared" si="4"/>
        <v>-19.881663198299847</v>
      </c>
      <c r="K32" s="207">
        <f t="shared" si="2"/>
        <v>2.1273916114461806</v>
      </c>
      <c r="L32" s="140">
        <f t="shared" si="5"/>
        <v>3.8750511734947821</v>
      </c>
      <c r="N32" s="150">
        <f>H32-(K32+Q32)</f>
        <v>-12.621364723550649</v>
      </c>
      <c r="O32" s="140">
        <f t="shared" si="7"/>
        <v>-22.98985946919904</v>
      </c>
      <c r="Q32" s="150">
        <v>-0.42100106913089685</v>
      </c>
      <c r="R32" s="140">
        <f t="shared" si="8"/>
        <v>-0.76685490259559164</v>
      </c>
      <c r="T32" s="11"/>
    </row>
    <row r="33" spans="1:20" x14ac:dyDescent="0.3">
      <c r="A33" s="10" t="str">
        <f>name!$D29</f>
        <v>92 Elementary administration and service occupations</v>
      </c>
      <c r="B33" s="150">
        <v>330.05657658426492</v>
      </c>
      <c r="C33" s="140">
        <f t="shared" si="0"/>
        <v>10.801061745116959</v>
      </c>
      <c r="E33" s="150">
        <v>307.76629076952287</v>
      </c>
      <c r="F33" s="140">
        <f t="shared" si="1"/>
        <v>9.6958939714320351</v>
      </c>
      <c r="H33" s="150">
        <f t="shared" ref="H33" si="9">E33-B33</f>
        <v>-22.290285814742049</v>
      </c>
      <c r="I33" s="140">
        <f>IF(B33&lt;&gt;0,((E33/B33)-1)*100,0)</f>
        <v>-6.7534742211238008</v>
      </c>
      <c r="K33" s="207">
        <f t="shared" si="2"/>
        <v>12.789861244125259</v>
      </c>
      <c r="L33" s="140">
        <f t="shared" ref="L33" si="10">IF(B33&lt;&gt;0,K33/B33*100,0)</f>
        <v>3.8750511734947812</v>
      </c>
      <c r="N33" s="150">
        <f>H33-(K33+Q33)</f>
        <v>-33.99479580820384</v>
      </c>
      <c r="O33" s="140">
        <f t="shared" ref="O33" si="11">IF(B33&lt;&gt;0,N33/B33*100,0)</f>
        <v>-10.299687453591707</v>
      </c>
      <c r="Q33" s="150">
        <v>-1.0853512506634662</v>
      </c>
      <c r="R33" s="140">
        <f t="shared" ref="R33" si="12">IF(B33&lt;&gt;0,Q33/B33*100,0)</f>
        <v>-0.32883794102686853</v>
      </c>
      <c r="T33" s="11"/>
    </row>
    <row r="34" spans="1:20" x14ac:dyDescent="0.3">
      <c r="A34" s="10"/>
      <c r="B34" s="150"/>
      <c r="C34" s="140"/>
      <c r="E34" s="150"/>
      <c r="F34" s="140"/>
      <c r="H34" s="150"/>
      <c r="I34" s="140"/>
      <c r="K34" s="207"/>
      <c r="L34" s="140"/>
      <c r="N34" s="150"/>
      <c r="O34" s="140"/>
      <c r="Q34" s="150"/>
      <c r="R34" s="140"/>
      <c r="T34" s="11"/>
    </row>
    <row r="35" spans="1:20" x14ac:dyDescent="0.3">
      <c r="A35" s="148" t="str">
        <f>name!$D$3</f>
        <v>All occupations</v>
      </c>
      <c r="B35" s="151">
        <f>SUM(B8:B33)</f>
        <v>3055.7789999995125</v>
      </c>
      <c r="C35" s="146">
        <f>B35/B$35*100</f>
        <v>100</v>
      </c>
      <c r="D35" s="144"/>
      <c r="E35" s="151">
        <f>SUM(E8:E33)</f>
        <v>3174.1919999984007</v>
      </c>
      <c r="F35" s="146">
        <f t="shared" ref="F35" si="13">E35/E$35*100</f>
        <v>100</v>
      </c>
      <c r="G35" s="144"/>
      <c r="H35" s="151">
        <f>E35-B35</f>
        <v>118.41299999888815</v>
      </c>
      <c r="I35" s="146">
        <f t="shared" si="4"/>
        <v>3.8750511734947812</v>
      </c>
      <c r="J35" s="144"/>
      <c r="K35" s="151"/>
      <c r="L35" s="146"/>
      <c r="M35" s="144"/>
      <c r="N35" s="147"/>
      <c r="O35" s="146"/>
      <c r="P35" s="144"/>
      <c r="Q35" s="147"/>
      <c r="R35" s="146"/>
    </row>
    <row r="37" spans="1:20" ht="15.45" x14ac:dyDescent="0.4">
      <c r="A37" s="276" t="str">
        <f>CONCATENATE("ShiftShare Table 1.1  Shift-share by occupation, ",I40,", ",Info!B5)</f>
        <v>ShiftShare Table 1.1  Shift-share by occupation, 2020-2035, East</v>
      </c>
    </row>
    <row r="38" spans="1:20" ht="15.45" x14ac:dyDescent="0.4">
      <c r="A38" s="276"/>
    </row>
    <row r="39" spans="1:20" x14ac:dyDescent="0.3">
      <c r="A39" s="145"/>
      <c r="B39" s="275"/>
      <c r="C39" s="275"/>
      <c r="D39" s="275"/>
      <c r="E39" s="275"/>
      <c r="F39" s="275"/>
      <c r="G39" s="275"/>
      <c r="H39" s="275"/>
      <c r="I39" s="275"/>
      <c r="J39" s="275"/>
      <c r="K39" s="378" t="str">
        <f>K3</f>
        <v>Components of change</v>
      </c>
      <c r="L39" s="378"/>
      <c r="M39" s="378"/>
      <c r="N39" s="378"/>
      <c r="O39" s="378"/>
      <c r="P39" s="378"/>
      <c r="Q39" s="378"/>
      <c r="R39" s="378"/>
    </row>
    <row r="40" spans="1:20" x14ac:dyDescent="0.3">
      <c r="B40" s="270" t="str">
        <f>B4</f>
        <v>Base year</v>
      </c>
      <c r="C40" s="271">
        <v>2020</v>
      </c>
      <c r="D40" s="135"/>
      <c r="E40" s="270" t="str">
        <f>E4</f>
        <v>Target year</v>
      </c>
      <c r="F40" s="275">
        <v>2035</v>
      </c>
      <c r="G40" s="135"/>
      <c r="H40" s="270" t="str">
        <f>H4</f>
        <v>Change</v>
      </c>
      <c r="I40" s="270" t="str">
        <f>CONCATENATE(C40,"-",F40)</f>
        <v>2020-2035</v>
      </c>
      <c r="J40" s="135"/>
      <c r="K40" s="377" t="str">
        <f>K4</f>
        <v>Scale effect</v>
      </c>
      <c r="L40" s="377"/>
      <c r="M40" s="135"/>
      <c r="N40" s="377" t="str">
        <f>N4</f>
        <v>Occupation effect</v>
      </c>
      <c r="O40" s="377"/>
      <c r="P40" s="135"/>
      <c r="Q40" s="377" t="str">
        <f>Q4</f>
        <v>Industry mix effect</v>
      </c>
      <c r="R40" s="377"/>
    </row>
    <row r="41" spans="1:20" x14ac:dyDescent="0.3">
      <c r="A41" s="142" t="str">
        <f>A5</f>
        <v>SOC2020 Sub-Major Groups</v>
      </c>
      <c r="B41" s="272" t="str">
        <f>B5</f>
        <v>000s</v>
      </c>
      <c r="C41" s="272" t="str">
        <f>C5</f>
        <v>% share</v>
      </c>
      <c r="D41" s="135"/>
      <c r="E41" s="272" t="str">
        <f>E5</f>
        <v>000s</v>
      </c>
      <c r="F41" s="272" t="str">
        <f>F5</f>
        <v>% share</v>
      </c>
      <c r="G41" s="135"/>
      <c r="H41" s="272" t="str">
        <f>H5</f>
        <v>000s</v>
      </c>
      <c r="I41" s="272" t="str">
        <f>I5</f>
        <v xml:space="preserve">%   </v>
      </c>
      <c r="J41" s="135"/>
      <c r="K41" s="272" t="str">
        <f>H41</f>
        <v>000s</v>
      </c>
      <c r="L41" s="272" t="str">
        <f>I41</f>
        <v xml:space="preserve">%   </v>
      </c>
      <c r="M41" s="135"/>
      <c r="N41" s="272" t="str">
        <f>K41</f>
        <v>000s</v>
      </c>
      <c r="O41" s="272" t="str">
        <f>L41</f>
        <v xml:space="preserve">%   </v>
      </c>
      <c r="P41" s="135"/>
      <c r="Q41" s="272" t="str">
        <f>Q5</f>
        <v>000s</v>
      </c>
      <c r="R41" s="272" t="str">
        <f>O41</f>
        <v xml:space="preserve">%   </v>
      </c>
    </row>
    <row r="42" spans="1:20" x14ac:dyDescent="0.3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3">
      <c r="A43" s="142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3"/>
    </row>
    <row r="44" spans="1:20" x14ac:dyDescent="0.3">
      <c r="A44" s="134" t="str">
        <f t="shared" ref="A44:A69" si="14">A8</f>
        <v>11 Corporate managers and directors</v>
      </c>
      <c r="B44" s="150">
        <v>256.42027451780478</v>
      </c>
      <c r="C44" s="140">
        <f t="shared" ref="C44:C69" si="15">B44/B$71*100</f>
        <v>8.0782849467812277</v>
      </c>
      <c r="E44" s="150">
        <v>268.37253864090906</v>
      </c>
      <c r="F44" s="140">
        <f t="shared" ref="F44:F69" si="16">E44/E$71*100</f>
        <v>7.7918260096824978</v>
      </c>
      <c r="H44" s="150">
        <f>E44-B44</f>
        <v>11.952264123104271</v>
      </c>
      <c r="I44" s="140">
        <f>IF(B44&gt;0,((E44/B44)-1)*100,0)</f>
        <v>4.6612008920044801</v>
      </c>
      <c r="K44" s="150">
        <f>(($E$71/$B$71)-1)*B44</f>
        <v>21.818720595570475</v>
      </c>
      <c r="L44" s="140">
        <f>IF(B44&gt;0,K44/B44*100,0)</f>
        <v>8.5089685815992198</v>
      </c>
      <c r="N44" s="150">
        <f>H44-(K44+Q44)</f>
        <v>-7.007502305023241</v>
      </c>
      <c r="O44" s="140">
        <f>IF(B44&gt;0,N44/B44*100,0)</f>
        <v>-2.7328191260229966</v>
      </c>
      <c r="Q44" s="150">
        <v>-2.8589541674429642</v>
      </c>
      <c r="R44" s="140">
        <f>IF(B44&gt;0,Q44/B44*100,0)</f>
        <v>-1.1149485635717351</v>
      </c>
      <c r="T44" s="150"/>
    </row>
    <row r="45" spans="1:20" x14ac:dyDescent="0.3">
      <c r="A45" s="134" t="str">
        <f t="shared" si="14"/>
        <v>12 Other managers and proprietors</v>
      </c>
      <c r="B45" s="150">
        <v>108.45532958998095</v>
      </c>
      <c r="C45" s="140">
        <f t="shared" si="15"/>
        <v>3.4167854241342548</v>
      </c>
      <c r="E45" s="150">
        <v>157.68053767542241</v>
      </c>
      <c r="F45" s="140">
        <f t="shared" si="16"/>
        <v>4.5780366385549192</v>
      </c>
      <c r="H45" s="150">
        <f t="shared" ref="H45:H71" si="17">E45-B45</f>
        <v>49.225208085441466</v>
      </c>
      <c r="I45" s="140">
        <f t="shared" ref="I45:I71" si="18">IF(B45&gt;0,((E45/B45)-1)*100,0)</f>
        <v>45.387541830852427</v>
      </c>
      <c r="K45" s="150">
        <f t="shared" ref="K45:K68" si="19">(($E$71/$B$71)-1)*B45</f>
        <v>9.2284299198813606</v>
      </c>
      <c r="L45" s="140">
        <f t="shared" ref="L45:L68" si="20">IF(B45&gt;0,K45/B45*100,0)</f>
        <v>8.5089685815992198</v>
      </c>
      <c r="N45" s="150">
        <f t="shared" ref="N45:N68" si="21">H45-(K45+Q45)</f>
        <v>40.087259222414062</v>
      </c>
      <c r="O45" s="140">
        <f t="shared" ref="O45:O68" si="22">IF(B45&gt;0,N45/B45*100,0)</f>
        <v>36.962000276026366</v>
      </c>
      <c r="Q45" s="150">
        <v>-9.0481056853954814E-2</v>
      </c>
      <c r="R45" s="140">
        <f>IF(B45&gt;0,Q45/B45*100,0)</f>
        <v>-8.3427026773162286E-2</v>
      </c>
      <c r="T45" s="150"/>
    </row>
    <row r="46" spans="1:20" x14ac:dyDescent="0.3">
      <c r="A46" s="134" t="str">
        <f t="shared" si="14"/>
        <v>21 Science, research, engineering and technology professionals</v>
      </c>
      <c r="B46" s="150">
        <v>219.28005434285362</v>
      </c>
      <c r="C46" s="140">
        <f t="shared" si="15"/>
        <v>6.9082164639997865</v>
      </c>
      <c r="E46" s="150">
        <v>259.05118497637233</v>
      </c>
      <c r="F46" s="140">
        <f t="shared" si="16"/>
        <v>7.5211933797696142</v>
      </c>
      <c r="H46" s="150">
        <f t="shared" si="17"/>
        <v>39.771130633518709</v>
      </c>
      <c r="I46" s="140">
        <f t="shared" si="18"/>
        <v>18.137140084494362</v>
      </c>
      <c r="K46" s="150">
        <f t="shared" si="19"/>
        <v>18.658470929747107</v>
      </c>
      <c r="L46" s="140">
        <f t="shared" si="20"/>
        <v>8.5089685815992198</v>
      </c>
      <c r="N46" s="150">
        <f t="shared" si="21"/>
        <v>23.92285676972601</v>
      </c>
      <c r="O46" s="140">
        <f t="shared" si="22"/>
        <v>10.909727672869698</v>
      </c>
      <c r="Q46" s="150">
        <v>-2.8101970659544064</v>
      </c>
      <c r="R46" s="140">
        <f t="shared" ref="R46:R68" si="23">IF(B46&gt;0,Q46/B46*100,0)</f>
        <v>-1.281556169974559</v>
      </c>
      <c r="T46" s="150"/>
    </row>
    <row r="47" spans="1:20" x14ac:dyDescent="0.3">
      <c r="A47" s="134" t="str">
        <f t="shared" si="14"/>
        <v>22 Health professionals</v>
      </c>
      <c r="B47" s="150">
        <v>119.29571542032333</v>
      </c>
      <c r="C47" s="140">
        <f t="shared" si="15"/>
        <v>3.7583018109926383</v>
      </c>
      <c r="E47" s="150">
        <v>145.28131543342394</v>
      </c>
      <c r="F47" s="140">
        <f t="shared" si="16"/>
        <v>4.2180423453448075</v>
      </c>
      <c r="H47" s="150">
        <f t="shared" si="17"/>
        <v>25.985600013100608</v>
      </c>
      <c r="I47" s="140">
        <f t="shared" si="18"/>
        <v>21.782509054531964</v>
      </c>
      <c r="K47" s="150">
        <f t="shared" si="19"/>
        <v>10.150834944309327</v>
      </c>
      <c r="L47" s="140">
        <f t="shared" si="20"/>
        <v>8.5089685815992198</v>
      </c>
      <c r="N47" s="150">
        <f t="shared" si="21"/>
        <v>8.2441124411504489</v>
      </c>
      <c r="O47" s="140">
        <f t="shared" si="22"/>
        <v>6.9106525847163605</v>
      </c>
      <c r="Q47" s="150">
        <v>7.5906526276408339</v>
      </c>
      <c r="R47" s="140">
        <f t="shared" si="23"/>
        <v>6.3628878882163802</v>
      </c>
      <c r="T47" s="150"/>
    </row>
    <row r="48" spans="1:20" x14ac:dyDescent="0.3">
      <c r="A48" s="134" t="str">
        <f t="shared" si="14"/>
        <v>23 Teaching and other educational professionals</v>
      </c>
      <c r="B48" s="150">
        <v>150.97859691014554</v>
      </c>
      <c r="C48" s="140">
        <f t="shared" si="15"/>
        <v>4.7564418570213016</v>
      </c>
      <c r="E48" s="150">
        <v>169.79821578021685</v>
      </c>
      <c r="F48" s="140">
        <f t="shared" si="16"/>
        <v>4.9298566865823847</v>
      </c>
      <c r="H48" s="150">
        <f t="shared" si="17"/>
        <v>18.819618870071309</v>
      </c>
      <c r="I48" s="140">
        <f t="shared" si="18"/>
        <v>12.465090585834337</v>
      </c>
      <c r="K48" s="150">
        <f t="shared" si="19"/>
        <v>12.846721376023613</v>
      </c>
      <c r="L48" s="140">
        <f t="shared" si="20"/>
        <v>8.5089685815992198</v>
      </c>
      <c r="N48" s="150">
        <f t="shared" si="21"/>
        <v>15.056694253742245</v>
      </c>
      <c r="O48" s="140">
        <f t="shared" si="22"/>
        <v>9.9727342563020329</v>
      </c>
      <c r="Q48" s="150">
        <v>-9.0837967596945486</v>
      </c>
      <c r="R48" s="140">
        <f t="shared" si="23"/>
        <v>-6.0166122520669223</v>
      </c>
      <c r="T48" s="150"/>
    </row>
    <row r="49" spans="1:20" x14ac:dyDescent="0.3">
      <c r="A49" s="134" t="str">
        <f t="shared" si="14"/>
        <v>24 Business, media and public service professionals</v>
      </c>
      <c r="B49" s="150">
        <v>215.262818884013</v>
      </c>
      <c r="C49" s="140">
        <f t="shared" si="15"/>
        <v>6.7816571550845524</v>
      </c>
      <c r="E49" s="150">
        <v>277.19455512326959</v>
      </c>
      <c r="F49" s="140">
        <f t="shared" si="16"/>
        <v>8.0479610741463059</v>
      </c>
      <c r="H49" s="150">
        <f t="shared" si="17"/>
        <v>61.931736239256594</v>
      </c>
      <c r="I49" s="140">
        <f t="shared" si="18"/>
        <v>28.770289528089087</v>
      </c>
      <c r="K49" s="150">
        <f t="shared" si="19"/>
        <v>18.316645626705498</v>
      </c>
      <c r="L49" s="140">
        <f t="shared" si="20"/>
        <v>8.5089685815992198</v>
      </c>
      <c r="N49" s="150">
        <f t="shared" si="21"/>
        <v>43.938855671954812</v>
      </c>
      <c r="O49" s="140">
        <f t="shared" si="22"/>
        <v>20.411725489681412</v>
      </c>
      <c r="Q49" s="150">
        <v>-0.3237650594037158</v>
      </c>
      <c r="R49" s="140">
        <f t="shared" si="23"/>
        <v>-0.15040454319153254</v>
      </c>
      <c r="T49" s="150"/>
    </row>
    <row r="50" spans="1:20" x14ac:dyDescent="0.3">
      <c r="A50" s="134" t="str">
        <f t="shared" si="14"/>
        <v>31 Science, engineering and technology associate professionals</v>
      </c>
      <c r="B50" s="150">
        <v>66.661989893571118</v>
      </c>
      <c r="C50" s="140">
        <f t="shared" si="15"/>
        <v>2.100124689798371</v>
      </c>
      <c r="E50" s="150">
        <v>64.377093001295108</v>
      </c>
      <c r="F50" s="140">
        <f t="shared" si="16"/>
        <v>1.8690999839831499</v>
      </c>
      <c r="H50" s="150">
        <f t="shared" si="17"/>
        <v>-2.2848968922760093</v>
      </c>
      <c r="I50" s="140">
        <f t="shared" si="18"/>
        <v>-3.4275857890290307</v>
      </c>
      <c r="K50" s="150">
        <f t="shared" si="19"/>
        <v>5.6722477759128127</v>
      </c>
      <c r="L50" s="140">
        <f t="shared" si="20"/>
        <v>8.5089685815992198</v>
      </c>
      <c r="N50" s="150">
        <f t="shared" si="21"/>
        <v>-7.3552387383547249</v>
      </c>
      <c r="O50" s="140">
        <f t="shared" si="22"/>
        <v>-11.033632134440776</v>
      </c>
      <c r="Q50" s="150">
        <v>-0.60190592983409741</v>
      </c>
      <c r="R50" s="140">
        <f t="shared" si="23"/>
        <v>-0.9029222361874697</v>
      </c>
      <c r="T50" s="150"/>
    </row>
    <row r="51" spans="1:20" x14ac:dyDescent="0.3">
      <c r="A51" s="134" t="str">
        <f t="shared" si="14"/>
        <v>32 Health and social care associate professionals</v>
      </c>
      <c r="B51" s="150">
        <v>52.293649494333124</v>
      </c>
      <c r="C51" s="140">
        <f t="shared" si="15"/>
        <v>1.647463338523929</v>
      </c>
      <c r="E51" s="150">
        <v>60.069127651335592</v>
      </c>
      <c r="F51" s="140">
        <f t="shared" si="16"/>
        <v>1.744024159785134</v>
      </c>
      <c r="H51" s="150">
        <f t="shared" si="17"/>
        <v>7.7754781570024676</v>
      </c>
      <c r="I51" s="140">
        <f t="shared" si="18"/>
        <v>14.868876493014827</v>
      </c>
      <c r="K51" s="150">
        <f t="shared" si="19"/>
        <v>4.4496502056444243</v>
      </c>
      <c r="L51" s="140">
        <f t="shared" si="20"/>
        <v>8.5089685815992198</v>
      </c>
      <c r="N51" s="150">
        <f t="shared" si="21"/>
        <v>0.29117792554575495</v>
      </c>
      <c r="O51" s="140">
        <f t="shared" si="22"/>
        <v>0.55681316634309275</v>
      </c>
      <c r="Q51" s="150">
        <v>3.0346500258122884</v>
      </c>
      <c r="R51" s="140">
        <f t="shared" si="23"/>
        <v>5.8030947450725208</v>
      </c>
      <c r="T51" s="150"/>
    </row>
    <row r="52" spans="1:20" x14ac:dyDescent="0.3">
      <c r="A52" s="134" t="str">
        <f t="shared" si="14"/>
        <v>33 Protective service occupations</v>
      </c>
      <c r="B52" s="150">
        <v>31.864429233105461</v>
      </c>
      <c r="C52" s="140">
        <f t="shared" si="15"/>
        <v>1.0038595407310433</v>
      </c>
      <c r="E52" s="150">
        <v>47.091997779470525</v>
      </c>
      <c r="F52" s="140">
        <f t="shared" si="16"/>
        <v>1.3672511166910277</v>
      </c>
      <c r="H52" s="150">
        <f t="shared" si="17"/>
        <v>15.227568546365063</v>
      </c>
      <c r="I52" s="140">
        <f t="shared" si="18"/>
        <v>47.788612295444551</v>
      </c>
      <c r="K52" s="150">
        <f t="shared" si="19"/>
        <v>2.7113342721508604</v>
      </c>
      <c r="L52" s="140">
        <f t="shared" si="20"/>
        <v>8.5089685815992198</v>
      </c>
      <c r="N52" s="150">
        <f t="shared" si="21"/>
        <v>12.023947111416174</v>
      </c>
      <c r="O52" s="140">
        <f t="shared" si="22"/>
        <v>37.734701046908839</v>
      </c>
      <c r="Q52" s="150">
        <v>0.49228716279802892</v>
      </c>
      <c r="R52" s="140">
        <f t="shared" si="23"/>
        <v>1.5449426669364865</v>
      </c>
      <c r="T52" s="150"/>
    </row>
    <row r="53" spans="1:20" x14ac:dyDescent="0.3">
      <c r="A53" s="134" t="str">
        <f t="shared" si="14"/>
        <v>34 Culture, media and sports occupations</v>
      </c>
      <c r="B53" s="150">
        <v>72.766048539117293</v>
      </c>
      <c r="C53" s="140">
        <f t="shared" si="15"/>
        <v>2.2924274441859205</v>
      </c>
      <c r="E53" s="150">
        <v>76.224056380442065</v>
      </c>
      <c r="F53" s="140">
        <f t="shared" si="16"/>
        <v>2.2130602038359952</v>
      </c>
      <c r="H53" s="150">
        <f t="shared" si="17"/>
        <v>3.4580078413247719</v>
      </c>
      <c r="I53" s="140">
        <f t="shared" si="18"/>
        <v>4.7522270492203811</v>
      </c>
      <c r="K53" s="150">
        <f t="shared" si="19"/>
        <v>6.1916402082647277</v>
      </c>
      <c r="L53" s="140">
        <f t="shared" si="20"/>
        <v>8.5089685815992198</v>
      </c>
      <c r="N53" s="150">
        <f t="shared" si="21"/>
        <v>1.8048446342870701</v>
      </c>
      <c r="O53" s="140">
        <f t="shared" si="22"/>
        <v>2.4803389362510577</v>
      </c>
      <c r="Q53" s="150">
        <v>-4.5384770012270259</v>
      </c>
      <c r="R53" s="140">
        <f t="shared" si="23"/>
        <v>-6.2370804686298849</v>
      </c>
      <c r="T53" s="150"/>
    </row>
    <row r="54" spans="1:20" x14ac:dyDescent="0.3">
      <c r="A54" s="134" t="str">
        <f t="shared" si="14"/>
        <v>35 Business and public service associate professionals</v>
      </c>
      <c r="B54" s="150">
        <v>201.30044972390519</v>
      </c>
      <c r="C54" s="140">
        <f t="shared" si="15"/>
        <v>6.3417855543712109</v>
      </c>
      <c r="E54" s="150">
        <v>207.25099940186306</v>
      </c>
      <c r="F54" s="140">
        <f t="shared" si="16"/>
        <v>6.0172465329355749</v>
      </c>
      <c r="H54" s="150">
        <f t="shared" si="17"/>
        <v>5.9505496779578664</v>
      </c>
      <c r="I54" s="140">
        <f t="shared" si="18"/>
        <v>2.9560538419657778</v>
      </c>
      <c r="K54" s="150">
        <f t="shared" si="19"/>
        <v>17.128592021625025</v>
      </c>
      <c r="L54" s="140">
        <f t="shared" si="20"/>
        <v>8.5089685815992198</v>
      </c>
      <c r="N54" s="150">
        <f t="shared" si="21"/>
        <v>-8.2179729070815135</v>
      </c>
      <c r="O54" s="140">
        <f t="shared" si="22"/>
        <v>-4.0824414045537019</v>
      </c>
      <c r="Q54" s="150">
        <v>-2.9600694365856448</v>
      </c>
      <c r="R54" s="140">
        <f t="shared" si="23"/>
        <v>-1.4704733350797503</v>
      </c>
      <c r="T54" s="150"/>
    </row>
    <row r="55" spans="1:20" x14ac:dyDescent="0.3">
      <c r="A55" s="134" t="str">
        <f t="shared" si="14"/>
        <v>41 Administrative occupations</v>
      </c>
      <c r="B55" s="150">
        <v>261.75573790944139</v>
      </c>
      <c r="C55" s="140">
        <f t="shared" si="15"/>
        <v>8.2463738144880097</v>
      </c>
      <c r="E55" s="150">
        <v>227.65142269680504</v>
      </c>
      <c r="F55" s="140">
        <f t="shared" si="16"/>
        <v>6.6095446482459144</v>
      </c>
      <c r="H55" s="150">
        <f t="shared" si="17"/>
        <v>-34.104315212636351</v>
      </c>
      <c r="I55" s="140">
        <f t="shared" si="18"/>
        <v>-13.029061171692558</v>
      </c>
      <c r="K55" s="150">
        <f t="shared" si="19"/>
        <v>22.272713499247565</v>
      </c>
      <c r="L55" s="140">
        <f t="shared" si="20"/>
        <v>8.5089685815992198</v>
      </c>
      <c r="N55" s="150">
        <f t="shared" si="21"/>
        <v>-56.597079206389651</v>
      </c>
      <c r="O55" s="140">
        <f t="shared" si="22"/>
        <v>-21.622096867259629</v>
      </c>
      <c r="Q55" s="150">
        <v>0.22005049450573805</v>
      </c>
      <c r="R55" s="140">
        <f t="shared" si="23"/>
        <v>8.4067113967858098E-2</v>
      </c>
      <c r="T55" s="150"/>
    </row>
    <row r="56" spans="1:20" x14ac:dyDescent="0.3">
      <c r="A56" s="134" t="str">
        <f t="shared" si="14"/>
        <v>42 Secretarial and related occupations</v>
      </c>
      <c r="B56" s="150">
        <v>68.954741530614868</v>
      </c>
      <c r="C56" s="140">
        <f t="shared" si="15"/>
        <v>2.172355721728541</v>
      </c>
      <c r="E56" s="150">
        <v>52.703380501883423</v>
      </c>
      <c r="F56" s="140">
        <f t="shared" si="16"/>
        <v>1.5301698641463419</v>
      </c>
      <c r="H56" s="150">
        <f t="shared" si="17"/>
        <v>-16.251361028731445</v>
      </c>
      <c r="I56" s="140">
        <f t="shared" si="18"/>
        <v>-23.568155964323477</v>
      </c>
      <c r="K56" s="150">
        <f t="shared" si="19"/>
        <v>5.8673372923629676</v>
      </c>
      <c r="L56" s="140">
        <f t="shared" si="20"/>
        <v>8.5089685815992198</v>
      </c>
      <c r="N56" s="150">
        <f t="shared" si="21"/>
        <v>-23.82643228652362</v>
      </c>
      <c r="O56" s="140">
        <f t="shared" si="22"/>
        <v>-34.55372575930118</v>
      </c>
      <c r="Q56" s="150">
        <v>1.7077339654292047</v>
      </c>
      <c r="R56" s="140">
        <f t="shared" si="23"/>
        <v>2.4766012133784834</v>
      </c>
      <c r="T56" s="150"/>
    </row>
    <row r="57" spans="1:20" x14ac:dyDescent="0.3">
      <c r="A57" s="134" t="str">
        <f t="shared" si="14"/>
        <v>51 Skilled agricultural and related trades</v>
      </c>
      <c r="B57" s="150">
        <v>27.701459442035809</v>
      </c>
      <c r="C57" s="140">
        <f t="shared" si="15"/>
        <v>0.87270900569498522</v>
      </c>
      <c r="E57" s="150">
        <v>34.324848177096435</v>
      </c>
      <c r="F57" s="140">
        <f t="shared" si="16"/>
        <v>0.99657456071749506</v>
      </c>
      <c r="H57" s="150">
        <f t="shared" si="17"/>
        <v>6.623388735060626</v>
      </c>
      <c r="I57" s="140">
        <f t="shared" si="18"/>
        <v>23.909890917190847</v>
      </c>
      <c r="K57" s="150">
        <f t="shared" si="19"/>
        <v>2.3571084805672773</v>
      </c>
      <c r="L57" s="140">
        <f t="shared" si="20"/>
        <v>8.5089685815992198</v>
      </c>
      <c r="N57" s="150">
        <f t="shared" si="21"/>
        <v>5.3985160210964844</v>
      </c>
      <c r="O57" s="140">
        <f t="shared" si="22"/>
        <v>19.488200729613766</v>
      </c>
      <c r="Q57" s="150">
        <v>-1.1322357666031357</v>
      </c>
      <c r="R57" s="140">
        <f t="shared" si="23"/>
        <v>-4.0872783940221407</v>
      </c>
      <c r="T57" s="150"/>
    </row>
    <row r="58" spans="1:20" x14ac:dyDescent="0.3">
      <c r="A58" s="134" t="str">
        <f t="shared" si="14"/>
        <v>52 Skilled metal, electrical and electronic trades</v>
      </c>
      <c r="B58" s="150">
        <v>100.42539928195286</v>
      </c>
      <c r="C58" s="140">
        <f t="shared" si="15"/>
        <v>3.1638098540354034</v>
      </c>
      <c r="E58" s="150">
        <v>99.69259873414488</v>
      </c>
      <c r="F58" s="140">
        <f t="shared" si="16"/>
        <v>2.8944369186331569</v>
      </c>
      <c r="H58" s="150">
        <f t="shared" si="17"/>
        <v>-0.73280054780798309</v>
      </c>
      <c r="I58" s="140">
        <f t="shared" si="18"/>
        <v>-0.72969642445790406</v>
      </c>
      <c r="K58" s="150">
        <f t="shared" si="19"/>
        <v>8.5451656728469363</v>
      </c>
      <c r="L58" s="140">
        <f t="shared" si="20"/>
        <v>8.5089685815992198</v>
      </c>
      <c r="N58" s="150">
        <f t="shared" si="21"/>
        <v>-7.9755482292539774</v>
      </c>
      <c r="O58" s="140">
        <f t="shared" si="22"/>
        <v>-7.9417640221294477</v>
      </c>
      <c r="Q58" s="150">
        <v>-1.3024179914009419</v>
      </c>
      <c r="R58" s="140">
        <f t="shared" si="23"/>
        <v>-1.2969009839276739</v>
      </c>
      <c r="T58" s="150"/>
    </row>
    <row r="59" spans="1:20" x14ac:dyDescent="0.3">
      <c r="A59" s="134" t="str">
        <f t="shared" si="14"/>
        <v>53 Skilled construction and building trades</v>
      </c>
      <c r="B59" s="150">
        <v>82.52660532338669</v>
      </c>
      <c r="C59" s="140">
        <f t="shared" si="15"/>
        <v>2.5999248099493752</v>
      </c>
      <c r="E59" s="150">
        <v>80.451774167755275</v>
      </c>
      <c r="F59" s="140">
        <f t="shared" si="16"/>
        <v>2.3358061508826169</v>
      </c>
      <c r="H59" s="150">
        <f t="shared" si="17"/>
        <v>-2.074831155631415</v>
      </c>
      <c r="I59" s="140">
        <f t="shared" si="18"/>
        <v>-2.5141360746646857</v>
      </c>
      <c r="K59" s="150">
        <f t="shared" si="19"/>
        <v>7.0221629184273615</v>
      </c>
      <c r="L59" s="140">
        <f t="shared" si="20"/>
        <v>8.5089685815992198</v>
      </c>
      <c r="N59" s="150">
        <f t="shared" si="21"/>
        <v>-14.734917370956452</v>
      </c>
      <c r="O59" s="140">
        <f t="shared" si="22"/>
        <v>-17.854747948514994</v>
      </c>
      <c r="Q59" s="150">
        <v>5.637923296897676</v>
      </c>
      <c r="R59" s="140">
        <f t="shared" si="23"/>
        <v>6.8316432922510888</v>
      </c>
      <c r="T59" s="150"/>
    </row>
    <row r="60" spans="1:20" x14ac:dyDescent="0.3">
      <c r="A60" s="134" t="str">
        <f t="shared" si="14"/>
        <v>54 Textiles, printing and other skilled trades</v>
      </c>
      <c r="B60" s="150">
        <v>60.813130058863692</v>
      </c>
      <c r="C60" s="140">
        <f t="shared" si="15"/>
        <v>1.9158617392676416</v>
      </c>
      <c r="E60" s="150">
        <v>63.173205220636099</v>
      </c>
      <c r="F60" s="140">
        <f t="shared" si="16"/>
        <v>1.8341467649631176</v>
      </c>
      <c r="H60" s="150">
        <f t="shared" si="17"/>
        <v>2.3600751617724072</v>
      </c>
      <c r="I60" s="140">
        <f t="shared" si="18"/>
        <v>3.8808644769443568</v>
      </c>
      <c r="K60" s="150">
        <f t="shared" si="19"/>
        <v>5.1745701301957823</v>
      </c>
      <c r="L60" s="140">
        <f t="shared" si="20"/>
        <v>8.5089685815992198</v>
      </c>
      <c r="N60" s="150">
        <f t="shared" si="21"/>
        <v>-2.7878363095709862</v>
      </c>
      <c r="O60" s="140">
        <f t="shared" si="22"/>
        <v>-4.5842670930973579</v>
      </c>
      <c r="Q60" s="150">
        <v>-2.6658658852388922E-2</v>
      </c>
      <c r="R60" s="140">
        <f t="shared" si="23"/>
        <v>-4.3837011557512066E-2</v>
      </c>
      <c r="T60" s="150"/>
    </row>
    <row r="61" spans="1:20" x14ac:dyDescent="0.3">
      <c r="A61" s="134" t="str">
        <f t="shared" si="14"/>
        <v>61 Caring personal service occupations</v>
      </c>
      <c r="B61" s="150">
        <v>223.65609032128737</v>
      </c>
      <c r="C61" s="140">
        <f t="shared" si="15"/>
        <v>7.0460794533348983</v>
      </c>
      <c r="E61" s="150">
        <v>274.63381510722382</v>
      </c>
      <c r="F61" s="140">
        <f t="shared" si="16"/>
        <v>7.9736135244226807</v>
      </c>
      <c r="H61" s="150">
        <f t="shared" si="17"/>
        <v>50.977724785936459</v>
      </c>
      <c r="I61" s="140">
        <f t="shared" si="18"/>
        <v>22.792907053282452</v>
      </c>
      <c r="K61" s="150">
        <f t="shared" si="19"/>
        <v>19.030826456271512</v>
      </c>
      <c r="L61" s="140">
        <f t="shared" si="20"/>
        <v>8.5089685815992198</v>
      </c>
      <c r="N61" s="150">
        <f t="shared" si="21"/>
        <v>22.349080347500291</v>
      </c>
      <c r="O61" s="140">
        <f t="shared" si="22"/>
        <v>9.9926097766420305</v>
      </c>
      <c r="Q61" s="150">
        <v>9.5978179821646545</v>
      </c>
      <c r="R61" s="140">
        <f t="shared" si="23"/>
        <v>4.2913286950411935</v>
      </c>
      <c r="T61" s="150"/>
    </row>
    <row r="62" spans="1:20" x14ac:dyDescent="0.3">
      <c r="A62" s="134" t="str">
        <f t="shared" si="14"/>
        <v>62 Leisure, travel and related personal service occupations</v>
      </c>
      <c r="B62" s="150">
        <v>72.441128106543133</v>
      </c>
      <c r="C62" s="140">
        <f t="shared" si="15"/>
        <v>2.2821911247517361</v>
      </c>
      <c r="E62" s="150">
        <v>75.857817785706203</v>
      </c>
      <c r="F62" s="140">
        <f t="shared" si="16"/>
        <v>2.2024269720505676</v>
      </c>
      <c r="H62" s="150">
        <f t="shared" si="17"/>
        <v>3.4166896791630705</v>
      </c>
      <c r="I62" s="140">
        <f t="shared" si="18"/>
        <v>4.7165053450547667</v>
      </c>
      <c r="K62" s="150">
        <f t="shared" si="19"/>
        <v>6.1639928307417966</v>
      </c>
      <c r="L62" s="140">
        <f t="shared" si="20"/>
        <v>8.5089685815992198</v>
      </c>
      <c r="N62" s="150">
        <f t="shared" si="21"/>
        <v>-1.2026495977193932</v>
      </c>
      <c r="O62" s="140">
        <f t="shared" si="22"/>
        <v>-1.6601751369064695</v>
      </c>
      <c r="Q62" s="150">
        <v>-1.5446535538593329</v>
      </c>
      <c r="R62" s="140">
        <f t="shared" si="23"/>
        <v>-2.1322880996379934</v>
      </c>
      <c r="T62" s="150"/>
    </row>
    <row r="63" spans="1:20" x14ac:dyDescent="0.3">
      <c r="A63" s="134" t="str">
        <f t="shared" si="14"/>
        <v>63 Community and civil enforcement occupations</v>
      </c>
      <c r="B63" s="150">
        <v>3.4150609686279489</v>
      </c>
      <c r="C63" s="140">
        <f t="shared" si="15"/>
        <v>0.10758835535562025</v>
      </c>
      <c r="E63" s="150">
        <v>3.0103764029579554</v>
      </c>
      <c r="F63" s="140">
        <f t="shared" si="16"/>
        <v>8.7402121224062906E-2</v>
      </c>
      <c r="H63" s="150">
        <f t="shared" si="17"/>
        <v>-0.40468456566999356</v>
      </c>
      <c r="I63" s="140">
        <f t="shared" si="18"/>
        <v>-11.849995340861563</v>
      </c>
      <c r="K63" s="150">
        <f t="shared" si="19"/>
        <v>0.29058646486301015</v>
      </c>
      <c r="L63" s="140">
        <f t="shared" si="20"/>
        <v>8.5089685815992198</v>
      </c>
      <c r="N63" s="150">
        <f t="shared" si="21"/>
        <v>-0.76848745572818511</v>
      </c>
      <c r="O63" s="140">
        <f t="shared" si="22"/>
        <v>-22.502891245216517</v>
      </c>
      <c r="Q63" s="150">
        <v>7.3216425195181345E-2</v>
      </c>
      <c r="R63" s="140">
        <f t="shared" si="23"/>
        <v>2.1439273227557378</v>
      </c>
      <c r="T63" s="150"/>
    </row>
    <row r="64" spans="1:20" x14ac:dyDescent="0.3">
      <c r="A64" s="134" t="str">
        <f t="shared" si="14"/>
        <v>71 Sales occupations</v>
      </c>
      <c r="B64" s="150">
        <v>194.6954129401295</v>
      </c>
      <c r="C64" s="140">
        <f t="shared" si="15"/>
        <v>6.1336999444339728</v>
      </c>
      <c r="E64" s="150">
        <v>172.17020547805873</v>
      </c>
      <c r="F64" s="140">
        <f t="shared" si="16"/>
        <v>4.9987241315003352</v>
      </c>
      <c r="H64" s="150">
        <f t="shared" si="17"/>
        <v>-22.525207462070767</v>
      </c>
      <c r="I64" s="140">
        <f t="shared" si="18"/>
        <v>-11.569459763799085</v>
      </c>
      <c r="K64" s="150">
        <f t="shared" si="19"/>
        <v>16.56657151689048</v>
      </c>
      <c r="L64" s="140">
        <f t="shared" si="20"/>
        <v>8.5089685815992198</v>
      </c>
      <c r="N64" s="150">
        <f t="shared" si="21"/>
        <v>-30.886977783326174</v>
      </c>
      <c r="O64" s="140">
        <f t="shared" si="22"/>
        <v>-15.864255514239661</v>
      </c>
      <c r="Q64" s="150">
        <v>-8.2048011956350742</v>
      </c>
      <c r="R64" s="140">
        <f t="shared" si="23"/>
        <v>-4.2141728311586473</v>
      </c>
      <c r="T64" s="150"/>
    </row>
    <row r="65" spans="1:20" x14ac:dyDescent="0.3">
      <c r="A65" s="134" t="str">
        <f t="shared" si="14"/>
        <v>72 Customer service occupations</v>
      </c>
      <c r="B65" s="150">
        <v>49.860654752101922</v>
      </c>
      <c r="C65" s="140">
        <f t="shared" si="15"/>
        <v>1.5708140765311942</v>
      </c>
      <c r="E65" s="150">
        <v>73.642352461597412</v>
      </c>
      <c r="F65" s="140">
        <f t="shared" si="16"/>
        <v>2.1381039961478865</v>
      </c>
      <c r="H65" s="150">
        <f t="shared" si="17"/>
        <v>23.781697709495489</v>
      </c>
      <c r="I65" s="140">
        <f t="shared" si="18"/>
        <v>47.696320531155777</v>
      </c>
      <c r="K65" s="150">
        <f t="shared" si="19"/>
        <v>4.2426274474360106</v>
      </c>
      <c r="L65" s="140">
        <f t="shared" si="20"/>
        <v>8.5089685815992198</v>
      </c>
      <c r="N65" s="150">
        <f t="shared" si="21"/>
        <v>20.12938784984776</v>
      </c>
      <c r="O65" s="140">
        <f t="shared" si="22"/>
        <v>40.37128663858789</v>
      </c>
      <c r="Q65" s="150">
        <v>-0.59031758778828169</v>
      </c>
      <c r="R65" s="140">
        <f t="shared" si="23"/>
        <v>-1.1839346890313276</v>
      </c>
      <c r="T65" s="150"/>
    </row>
    <row r="66" spans="1:20" x14ac:dyDescent="0.3">
      <c r="A66" s="134" t="str">
        <f t="shared" si="14"/>
        <v>81 Process, plant and machine operatives</v>
      </c>
      <c r="B66" s="150">
        <v>66.18299631124377</v>
      </c>
      <c r="C66" s="140">
        <f t="shared" si="15"/>
        <v>2.0850344374655698</v>
      </c>
      <c r="E66" s="150">
        <v>82.126425762765933</v>
      </c>
      <c r="F66" s="140">
        <f t="shared" si="16"/>
        <v>2.3844273470796677</v>
      </c>
      <c r="H66" s="150">
        <f t="shared" si="17"/>
        <v>15.943429451522164</v>
      </c>
      <c r="I66" s="140">
        <f t="shared" si="18"/>
        <v>24.08991786431638</v>
      </c>
      <c r="K66" s="150">
        <f t="shared" si="19"/>
        <v>5.6314903624847021</v>
      </c>
      <c r="L66" s="140">
        <f t="shared" si="20"/>
        <v>8.5089685815992198</v>
      </c>
      <c r="N66" s="150">
        <f t="shared" si="21"/>
        <v>12.014347276980564</v>
      </c>
      <c r="O66" s="140">
        <f t="shared" si="22"/>
        <v>18.153223556817807</v>
      </c>
      <c r="Q66" s="150">
        <v>-1.7024081879431021</v>
      </c>
      <c r="R66" s="140">
        <f t="shared" si="23"/>
        <v>-2.5722742741006446</v>
      </c>
      <c r="T66" s="150"/>
    </row>
    <row r="67" spans="1:20" x14ac:dyDescent="0.3">
      <c r="A67" s="134" t="str">
        <f t="shared" si="14"/>
        <v>82 Transport and mobile machine drivers and operatives</v>
      </c>
      <c r="B67" s="150">
        <v>115.43320624120283</v>
      </c>
      <c r="C67" s="140">
        <f t="shared" si="15"/>
        <v>3.6366170112350158</v>
      </c>
      <c r="E67" s="150">
        <v>132.52018950559264</v>
      </c>
      <c r="F67" s="140">
        <f t="shared" si="16"/>
        <v>3.8475406784423183</v>
      </c>
      <c r="H67" s="150">
        <f t="shared" si="17"/>
        <v>17.086983264389815</v>
      </c>
      <c r="I67" s="140">
        <f t="shared" si="18"/>
        <v>14.802485195365534</v>
      </c>
      <c r="K67" s="150">
        <f t="shared" si="19"/>
        <v>9.8221752517965761</v>
      </c>
      <c r="L67" s="140">
        <f t="shared" si="20"/>
        <v>8.508968581599218</v>
      </c>
      <c r="N67" s="150">
        <f t="shared" si="21"/>
        <v>5.3998440495711844</v>
      </c>
      <c r="O67" s="140">
        <f t="shared" si="22"/>
        <v>4.6778948843264123</v>
      </c>
      <c r="Q67" s="150">
        <v>1.8649639630220545</v>
      </c>
      <c r="R67" s="140">
        <f t="shared" si="23"/>
        <v>1.6156217294399058</v>
      </c>
      <c r="T67" s="150"/>
    </row>
    <row r="68" spans="1:20" x14ac:dyDescent="0.3">
      <c r="A68" s="134" t="str">
        <f t="shared" si="14"/>
        <v>91 Elementary trades and related occupations</v>
      </c>
      <c r="B68" s="150">
        <v>43.984729492292018</v>
      </c>
      <c r="C68" s="140">
        <f t="shared" si="15"/>
        <v>1.3856984546717457</v>
      </c>
      <c r="E68" s="150">
        <v>38.185707998463144</v>
      </c>
      <c r="F68" s="140">
        <f t="shared" si="16"/>
        <v>1.1086692933910025</v>
      </c>
      <c r="H68" s="150">
        <f t="shared" si="17"/>
        <v>-5.7990214938288744</v>
      </c>
      <c r="I68" s="140">
        <f t="shared" si="18"/>
        <v>-13.184169962543724</v>
      </c>
      <c r="K68" s="150">
        <f t="shared" si="19"/>
        <v>3.7426468132005333</v>
      </c>
      <c r="L68" s="140">
        <f t="shared" si="20"/>
        <v>8.5089685815992198</v>
      </c>
      <c r="N68" s="150">
        <f t="shared" si="21"/>
        <v>-9.4188455447884589</v>
      </c>
      <c r="O68" s="140">
        <f t="shared" si="22"/>
        <v>-21.413898990646373</v>
      </c>
      <c r="Q68" s="150">
        <v>-0.12282276224094887</v>
      </c>
      <c r="R68" s="140">
        <f t="shared" si="23"/>
        <v>-0.27923955349656659</v>
      </c>
      <c r="T68" s="150"/>
    </row>
    <row r="69" spans="1:20" x14ac:dyDescent="0.3">
      <c r="A69" s="134" t="str">
        <f t="shared" si="14"/>
        <v>92 Elementary administration and service occupations</v>
      </c>
      <c r="B69" s="150">
        <v>307.76629076952287</v>
      </c>
      <c r="C69" s="140">
        <f t="shared" si="15"/>
        <v>9.6958939714320351</v>
      </c>
      <c r="E69" s="150">
        <v>301.7472581531934</v>
      </c>
      <c r="F69" s="140">
        <f t="shared" si="16"/>
        <v>8.7608148968414437</v>
      </c>
      <c r="H69" s="150">
        <f t="shared" ref="H69" si="24">E69-B69</f>
        <v>-6.0190326163294685</v>
      </c>
      <c r="I69" s="140">
        <f t="shared" ref="I69" si="25">IF(B69&gt;0,((E69/B69)-1)*100,0)</f>
        <v>-1.9557153583258935</v>
      </c>
      <c r="K69" s="150">
        <f t="shared" ref="K69" si="26">(($E$71/$B$71)-1)*B69</f>
        <v>26.187736986331998</v>
      </c>
      <c r="L69" s="140">
        <f t="shared" ref="L69" si="27">IF(B69&gt;0,K69/B69*100,0)</f>
        <v>8.5089685815992198</v>
      </c>
      <c r="N69" s="150">
        <f t="shared" ref="N69" si="28">H69-(K69+Q69)</f>
        <v>-39.881435840465393</v>
      </c>
      <c r="O69" s="140">
        <f t="shared" ref="O69" si="29">IF(B69&gt;0,N69/B69*100,0)</f>
        <v>-12.958350877462218</v>
      </c>
      <c r="Q69" s="150">
        <v>7.674666237803927</v>
      </c>
      <c r="R69" s="140">
        <f t="shared" ref="R69" si="30">IF(B69&gt;0,Q69/B69*100,0)</f>
        <v>2.493666937537113</v>
      </c>
      <c r="T69" s="150"/>
    </row>
    <row r="70" spans="1:20" x14ac:dyDescent="0.3">
      <c r="A70" s="134"/>
      <c r="B70" s="150"/>
      <c r="C70" s="140"/>
      <c r="E70" s="150"/>
      <c r="F70" s="140"/>
      <c r="H70" s="150"/>
      <c r="I70" s="140"/>
      <c r="K70" s="150"/>
      <c r="L70" s="140"/>
      <c r="N70" s="150"/>
      <c r="O70" s="140"/>
      <c r="Q70" s="150"/>
      <c r="R70" s="140"/>
      <c r="T70" s="150"/>
    </row>
    <row r="71" spans="1:20" x14ac:dyDescent="0.3">
      <c r="A71" s="148" t="str">
        <f>name!$D$3</f>
        <v>All occupations</v>
      </c>
      <c r="B71" s="151">
        <f>SUM(B44:B69)</f>
        <v>3174.1919999984007</v>
      </c>
      <c r="C71" s="146">
        <f>B71/B$71*100</f>
        <v>100</v>
      </c>
      <c r="D71" s="144"/>
      <c r="E71" s="151">
        <f>SUM(E44:E69)</f>
        <v>3444.2829999979003</v>
      </c>
      <c r="F71" s="146">
        <f>E71/E$71*100</f>
        <v>100</v>
      </c>
      <c r="G71" s="144"/>
      <c r="H71" s="151">
        <f t="shared" si="17"/>
        <v>270.09099999949967</v>
      </c>
      <c r="I71" s="146">
        <f t="shared" si="18"/>
        <v>8.5089685815992198</v>
      </c>
      <c r="J71" s="144"/>
      <c r="K71" s="144"/>
      <c r="L71" s="144"/>
      <c r="M71" s="144"/>
      <c r="N71" s="144"/>
      <c r="O71" s="144"/>
      <c r="P71" s="144"/>
      <c r="Q71" s="144"/>
      <c r="R71" s="144"/>
    </row>
    <row r="78" spans="1:20" x14ac:dyDescent="0.3">
      <c r="T78" s="150"/>
    </row>
    <row r="79" spans="1:20" x14ac:dyDescent="0.3">
      <c r="T79" s="150"/>
    </row>
    <row r="80" spans="1:20" x14ac:dyDescent="0.3">
      <c r="T80" s="150"/>
    </row>
    <row r="81" spans="20:20" x14ac:dyDescent="0.3">
      <c r="T81" s="150"/>
    </row>
    <row r="82" spans="20:20" x14ac:dyDescent="0.3">
      <c r="T82" s="150"/>
    </row>
    <row r="83" spans="20:20" x14ac:dyDescent="0.3">
      <c r="T83" s="150"/>
    </row>
    <row r="84" spans="20:20" x14ac:dyDescent="0.3">
      <c r="T84" s="150"/>
    </row>
    <row r="85" spans="20:20" x14ac:dyDescent="0.3">
      <c r="T85" s="150"/>
    </row>
    <row r="86" spans="20:20" x14ac:dyDescent="0.3">
      <c r="T86" s="150"/>
    </row>
    <row r="87" spans="20:20" x14ac:dyDescent="0.3">
      <c r="T87" s="150"/>
    </row>
    <row r="88" spans="20:20" x14ac:dyDescent="0.3">
      <c r="T88" s="150"/>
    </row>
    <row r="89" spans="20:20" x14ac:dyDescent="0.3">
      <c r="T89" s="150"/>
    </row>
    <row r="90" spans="20:20" x14ac:dyDescent="0.3">
      <c r="T90" s="150"/>
    </row>
    <row r="91" spans="20:20" x14ac:dyDescent="0.3">
      <c r="T91" s="150"/>
    </row>
    <row r="92" spans="20:20" x14ac:dyDescent="0.3">
      <c r="T92" s="150"/>
    </row>
    <row r="93" spans="20:20" x14ac:dyDescent="0.3">
      <c r="T93" s="150"/>
    </row>
    <row r="94" spans="20:20" x14ac:dyDescent="0.3">
      <c r="T94" s="150"/>
    </row>
    <row r="95" spans="20:20" x14ac:dyDescent="0.3">
      <c r="T95" s="150"/>
    </row>
    <row r="96" spans="20:20" x14ac:dyDescent="0.3">
      <c r="T96" s="150"/>
    </row>
    <row r="97" spans="20:20" x14ac:dyDescent="0.3">
      <c r="T97" s="150"/>
    </row>
    <row r="98" spans="20:20" x14ac:dyDescent="0.3">
      <c r="T98" s="150"/>
    </row>
    <row r="99" spans="20:20" x14ac:dyDescent="0.3">
      <c r="T99" s="150"/>
    </row>
    <row r="100" spans="20:20" x14ac:dyDescent="0.3">
      <c r="T100" s="150"/>
    </row>
    <row r="101" spans="20:20" x14ac:dyDescent="0.3">
      <c r="T101" s="150"/>
    </row>
    <row r="102" spans="20:20" x14ac:dyDescent="0.3">
      <c r="T102" s="150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2" manualBreakCount="2">
    <brk id="71" max="16383" man="1"/>
    <brk id="144" max="16383" man="1"/>
  </rowBreaks>
  <colBreaks count="1" manualBreakCount="1">
    <brk id="1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8"/>
  <dimension ref="A1:AD294"/>
  <sheetViews>
    <sheetView showGridLines="0" tabSelected="1" zoomScale="85" zoomScaleNormal="85" workbookViewId="0">
      <selection activeCell="E7" sqref="E7"/>
    </sheetView>
  </sheetViews>
  <sheetFormatPr defaultColWidth="9.15234375" defaultRowHeight="12.45" x14ac:dyDescent="0.3"/>
  <cols>
    <col min="1" max="1" width="40.84375" customWidth="1"/>
    <col min="2" max="3" width="9.69140625" customWidth="1"/>
    <col min="4" max="7" width="11.69140625" customWidth="1"/>
    <col min="8" max="8" width="7.69140625" customWidth="1"/>
    <col min="9" max="9" width="47" customWidth="1"/>
    <col min="10" max="14" width="11.69140625" customWidth="1"/>
    <col min="15" max="15" width="7.69140625" customWidth="1"/>
    <col min="16" max="16" width="53.53515625" customWidth="1"/>
    <col min="17" max="21" width="11.69140625" customWidth="1"/>
    <col min="22" max="22" width="11.84375" customWidth="1"/>
    <col min="23" max="23" width="5.4609375" customWidth="1"/>
    <col min="24" max="24" width="32.23046875" customWidth="1"/>
    <col min="25" max="29" width="11.69140625" customWidth="1"/>
    <col min="30" max="30" width="11.84375" customWidth="1"/>
  </cols>
  <sheetData>
    <row r="1" spans="1:30" ht="21" customHeight="1" x14ac:dyDescent="0.3">
      <c r="A1" s="379" t="str">
        <f>CONCATENATE("Replacement Demand Table 1  Replacement Demand by Occupation and Qualification, ",$B$6,"-",$C$6,", ",Info!B5)</f>
        <v>Replacement Demand Table 1  Replacement Demand by Occupation and Qualification, 2020-2035, East</v>
      </c>
      <c r="B1" s="379"/>
      <c r="C1" s="379"/>
      <c r="D1" s="379"/>
      <c r="E1" s="379"/>
      <c r="F1" s="379"/>
      <c r="G1" s="379"/>
      <c r="I1" s="379" t="str">
        <f>CONCATENATE("Replacement Demand Table 1.1  Replacement Demand by Occupation Group and Qualification, ",$B$6,"-",$C$6,", ",Info!B5)</f>
        <v>Replacement Demand Table 1.1  Replacement Demand by Occupation Group and Qualification, 2020-2035, East</v>
      </c>
      <c r="J1" s="379"/>
      <c r="K1" s="379"/>
      <c r="L1" s="379"/>
      <c r="M1" s="379"/>
      <c r="N1" s="379"/>
      <c r="P1" s="379" t="str">
        <f>CONCATENATE("Replacement Demand Table 1.2  Replacement Demand by Occupation and Gender, ",$B$6,"-",$C$6,", ",Info!B5)</f>
        <v>Replacement Demand Table 1.2  Replacement Demand by Occupation and Gender, 2020-2035, East</v>
      </c>
      <c r="Q1" s="379"/>
      <c r="R1" s="379"/>
      <c r="S1" s="379"/>
      <c r="T1" s="379"/>
      <c r="U1" s="379"/>
      <c r="V1" s="379"/>
      <c r="W1" s="89"/>
      <c r="X1" s="379" t="str">
        <f>CONCATENATE("Replacement Demand Table 1.3  Replacement Demand by Industry, ",$B$6,"-",$C$6,", ",Info!B5)</f>
        <v>Replacement Demand Table 1.3  Replacement Demand by Industry, 2020-2035, East</v>
      </c>
      <c r="Y1" s="379"/>
      <c r="Z1" s="379"/>
      <c r="AA1" s="379"/>
      <c r="AB1" s="379"/>
      <c r="AC1" s="379"/>
      <c r="AD1" s="379"/>
    </row>
    <row r="2" spans="1:30" ht="14.25" customHeight="1" x14ac:dyDescent="0.3">
      <c r="A2" s="379"/>
      <c r="B2" s="379"/>
      <c r="C2" s="379"/>
      <c r="D2" s="379"/>
      <c r="E2" s="379"/>
      <c r="F2" s="379"/>
      <c r="G2" s="379"/>
      <c r="I2" s="379"/>
      <c r="J2" s="379"/>
      <c r="K2" s="379"/>
      <c r="L2" s="379"/>
      <c r="M2" s="379"/>
      <c r="N2" s="379"/>
      <c r="P2" s="379"/>
      <c r="Q2" s="379"/>
      <c r="R2" s="379"/>
      <c r="S2" s="379"/>
      <c r="T2" s="379"/>
      <c r="U2" s="379"/>
      <c r="V2" s="379"/>
      <c r="X2" s="379"/>
      <c r="Y2" s="379"/>
      <c r="Z2" s="379"/>
      <c r="AA2" s="379"/>
      <c r="AB2" s="379"/>
      <c r="AC2" s="379"/>
      <c r="AD2" s="379"/>
    </row>
    <row r="3" spans="1:30" ht="15.45" x14ac:dyDescent="0.4">
      <c r="A3" s="1" t="s">
        <v>542</v>
      </c>
      <c r="B3" s="18"/>
      <c r="C3" s="18"/>
      <c r="D3" s="18"/>
      <c r="E3" s="18"/>
      <c r="F3" s="18"/>
      <c r="G3" s="18"/>
      <c r="I3" s="1" t="s">
        <v>543</v>
      </c>
      <c r="P3" s="181" t="s">
        <v>539</v>
      </c>
      <c r="S3" s="89"/>
      <c r="T3" s="89"/>
      <c r="U3" s="89"/>
      <c r="V3" s="89"/>
      <c r="W3" s="89"/>
      <c r="X3" s="1" t="s">
        <v>535</v>
      </c>
    </row>
    <row r="4" spans="1:30" ht="12.75" customHeight="1" x14ac:dyDescent="0.4">
      <c r="A4" s="18"/>
      <c r="B4" s="18"/>
      <c r="C4" s="18"/>
      <c r="D4" s="18"/>
      <c r="E4" s="18"/>
      <c r="F4" s="18"/>
      <c r="G4" s="18"/>
      <c r="I4" s="1"/>
      <c r="P4" s="1"/>
      <c r="S4" s="89"/>
      <c r="T4" s="89"/>
      <c r="U4" s="89"/>
      <c r="V4" s="89"/>
      <c r="W4" s="89"/>
    </row>
    <row r="5" spans="1:30" s="70" customFormat="1" x14ac:dyDescent="0.3">
      <c r="B5" s="15"/>
      <c r="F5" s="15" t="s">
        <v>35</v>
      </c>
      <c r="N5" s="15" t="s">
        <v>35</v>
      </c>
      <c r="Q5" s="15"/>
      <c r="S5" s="340"/>
      <c r="T5" s="340"/>
      <c r="U5" s="83" t="s">
        <v>35</v>
      </c>
      <c r="V5" s="340"/>
      <c r="W5" s="340"/>
      <c r="Y5" s="15"/>
      <c r="AA5" s="340"/>
      <c r="AB5" s="340"/>
      <c r="AC5" s="83" t="s">
        <v>35</v>
      </c>
      <c r="AD5" s="340"/>
    </row>
    <row r="6" spans="1:30" ht="25" customHeight="1" x14ac:dyDescent="0.3">
      <c r="A6" s="201" t="str">
        <f>CONCATENATE(name!F3," (Constrained)")</f>
        <v>All qualifications (Constrained)</v>
      </c>
      <c r="B6" s="74">
        <v>2020</v>
      </c>
      <c r="C6" s="74">
        <v>2035</v>
      </c>
      <c r="D6" s="87" t="s">
        <v>40</v>
      </c>
      <c r="E6" s="87" t="s">
        <v>139</v>
      </c>
      <c r="F6" s="87" t="s">
        <v>39</v>
      </c>
      <c r="G6" s="87" t="s">
        <v>138</v>
      </c>
      <c r="I6" s="202"/>
      <c r="J6" s="74">
        <f>B6</f>
        <v>2020</v>
      </c>
      <c r="K6" s="74">
        <f>C6</f>
        <v>2035</v>
      </c>
      <c r="L6" s="87" t="str">
        <f>D6</f>
        <v>Net Change</v>
      </c>
      <c r="M6" s="87" t="str">
        <f>E6</f>
        <v>Replacement Demand level</v>
      </c>
      <c r="N6" s="87" t="str">
        <f>F6</f>
        <v>Total Requirement</v>
      </c>
      <c r="P6" s="201" t="s">
        <v>98</v>
      </c>
      <c r="Q6" s="74">
        <f>B6</f>
        <v>2020</v>
      </c>
      <c r="R6" s="74">
        <f>C6</f>
        <v>2035</v>
      </c>
      <c r="S6" s="341" t="str">
        <f t="shared" ref="S6:V6" si="0">D6</f>
        <v>Net Change</v>
      </c>
      <c r="T6" s="341" t="str">
        <f t="shared" si="0"/>
        <v>Replacement Demand level</v>
      </c>
      <c r="U6" s="341" t="str">
        <f t="shared" si="0"/>
        <v>Total Requirement</v>
      </c>
      <c r="V6" s="341" t="str">
        <f t="shared" si="0"/>
        <v>Replacement Demand rate</v>
      </c>
      <c r="W6" s="345"/>
      <c r="X6" s="201"/>
      <c r="Y6" s="74">
        <f>J6</f>
        <v>2020</v>
      </c>
      <c r="Z6" s="74">
        <f>K6</f>
        <v>2035</v>
      </c>
      <c r="AA6" s="341" t="str">
        <f t="shared" ref="AA6" si="1">L6</f>
        <v>Net Change</v>
      </c>
      <c r="AB6" s="341" t="str">
        <f t="shared" ref="AB6" si="2">M6</f>
        <v>Replacement Demand level</v>
      </c>
      <c r="AC6" s="341" t="str">
        <f t="shared" ref="AC6" si="3">N6</f>
        <v>Total Requirement</v>
      </c>
      <c r="AD6" s="341" t="str">
        <f>G6</f>
        <v>Replacement Demand rate</v>
      </c>
    </row>
    <row r="7" spans="1:30" x14ac:dyDescent="0.3">
      <c r="A7" s="10" t="str">
        <f>name!D4</f>
        <v>11 Corporate managers and directors</v>
      </c>
      <c r="B7" s="11">
        <f t="shared" ref="B7:F16" si="4">SUM(B36,B65,B94,B123,B152,B181,B210,B239,B268)</f>
        <v>256.42027451780535</v>
      </c>
      <c r="C7" s="11">
        <f t="shared" si="4"/>
        <v>268.37253864090798</v>
      </c>
      <c r="D7" s="11">
        <f t="shared" si="4"/>
        <v>11.952264123102635</v>
      </c>
      <c r="E7" s="11">
        <f t="shared" si="4"/>
        <v>129.01146031706023</v>
      </c>
      <c r="F7" s="11">
        <f t="shared" si="4"/>
        <v>140.96372444016285</v>
      </c>
      <c r="G7" s="200">
        <f>IF(B7&gt;0,(1+(E7/B7))^(1/($C$6-$B$6))-1,0)</f>
        <v>2.7542216640152661E-2</v>
      </c>
      <c r="H7" s="11"/>
      <c r="I7" s="233" t="str">
        <f>name!F3</f>
        <v>All qualifications</v>
      </c>
      <c r="J7" s="35"/>
      <c r="K7" s="35"/>
      <c r="L7" s="35"/>
      <c r="M7" s="35"/>
      <c r="N7" s="35"/>
      <c r="O7" s="11"/>
      <c r="P7" s="10" t="str">
        <f>name!D4</f>
        <v>11 Corporate managers and directors</v>
      </c>
      <c r="Q7" s="11">
        <v>172.98494259895583</v>
      </c>
      <c r="R7" s="11">
        <v>168.08260187035154</v>
      </c>
      <c r="S7" s="342">
        <f>R7-Q7</f>
        <v>-4.9023407286042868</v>
      </c>
      <c r="T7" s="342">
        <v>76.254374100231132</v>
      </c>
      <c r="U7" s="342">
        <f>SUM(S7:T7)</f>
        <v>71.352033371626845</v>
      </c>
      <c r="V7" s="343">
        <f>IF(Q7&gt;0,(1+(T7/Q7))^(1/($C$6-$B$6))-1,0)</f>
        <v>2.4646081026432176E-2</v>
      </c>
      <c r="W7" s="343"/>
      <c r="X7" s="10" t="str">
        <f>name!A4</f>
        <v>Agriculture, etc</v>
      </c>
      <c r="Y7" s="10">
        <v>25.4429999999434</v>
      </c>
      <c r="Z7" s="10">
        <v>26.058000000086867</v>
      </c>
      <c r="AA7" s="342">
        <f>Z7-Y7</f>
        <v>0.61500000014346767</v>
      </c>
      <c r="AB7" s="10">
        <v>13.30348503243281</v>
      </c>
      <c r="AC7" s="342">
        <f>SUM(AA7:AB7)</f>
        <v>13.918485032576278</v>
      </c>
      <c r="AD7" s="343">
        <f>IF(Y7&gt;0,(1+(AB7/Y7))^(1/($C$6-$B$6))-1,0)</f>
        <v>2.843677902887598E-2</v>
      </c>
    </row>
    <row r="8" spans="1:30" x14ac:dyDescent="0.3">
      <c r="A8" s="10" t="str">
        <f>name!D5</f>
        <v>12 Other managers and proprietors</v>
      </c>
      <c r="B8" s="11">
        <f t="shared" si="4"/>
        <v>108.4553295899812</v>
      </c>
      <c r="C8" s="11">
        <f t="shared" si="4"/>
        <v>157.68053767542233</v>
      </c>
      <c r="D8" s="11">
        <f t="shared" si="4"/>
        <v>49.225208085441096</v>
      </c>
      <c r="E8" s="11">
        <f t="shared" si="4"/>
        <v>79.388294090085466</v>
      </c>
      <c r="F8" s="11">
        <f t="shared" si="4"/>
        <v>128.61350217552655</v>
      </c>
      <c r="G8" s="200">
        <f>IF(B8&gt;0,(1+(E8/B8))^(1/($C$6-$B$6))-1,0)</f>
        <v>3.7296797968691564E-2</v>
      </c>
      <c r="H8" s="11"/>
      <c r="I8" s="10" t="str">
        <f>name!E4</f>
        <v>Managers, directors and senior officials</v>
      </c>
      <c r="J8" s="11">
        <f t="array" ref="J8:J16">MMULT(aggregation!$B$38:$AA$46,B7:B32)</f>
        <v>364.87560410778656</v>
      </c>
      <c r="K8" s="11">
        <f t="array" ref="K8:K16">MMULT(aggregation!$B$38:$AA$46,C7:C32)</f>
        <v>426.0530763163303</v>
      </c>
      <c r="L8" s="11">
        <f t="array" ref="L8:L16">MMULT(aggregation!$B$38:$AA$46,D7:D32)</f>
        <v>61.177472208543733</v>
      </c>
      <c r="M8" s="11">
        <f t="array" ref="M8:M16">MMULT(aggregation!$B$38:$AA$46,E7:E32)</f>
        <v>208.39975440714568</v>
      </c>
      <c r="N8" s="11">
        <f t="array" ref="N8:N16">MMULT(aggregation!$B$38:$AA$46,F7:F32)</f>
        <v>269.57722661568937</v>
      </c>
      <c r="O8" s="11"/>
      <c r="P8" s="10" t="str">
        <f>name!D5</f>
        <v>12 Other managers and proprietors</v>
      </c>
      <c r="Q8" s="11">
        <v>61.830377944235373</v>
      </c>
      <c r="R8" s="11">
        <v>91.343284545706183</v>
      </c>
      <c r="S8" s="342">
        <f t="shared" ref="S8:S31" si="5">R8-Q8</f>
        <v>29.51290660147081</v>
      </c>
      <c r="T8" s="342">
        <v>41.461902658471807</v>
      </c>
      <c r="U8" s="342">
        <f t="shared" ref="U8:U31" si="6">SUM(S8:T8)</f>
        <v>70.974809259942617</v>
      </c>
      <c r="V8" s="343">
        <f t="shared" ref="V8:V33" si="7">IF(Q8&gt;0,(1+(T8/Q8))^(1/($C$6-$B$6))-1,0)</f>
        <v>3.4803123669220115E-2</v>
      </c>
      <c r="W8" s="343"/>
      <c r="X8" s="10" t="str">
        <f>name!A5</f>
        <v>Coal, oil &amp; gas; Mining &amp; related</v>
      </c>
      <c r="Y8" s="10">
        <v>2.7589999999879002</v>
      </c>
      <c r="Z8" s="10">
        <v>1.3989999999889444</v>
      </c>
      <c r="AA8" s="342">
        <f t="shared" ref="AA8:AA71" si="8">Z8-Y8</f>
        <v>-1.3599999999989558</v>
      </c>
      <c r="AB8" s="10">
        <v>0.75869614700965438</v>
      </c>
      <c r="AC8" s="342">
        <f t="shared" ref="AC8:AC71" si="9">SUM(AA8:AB8)</f>
        <v>-0.60130385298930145</v>
      </c>
      <c r="AD8" s="343">
        <f t="shared" ref="AD8:AD71" si="10">IF(Y8&gt;0,(1+(AB8/Y8))^(1/($C$6-$B$6))-1,0)</f>
        <v>1.6327729038406735E-2</v>
      </c>
    </row>
    <row r="9" spans="1:30" x14ac:dyDescent="0.3">
      <c r="A9" s="10" t="str">
        <f>name!D6</f>
        <v>21 Science, research, engineering and technology professionals</v>
      </c>
      <c r="B9" s="11">
        <f t="shared" si="4"/>
        <v>219.28005434285279</v>
      </c>
      <c r="C9" s="11">
        <f t="shared" si="4"/>
        <v>259.0511849763721</v>
      </c>
      <c r="D9" s="11">
        <f t="shared" si="4"/>
        <v>39.771130633519299</v>
      </c>
      <c r="E9" s="11">
        <f t="shared" si="4"/>
        <v>89.193952229396203</v>
      </c>
      <c r="F9" s="11">
        <f t="shared" si="4"/>
        <v>128.96508286291549</v>
      </c>
      <c r="G9" s="200">
        <f t="shared" ref="G9:G33" si="11">IF(B9&gt;0,(1+(E9/B9))^(1/($C$6-$B$6))-1,0)</f>
        <v>2.3013338504536129E-2</v>
      </c>
      <c r="H9" s="11"/>
      <c r="I9" s="10" t="str">
        <f>name!E5</f>
        <v>Professional occupations</v>
      </c>
      <c r="J9" s="11">
        <v>704.81718555733482</v>
      </c>
      <c r="K9" s="11">
        <v>851.32527131328311</v>
      </c>
      <c r="L9" s="11">
        <v>146.50808575594826</v>
      </c>
      <c r="M9" s="11">
        <v>361.79900603041074</v>
      </c>
      <c r="N9" s="11">
        <v>508.30709178635897</v>
      </c>
      <c r="O9" s="11"/>
      <c r="P9" s="10" t="str">
        <f>name!D6</f>
        <v>21 Science, research, engineering and technology professionals</v>
      </c>
      <c r="Q9" s="11">
        <v>170.72669122283156</v>
      </c>
      <c r="R9" s="11">
        <v>189.99632295157582</v>
      </c>
      <c r="S9" s="342">
        <f t="shared" si="5"/>
        <v>19.269631728744258</v>
      </c>
      <c r="T9" s="342">
        <v>58.643167812331484</v>
      </c>
      <c r="U9" s="342">
        <f t="shared" si="6"/>
        <v>77.912799541075742</v>
      </c>
      <c r="V9" s="343">
        <f t="shared" si="7"/>
        <v>1.9879811319836627E-2</v>
      </c>
      <c r="W9" s="343"/>
      <c r="X9" s="10" t="str">
        <f>name!A6</f>
        <v>Food products</v>
      </c>
      <c r="Y9" s="10">
        <v>30.259999999959962</v>
      </c>
      <c r="Z9" s="10">
        <v>34.670000000241039</v>
      </c>
      <c r="AA9" s="342">
        <f t="shared" si="8"/>
        <v>4.4100000002810766</v>
      </c>
      <c r="AB9" s="10">
        <v>14.296236711352048</v>
      </c>
      <c r="AC9" s="342">
        <f t="shared" si="9"/>
        <v>18.706236711633125</v>
      </c>
      <c r="AD9" s="343">
        <f t="shared" si="10"/>
        <v>2.6130599509986752E-2</v>
      </c>
    </row>
    <row r="10" spans="1:30" x14ac:dyDescent="0.3">
      <c r="A10" s="10" t="str">
        <f>name!D7</f>
        <v>22 Health professionals</v>
      </c>
      <c r="B10" s="11">
        <f t="shared" si="4"/>
        <v>119.29571542032294</v>
      </c>
      <c r="C10" s="11">
        <f t="shared" si="4"/>
        <v>145.2813154334244</v>
      </c>
      <c r="D10" s="11">
        <f t="shared" si="4"/>
        <v>25.985600013101426</v>
      </c>
      <c r="E10" s="11">
        <f t="shared" si="4"/>
        <v>71.502640335152108</v>
      </c>
      <c r="F10" s="11">
        <f t="shared" si="4"/>
        <v>97.488240348253527</v>
      </c>
      <c r="G10" s="200">
        <f t="shared" si="11"/>
        <v>3.1802681293240598E-2</v>
      </c>
      <c r="H10" s="11"/>
      <c r="I10" s="10" t="str">
        <f>name!E6</f>
        <v>Associate professional occupations</v>
      </c>
      <c r="J10" s="11">
        <v>424.88656688403285</v>
      </c>
      <c r="K10" s="11">
        <v>455.01327421440726</v>
      </c>
      <c r="L10" s="11">
        <v>30.126707330374462</v>
      </c>
      <c r="M10" s="11">
        <v>198.16102914962755</v>
      </c>
      <c r="N10" s="11">
        <v>228.287736480002</v>
      </c>
      <c r="O10" s="11"/>
      <c r="P10" s="10" t="str">
        <f>name!D7</f>
        <v>22 Health professionals</v>
      </c>
      <c r="Q10" s="11">
        <v>31.855153655621528</v>
      </c>
      <c r="R10" s="11">
        <v>39.154259729896829</v>
      </c>
      <c r="S10" s="342">
        <f t="shared" si="5"/>
        <v>7.2991060742753007</v>
      </c>
      <c r="T10" s="342">
        <v>13.680182109498753</v>
      </c>
      <c r="U10" s="342">
        <f t="shared" si="6"/>
        <v>20.979288183774052</v>
      </c>
      <c r="V10" s="343">
        <f t="shared" si="7"/>
        <v>2.410524232211908E-2</v>
      </c>
      <c r="W10" s="343"/>
      <c r="X10" s="10" t="str">
        <f>name!A7</f>
        <v>Beverages and tobacco</v>
      </c>
      <c r="Y10" s="10">
        <v>4.0370000000014192</v>
      </c>
      <c r="Z10" s="10">
        <v>4.5850000000123021</v>
      </c>
      <c r="AA10" s="342">
        <f t="shared" si="8"/>
        <v>0.54800000001088289</v>
      </c>
      <c r="AB10" s="10">
        <v>1.9256577701727087</v>
      </c>
      <c r="AC10" s="342">
        <f t="shared" si="9"/>
        <v>2.4736577701835918</v>
      </c>
      <c r="AD10" s="343">
        <f t="shared" si="10"/>
        <v>2.6341938851867752E-2</v>
      </c>
    </row>
    <row r="11" spans="1:30" x14ac:dyDescent="0.3">
      <c r="A11" s="10" t="str">
        <f>name!D8</f>
        <v>23 Teaching and other educational professionals</v>
      </c>
      <c r="B11" s="11">
        <f t="shared" si="4"/>
        <v>150.97859691014557</v>
      </c>
      <c r="C11" s="11">
        <f t="shared" si="4"/>
        <v>169.79821578021676</v>
      </c>
      <c r="D11" s="11">
        <f t="shared" si="4"/>
        <v>18.819618870071196</v>
      </c>
      <c r="E11" s="11">
        <f t="shared" si="4"/>
        <v>81.296343851909086</v>
      </c>
      <c r="F11" s="11">
        <f t="shared" si="4"/>
        <v>100.1159627219803</v>
      </c>
      <c r="G11" s="200">
        <f t="shared" si="11"/>
        <v>2.9135275898406698E-2</v>
      </c>
      <c r="H11" s="11"/>
      <c r="I11" s="10" t="str">
        <f>name!E7</f>
        <v>Administrative and secretarial occupations</v>
      </c>
      <c r="J11" s="11">
        <v>330.71047944005613</v>
      </c>
      <c r="K11" s="11">
        <v>280.35480319868805</v>
      </c>
      <c r="L11" s="11">
        <v>-50.355676241367995</v>
      </c>
      <c r="M11" s="11">
        <v>154.80971681719731</v>
      </c>
      <c r="N11" s="11">
        <v>104.45404057582934</v>
      </c>
      <c r="O11" s="11"/>
      <c r="P11" s="10" t="str">
        <f>name!D8</f>
        <v>23 Teaching and other educational professionals</v>
      </c>
      <c r="Q11" s="11">
        <v>48.614165247228179</v>
      </c>
      <c r="R11" s="11">
        <v>56.019490291550916</v>
      </c>
      <c r="S11" s="342">
        <f t="shared" si="5"/>
        <v>7.405325044322737</v>
      </c>
      <c r="T11" s="342">
        <v>22.285396733854839</v>
      </c>
      <c r="U11" s="342">
        <f t="shared" si="6"/>
        <v>29.690721778177576</v>
      </c>
      <c r="V11" s="343">
        <f t="shared" si="7"/>
        <v>2.5475718030291139E-2</v>
      </c>
      <c r="W11" s="343"/>
      <c r="X11" s="10" t="str">
        <f>name!A8</f>
        <v>Textiles</v>
      </c>
      <c r="Y11" s="10">
        <v>5.2969999999900939</v>
      </c>
      <c r="Z11" s="10">
        <v>4.0460000000269973</v>
      </c>
      <c r="AA11" s="342">
        <f t="shared" si="8"/>
        <v>-1.2509999999630965</v>
      </c>
      <c r="AB11" s="10">
        <v>2.1031384205979653</v>
      </c>
      <c r="AC11" s="342">
        <f t="shared" si="9"/>
        <v>0.85213842063486878</v>
      </c>
      <c r="AD11" s="343">
        <f t="shared" si="10"/>
        <v>2.2540829167702281E-2</v>
      </c>
    </row>
    <row r="12" spans="1:30" x14ac:dyDescent="0.3">
      <c r="A12" s="10" t="str">
        <f>name!D9</f>
        <v>24 Business, media and public service professionals</v>
      </c>
      <c r="B12" s="11">
        <f t="shared" si="4"/>
        <v>215.26281888401348</v>
      </c>
      <c r="C12" s="11">
        <f t="shared" si="4"/>
        <v>277.19455512326982</v>
      </c>
      <c r="D12" s="11">
        <f t="shared" si="4"/>
        <v>61.931736239256345</v>
      </c>
      <c r="E12" s="11">
        <f t="shared" si="4"/>
        <v>119.8060696139533</v>
      </c>
      <c r="F12" s="11">
        <f t="shared" si="4"/>
        <v>181.73780585320964</v>
      </c>
      <c r="G12" s="200">
        <f t="shared" si="11"/>
        <v>2.9937818673496874E-2</v>
      </c>
      <c r="H12" s="11"/>
      <c r="I12" s="10" t="str">
        <f>name!E8</f>
        <v>Skilled trades occupations</v>
      </c>
      <c r="J12" s="11">
        <v>271.46659410623914</v>
      </c>
      <c r="K12" s="11">
        <v>277.64242629963258</v>
      </c>
      <c r="L12" s="11">
        <v>6.1758321933934415</v>
      </c>
      <c r="M12" s="11">
        <v>119.1800852086013</v>
      </c>
      <c r="N12" s="11">
        <v>125.35591740199477</v>
      </c>
      <c r="O12" s="11"/>
      <c r="P12" s="10" t="str">
        <f>name!D9</f>
        <v>24 Business, media and public service professionals</v>
      </c>
      <c r="Q12" s="11">
        <v>122.51873655515763</v>
      </c>
      <c r="R12" s="11">
        <v>154.37457535257701</v>
      </c>
      <c r="S12" s="342">
        <f t="shared" si="5"/>
        <v>31.855838797419381</v>
      </c>
      <c r="T12" s="342">
        <v>60.199648619660692</v>
      </c>
      <c r="U12" s="342">
        <f t="shared" si="6"/>
        <v>92.055487417080073</v>
      </c>
      <c r="V12" s="343">
        <f t="shared" si="7"/>
        <v>2.7003639336313778E-2</v>
      </c>
      <c r="W12" s="343"/>
      <c r="X12" s="10" t="str">
        <f>name!A9</f>
        <v>Wearing apparel; Leather, etc</v>
      </c>
      <c r="Y12" s="10">
        <v>3.0530000000044284</v>
      </c>
      <c r="Z12" s="10">
        <v>2.3510000000204103</v>
      </c>
      <c r="AA12" s="342">
        <f t="shared" si="8"/>
        <v>-0.70199999998401807</v>
      </c>
      <c r="AB12" s="10">
        <v>1.2034551227652888</v>
      </c>
      <c r="AC12" s="342">
        <f t="shared" si="9"/>
        <v>0.50145512278127069</v>
      </c>
      <c r="AD12" s="343">
        <f t="shared" si="10"/>
        <v>2.2401356363894953E-2</v>
      </c>
    </row>
    <row r="13" spans="1:30" x14ac:dyDescent="0.3">
      <c r="A13" s="10" t="str">
        <f>name!D10</f>
        <v>31 Science, engineering and technology associate professionals</v>
      </c>
      <c r="B13" s="11">
        <f t="shared" si="4"/>
        <v>66.661989893571231</v>
      </c>
      <c r="C13" s="11">
        <f t="shared" si="4"/>
        <v>64.37709300129525</v>
      </c>
      <c r="D13" s="11">
        <f t="shared" si="4"/>
        <v>-2.2848968922759783</v>
      </c>
      <c r="E13" s="11">
        <f t="shared" si="4"/>
        <v>25.457024090167305</v>
      </c>
      <c r="F13" s="11">
        <f t="shared" si="4"/>
        <v>23.172127197891324</v>
      </c>
      <c r="G13" s="200">
        <f t="shared" si="11"/>
        <v>2.1797260131932727E-2</v>
      </c>
      <c r="H13" s="11"/>
      <c r="I13" s="10" t="str">
        <f>name!E9</f>
        <v>Caring, leisure and other service occupations</v>
      </c>
      <c r="J13" s="11">
        <v>299.51227939645798</v>
      </c>
      <c r="K13" s="11">
        <v>353.50200929588817</v>
      </c>
      <c r="L13" s="11">
        <v>53.989729899430181</v>
      </c>
      <c r="M13" s="11">
        <v>183.59302354832846</v>
      </c>
      <c r="N13" s="11">
        <v>237.58275344775865</v>
      </c>
      <c r="O13" s="11"/>
      <c r="P13" s="10" t="str">
        <f>name!D10</f>
        <v>31 Science, engineering and technology associate professionals</v>
      </c>
      <c r="Q13" s="11">
        <v>47.722010404448028</v>
      </c>
      <c r="R13" s="11">
        <v>41.108889627217472</v>
      </c>
      <c r="S13" s="342">
        <f t="shared" si="5"/>
        <v>-6.6131207772305558</v>
      </c>
      <c r="T13" s="342">
        <v>15.05183172149483</v>
      </c>
      <c r="U13" s="342">
        <f t="shared" si="6"/>
        <v>8.4387109442642743</v>
      </c>
      <c r="V13" s="343">
        <f t="shared" si="7"/>
        <v>1.8444417507493593E-2</v>
      </c>
      <c r="W13" s="343"/>
      <c r="X13" s="10" t="str">
        <f>name!A10</f>
        <v xml:space="preserve">Wood and cork </v>
      </c>
      <c r="Y13" s="10">
        <v>12.125000000016655</v>
      </c>
      <c r="Z13" s="10">
        <v>10.318000000060062</v>
      </c>
      <c r="AA13" s="342">
        <f t="shared" si="8"/>
        <v>-1.8069999999565933</v>
      </c>
      <c r="AB13" s="10">
        <v>4.7716947170796535</v>
      </c>
      <c r="AC13" s="342">
        <f t="shared" si="9"/>
        <v>2.9646947171230602</v>
      </c>
      <c r="AD13" s="343">
        <f t="shared" si="10"/>
        <v>2.2369772678897171E-2</v>
      </c>
    </row>
    <row r="14" spans="1:30" x14ac:dyDescent="0.3">
      <c r="A14" s="10" t="str">
        <f>name!D11</f>
        <v>32 Health and social care associate professionals</v>
      </c>
      <c r="B14" s="11">
        <f t="shared" si="4"/>
        <v>52.293649494333231</v>
      </c>
      <c r="C14" s="11">
        <f t="shared" si="4"/>
        <v>60.069127651335641</v>
      </c>
      <c r="D14" s="11">
        <f t="shared" si="4"/>
        <v>7.775478157002417</v>
      </c>
      <c r="E14" s="11">
        <f t="shared" si="4"/>
        <v>32.599763129270571</v>
      </c>
      <c r="F14" s="11">
        <f t="shared" si="4"/>
        <v>40.375241286272995</v>
      </c>
      <c r="G14" s="200">
        <f t="shared" si="11"/>
        <v>3.2828791636696941E-2</v>
      </c>
      <c r="H14" s="11"/>
      <c r="I14" s="10" t="str">
        <f>name!E10</f>
        <v>Sales and customer service occupations</v>
      </c>
      <c r="J14" s="11">
        <v>244.55606769223141</v>
      </c>
      <c r="K14" s="11">
        <v>245.81255793965607</v>
      </c>
      <c r="L14" s="11">
        <v>1.2564902474246864</v>
      </c>
      <c r="M14" s="11">
        <v>112.78260697752548</v>
      </c>
      <c r="N14" s="11">
        <v>114.03909722495015</v>
      </c>
      <c r="O14" s="11"/>
      <c r="P14" s="10" t="str">
        <f>name!D11</f>
        <v>32 Health and social care associate professionals</v>
      </c>
      <c r="Q14" s="11">
        <v>9.2320084954154122</v>
      </c>
      <c r="R14" s="11">
        <v>8.9656627242357771</v>
      </c>
      <c r="S14" s="342">
        <f t="shared" si="5"/>
        <v>-0.26634577117963509</v>
      </c>
      <c r="T14" s="342">
        <v>4.0550972765776097</v>
      </c>
      <c r="U14" s="342">
        <f t="shared" si="6"/>
        <v>3.7887515053979746</v>
      </c>
      <c r="V14" s="343">
        <f t="shared" si="7"/>
        <v>2.457152036258381E-2</v>
      </c>
      <c r="W14" s="343"/>
      <c r="X14" s="10" t="str">
        <f>name!A11</f>
        <v>Paper, etc</v>
      </c>
      <c r="Y14" s="10">
        <v>4.4359999999965414</v>
      </c>
      <c r="Z14" s="10">
        <v>3.8600000000099799</v>
      </c>
      <c r="AA14" s="342">
        <f t="shared" si="8"/>
        <v>-0.57599999998656148</v>
      </c>
      <c r="AB14" s="10">
        <v>1.7574754036884912</v>
      </c>
      <c r="AC14" s="342">
        <f t="shared" si="9"/>
        <v>1.1814754037019297</v>
      </c>
      <c r="AD14" s="343">
        <f t="shared" si="10"/>
        <v>2.2498921616413758E-2</v>
      </c>
    </row>
    <row r="15" spans="1:30" x14ac:dyDescent="0.3">
      <c r="A15" s="10" t="str">
        <f>name!D12</f>
        <v>33 Protective service occupations</v>
      </c>
      <c r="B15" s="11">
        <f t="shared" si="4"/>
        <v>31.86442923310543</v>
      </c>
      <c r="C15" s="11">
        <f t="shared" si="4"/>
        <v>47.091997779470582</v>
      </c>
      <c r="D15" s="11">
        <f t="shared" si="4"/>
        <v>15.22756854636515</v>
      </c>
      <c r="E15" s="11">
        <f t="shared" si="4"/>
        <v>14.678540908398528</v>
      </c>
      <c r="F15" s="11">
        <f t="shared" si="4"/>
        <v>29.906109454763676</v>
      </c>
      <c r="G15" s="200">
        <f t="shared" si="11"/>
        <v>2.5580756547744166E-2</v>
      </c>
      <c r="H15" s="11"/>
      <c r="I15" s="10" t="str">
        <f>name!E11</f>
        <v>Process, plant and machine operatives</v>
      </c>
      <c r="J15" s="11">
        <v>181.61620255244696</v>
      </c>
      <c r="K15" s="11">
        <v>214.64661526835891</v>
      </c>
      <c r="L15" s="11">
        <v>33.030412715911936</v>
      </c>
      <c r="M15" s="11">
        <v>99.686389911292508</v>
      </c>
      <c r="N15" s="11">
        <v>132.7168026272044</v>
      </c>
      <c r="O15" s="11"/>
      <c r="P15" s="10" t="str">
        <f>name!D12</f>
        <v>33 Protective service occupations</v>
      </c>
      <c r="Q15" s="11">
        <v>22.407958093364833</v>
      </c>
      <c r="R15" s="11">
        <v>29.205060941031356</v>
      </c>
      <c r="S15" s="342">
        <f t="shared" si="5"/>
        <v>6.7971028476665225</v>
      </c>
      <c r="T15" s="342">
        <v>7.5259727087932626</v>
      </c>
      <c r="U15" s="342">
        <f t="shared" si="6"/>
        <v>14.323075556459784</v>
      </c>
      <c r="V15" s="343">
        <f t="shared" si="7"/>
        <v>1.9492646926688062E-2</v>
      </c>
      <c r="W15" s="343"/>
      <c r="X15" s="10" t="str">
        <f>name!A12</f>
        <v>Printing and recording</v>
      </c>
      <c r="Y15" s="10">
        <v>9.8859999999880799</v>
      </c>
      <c r="Z15" s="10">
        <v>8.8160000000218766</v>
      </c>
      <c r="AA15" s="342">
        <f t="shared" si="8"/>
        <v>-1.0699999999662033</v>
      </c>
      <c r="AB15" s="10">
        <v>4.1539406208026088</v>
      </c>
      <c r="AC15" s="342">
        <f t="shared" si="9"/>
        <v>3.0839406208364055</v>
      </c>
      <c r="AD15" s="343">
        <f t="shared" si="10"/>
        <v>2.3661361531879477E-2</v>
      </c>
    </row>
    <row r="16" spans="1:30" x14ac:dyDescent="0.3">
      <c r="A16" s="10" t="str">
        <f>name!D13</f>
        <v>34 Culture, media and sports occupations</v>
      </c>
      <c r="B16" s="11">
        <f t="shared" si="4"/>
        <v>72.766048539117293</v>
      </c>
      <c r="C16" s="11">
        <f t="shared" si="4"/>
        <v>76.22405638044232</v>
      </c>
      <c r="D16" s="11">
        <f t="shared" si="4"/>
        <v>3.4580078413250499</v>
      </c>
      <c r="E16" s="11">
        <f t="shared" si="4"/>
        <v>33.106573642960242</v>
      </c>
      <c r="F16" s="11">
        <f t="shared" si="4"/>
        <v>36.564581484285277</v>
      </c>
      <c r="G16" s="200">
        <f t="shared" si="11"/>
        <v>2.5314246531970896E-2</v>
      </c>
      <c r="H16" s="11"/>
      <c r="I16" s="10" t="str">
        <f>name!E12</f>
        <v>Elementary occupations</v>
      </c>
      <c r="J16" s="11">
        <v>351.75102026181389</v>
      </c>
      <c r="K16" s="11">
        <v>339.93296615165605</v>
      </c>
      <c r="L16" s="11">
        <v>-11.818054110157865</v>
      </c>
      <c r="M16" s="11">
        <v>168.08243634106583</v>
      </c>
      <c r="N16" s="11">
        <v>156.26438223090796</v>
      </c>
      <c r="O16" s="11"/>
      <c r="P16" s="10" t="str">
        <f>name!D13</f>
        <v>34 Culture, media and sports occupations</v>
      </c>
      <c r="Q16" s="11">
        <v>38.852905287544729</v>
      </c>
      <c r="R16" s="11">
        <v>41.812864972684039</v>
      </c>
      <c r="S16" s="342">
        <f t="shared" si="5"/>
        <v>2.9599596851393102</v>
      </c>
      <c r="T16" s="342">
        <v>15.874694847668533</v>
      </c>
      <c r="U16" s="342">
        <f t="shared" si="6"/>
        <v>18.834654532807843</v>
      </c>
      <c r="V16" s="343">
        <f t="shared" si="7"/>
        <v>2.310182727832033E-2</v>
      </c>
      <c r="W16" s="343"/>
      <c r="X16" s="10" t="str">
        <f>name!A13</f>
        <v>Coke and petroleum; Chemicals, etc</v>
      </c>
      <c r="Y16" s="10">
        <v>9.3999999999576733</v>
      </c>
      <c r="Z16" s="10">
        <v>7.8109999999800976</v>
      </c>
      <c r="AA16" s="342">
        <f t="shared" si="8"/>
        <v>-1.5889999999775757</v>
      </c>
      <c r="AB16" s="10">
        <v>3.6631230666389545</v>
      </c>
      <c r="AC16" s="342">
        <f t="shared" si="9"/>
        <v>2.0741230666613788</v>
      </c>
      <c r="AD16" s="343">
        <f t="shared" si="10"/>
        <v>2.218132988605559E-2</v>
      </c>
    </row>
    <row r="17" spans="1:30" x14ac:dyDescent="0.3">
      <c r="A17" s="10" t="str">
        <f>name!D14</f>
        <v>35 Business and public service associate professionals</v>
      </c>
      <c r="B17" s="11">
        <f t="shared" ref="B17:F26" si="12">SUM(B46,B75,B104,B133,B162,B191,B220,B249,B278)</f>
        <v>201.30044972390564</v>
      </c>
      <c r="C17" s="11">
        <f t="shared" si="12"/>
        <v>207.25099940186342</v>
      </c>
      <c r="D17" s="11">
        <f t="shared" si="12"/>
        <v>5.9505496779578237</v>
      </c>
      <c r="E17" s="11">
        <f t="shared" si="12"/>
        <v>92.319127378830913</v>
      </c>
      <c r="F17" s="11">
        <f t="shared" si="12"/>
        <v>98.269677056788709</v>
      </c>
      <c r="G17" s="200">
        <f t="shared" si="11"/>
        <v>2.5485091343360855E-2</v>
      </c>
      <c r="H17" s="11"/>
      <c r="O17" s="11"/>
      <c r="P17" s="10" t="str">
        <f>name!D14</f>
        <v>35 Business and public service associate professionals</v>
      </c>
      <c r="Q17" s="11">
        <v>106.89539407612497</v>
      </c>
      <c r="R17" s="11">
        <v>101.29939459731952</v>
      </c>
      <c r="S17" s="342">
        <f t="shared" si="5"/>
        <v>-5.595999478805453</v>
      </c>
      <c r="T17" s="342">
        <v>39.156722074704035</v>
      </c>
      <c r="U17" s="342">
        <f t="shared" si="6"/>
        <v>33.560722595898582</v>
      </c>
      <c r="V17" s="343">
        <f t="shared" si="7"/>
        <v>2.1025504857364874E-2</v>
      </c>
      <c r="W17" s="343"/>
      <c r="X17" s="10" t="str">
        <f>name!A14</f>
        <v>Pharmaceuticals</v>
      </c>
      <c r="Y17" s="10">
        <v>5.3179999999958856</v>
      </c>
      <c r="Z17" s="10">
        <v>6.2469999999906936</v>
      </c>
      <c r="AA17" s="342">
        <f t="shared" si="8"/>
        <v>0.92899999999480798</v>
      </c>
      <c r="AB17" s="10">
        <v>2.677510304003015</v>
      </c>
      <c r="AC17" s="342">
        <f t="shared" si="9"/>
        <v>3.606510303997823</v>
      </c>
      <c r="AD17" s="343">
        <f t="shared" si="10"/>
        <v>2.7558423152968858E-2</v>
      </c>
    </row>
    <row r="18" spans="1:30" x14ac:dyDescent="0.3">
      <c r="A18" s="10" t="str">
        <f>name!D15</f>
        <v>41 Administrative occupations</v>
      </c>
      <c r="B18" s="11">
        <f t="shared" si="12"/>
        <v>261.75573790944139</v>
      </c>
      <c r="C18" s="11">
        <f t="shared" si="12"/>
        <v>227.65142269680464</v>
      </c>
      <c r="D18" s="11">
        <f t="shared" si="12"/>
        <v>-34.104315212636713</v>
      </c>
      <c r="E18" s="11">
        <f t="shared" si="12"/>
        <v>120.20537575792905</v>
      </c>
      <c r="F18" s="11">
        <f t="shared" si="12"/>
        <v>86.101060545292341</v>
      </c>
      <c r="G18" s="200">
        <f t="shared" si="11"/>
        <v>2.5513848304858255E-2</v>
      </c>
      <c r="H18" s="11"/>
      <c r="I18" s="86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74.684221776827158</v>
      </c>
      <c r="R18" s="11">
        <v>77.373496688736495</v>
      </c>
      <c r="S18" s="342">
        <f t="shared" si="5"/>
        <v>2.6892749119093367</v>
      </c>
      <c r="T18" s="342">
        <v>27.300279823532343</v>
      </c>
      <c r="U18" s="342">
        <f t="shared" si="6"/>
        <v>29.989554735441679</v>
      </c>
      <c r="V18" s="343">
        <f t="shared" si="7"/>
        <v>2.098733425176369E-2</v>
      </c>
      <c r="W18" s="343"/>
      <c r="X18" s="10" t="str">
        <f>name!A15</f>
        <v>Rubber and plastic</v>
      </c>
      <c r="Y18" s="10">
        <v>16.751999999980313</v>
      </c>
      <c r="Z18" s="10">
        <v>15.736000000062644</v>
      </c>
      <c r="AA18" s="342">
        <f t="shared" si="8"/>
        <v>-1.0159999999176694</v>
      </c>
      <c r="AB18" s="10">
        <v>7.1176193702012025</v>
      </c>
      <c r="AC18" s="342">
        <f t="shared" si="9"/>
        <v>6.1016193702835331</v>
      </c>
      <c r="AD18" s="343">
        <f t="shared" si="10"/>
        <v>2.3886747827749133E-2</v>
      </c>
    </row>
    <row r="19" spans="1:30" x14ac:dyDescent="0.3">
      <c r="A19" s="10" t="str">
        <f>name!D16</f>
        <v>42 Secretarial and related occupations</v>
      </c>
      <c r="B19" s="11">
        <f t="shared" si="12"/>
        <v>68.954741530614726</v>
      </c>
      <c r="C19" s="11">
        <f t="shared" si="12"/>
        <v>52.70338050188343</v>
      </c>
      <c r="D19" s="11">
        <f t="shared" si="12"/>
        <v>-16.251361028731282</v>
      </c>
      <c r="E19" s="11">
        <f t="shared" si="12"/>
        <v>34.604341059268272</v>
      </c>
      <c r="F19" s="11">
        <f t="shared" si="12"/>
        <v>18.35298003053699</v>
      </c>
      <c r="G19" s="200">
        <f t="shared" si="11"/>
        <v>2.7483691358191953E-2</v>
      </c>
      <c r="H19" s="11"/>
      <c r="I19" s="11" t="str">
        <f t="shared" ref="I19:I27" si="13">I8</f>
        <v>Managers, directors and senior officials</v>
      </c>
      <c r="J19" s="11">
        <f t="array" ref="J19:J27">MMULT(aggregation!$B$38:$AA$46,B36:B61)</f>
        <v>4.8399344380777096</v>
      </c>
      <c r="K19" s="11">
        <f t="array" ref="K19:K27">MMULT(aggregation!$B$38:$AA$46,C36:C61)</f>
        <v>8.3357779241266279</v>
      </c>
      <c r="L19" s="11">
        <f t="array" ref="L19:L27">MMULT(aggregation!$B$38:$AA$46,D36:D61)</f>
        <v>3.4958434860489174</v>
      </c>
      <c r="M19" s="11">
        <f t="array" ref="M19:M27">MMULT(aggregation!$B$38:$AA$46,E36:E61)</f>
        <v>3.8333140313579332</v>
      </c>
      <c r="N19" s="11">
        <f t="array" ref="N19:N27">MMULT(aggregation!$B$38:$AA$46,F36:F61)</f>
        <v>7.3291575174068511</v>
      </c>
      <c r="O19" s="11"/>
      <c r="P19" s="10" t="str">
        <f>name!D16</f>
        <v>42 Secretarial and related occupations</v>
      </c>
      <c r="Q19" s="11">
        <v>3.2255361851943984</v>
      </c>
      <c r="R19" s="11">
        <v>5.0211080101412691</v>
      </c>
      <c r="S19" s="342">
        <f t="shared" si="5"/>
        <v>1.7955718249468706</v>
      </c>
      <c r="T19" s="342">
        <v>1.4225340113157574</v>
      </c>
      <c r="U19" s="342">
        <f t="shared" si="6"/>
        <v>3.218105836262628</v>
      </c>
      <c r="V19" s="343">
        <f t="shared" si="7"/>
        <v>2.4655913176185429E-2</v>
      </c>
      <c r="W19" s="343"/>
      <c r="X19" s="10" t="str">
        <f>name!A16</f>
        <v>Other non-metallic</v>
      </c>
      <c r="Y19" s="10">
        <v>5.5580000000049683</v>
      </c>
      <c r="Z19" s="10">
        <v>5.2590000000253863</v>
      </c>
      <c r="AA19" s="342">
        <f t="shared" si="8"/>
        <v>-0.29899999997958204</v>
      </c>
      <c r="AB19" s="10">
        <v>2.3556728967293679</v>
      </c>
      <c r="AC19" s="342">
        <f t="shared" si="9"/>
        <v>2.0566728967497858</v>
      </c>
      <c r="AD19" s="343">
        <f t="shared" si="10"/>
        <v>2.3836567576894785E-2</v>
      </c>
    </row>
    <row r="20" spans="1:30" x14ac:dyDescent="0.3">
      <c r="A20" s="10" t="str">
        <f>name!D17</f>
        <v>51 Skilled agricultural and related trades</v>
      </c>
      <c r="B20" s="11">
        <f t="shared" si="12"/>
        <v>27.701459442035759</v>
      </c>
      <c r="C20" s="11">
        <f t="shared" si="12"/>
        <v>34.324848177096413</v>
      </c>
      <c r="D20" s="11">
        <f t="shared" si="12"/>
        <v>6.6233887350606526</v>
      </c>
      <c r="E20" s="11">
        <f t="shared" si="12"/>
        <v>17.205832090080094</v>
      </c>
      <c r="F20" s="11">
        <f t="shared" si="12"/>
        <v>23.829220825140748</v>
      </c>
      <c r="G20" s="200">
        <f t="shared" si="11"/>
        <v>3.2731952357356597E-2</v>
      </c>
      <c r="H20" s="11"/>
      <c r="I20" s="11" t="str">
        <f t="shared" si="13"/>
        <v>Professional occupations</v>
      </c>
      <c r="J20" s="11">
        <v>32.613261515926212</v>
      </c>
      <c r="K20" s="11">
        <v>51.441977252892883</v>
      </c>
      <c r="L20" s="11">
        <v>18.828715736966679</v>
      </c>
      <c r="M20" s="11">
        <v>20.311478583586123</v>
      </c>
      <c r="N20" s="11">
        <v>39.140194320552801</v>
      </c>
      <c r="O20" s="11"/>
      <c r="P20" s="10" t="str">
        <f>name!D17</f>
        <v>51 Skilled agricultural and related trades</v>
      </c>
      <c r="Q20" s="11">
        <v>21.00273465970858</v>
      </c>
      <c r="R20" s="11">
        <v>24.690917510087264</v>
      </c>
      <c r="S20" s="342">
        <f t="shared" si="5"/>
        <v>3.6881828503786842</v>
      </c>
      <c r="T20" s="342">
        <v>11.57737312048325</v>
      </c>
      <c r="U20" s="342">
        <f t="shared" si="6"/>
        <v>15.265555970861934</v>
      </c>
      <c r="V20" s="343">
        <f t="shared" si="7"/>
        <v>2.9702525856795559E-2</v>
      </c>
      <c r="W20" s="343"/>
      <c r="X20" s="10" t="str">
        <f>name!A17</f>
        <v>Basic metals</v>
      </c>
      <c r="Y20" s="10">
        <v>2.2330000000001333</v>
      </c>
      <c r="Z20" s="10">
        <v>1.8990000000103338</v>
      </c>
      <c r="AA20" s="342">
        <f t="shared" si="8"/>
        <v>-0.33399999998979957</v>
      </c>
      <c r="AB20" s="10">
        <v>0.85376440096440209</v>
      </c>
      <c r="AC20" s="342">
        <f t="shared" si="9"/>
        <v>0.51976440097460253</v>
      </c>
      <c r="AD20" s="343">
        <f t="shared" si="10"/>
        <v>2.1819808213582093E-2</v>
      </c>
    </row>
    <row r="21" spans="1:30" x14ac:dyDescent="0.3">
      <c r="A21" s="10" t="str">
        <f>name!D18</f>
        <v>52 Skilled metal, electrical and electronic trades</v>
      </c>
      <c r="B21" s="11">
        <f t="shared" si="12"/>
        <v>100.42539928195283</v>
      </c>
      <c r="C21" s="11">
        <f t="shared" si="12"/>
        <v>99.692598734144852</v>
      </c>
      <c r="D21" s="11">
        <f t="shared" si="12"/>
        <v>-0.73280054780796666</v>
      </c>
      <c r="E21" s="11">
        <f t="shared" si="12"/>
        <v>38.92096441450024</v>
      </c>
      <c r="F21" s="11">
        <f t="shared" si="12"/>
        <v>38.188163866692278</v>
      </c>
      <c r="G21" s="200">
        <f t="shared" si="11"/>
        <v>2.2076661456792213E-2</v>
      </c>
      <c r="H21" s="11"/>
      <c r="I21" s="11" t="str">
        <f t="shared" si="13"/>
        <v>Associate professional occupations</v>
      </c>
      <c r="J21" s="11">
        <v>5.0263825030871905</v>
      </c>
      <c r="K21" s="11">
        <v>8.8387398054208859</v>
      </c>
      <c r="L21" s="11">
        <v>3.8123573023336963</v>
      </c>
      <c r="M21" s="11">
        <v>3.4877203686679699</v>
      </c>
      <c r="N21" s="11">
        <v>7.3000776710016657</v>
      </c>
      <c r="O21" s="11"/>
      <c r="P21" s="10" t="str">
        <f>name!D18</f>
        <v>52 Skilled metal, electrical and electronic trades</v>
      </c>
      <c r="Q21" s="11">
        <v>97.712169762553089</v>
      </c>
      <c r="R21" s="11">
        <v>92.148846813711899</v>
      </c>
      <c r="S21" s="342">
        <f t="shared" si="5"/>
        <v>-5.5633229488411899</v>
      </c>
      <c r="T21" s="342">
        <v>35.318482236280715</v>
      </c>
      <c r="U21" s="342">
        <f t="shared" si="6"/>
        <v>29.755159287439525</v>
      </c>
      <c r="V21" s="343">
        <f t="shared" si="7"/>
        <v>2.0783255604005069E-2</v>
      </c>
      <c r="W21" s="343"/>
      <c r="X21" s="10" t="str">
        <f>name!A18</f>
        <v>Metal products</v>
      </c>
      <c r="Y21" s="10">
        <v>21.621999999981554</v>
      </c>
      <c r="Z21" s="10">
        <v>18.313000000074695</v>
      </c>
      <c r="AA21" s="342">
        <f t="shared" si="8"/>
        <v>-3.3089999999068596</v>
      </c>
      <c r="AB21" s="10">
        <v>8.2401344017576754</v>
      </c>
      <c r="AC21" s="342">
        <f t="shared" si="9"/>
        <v>4.9311344018508159</v>
      </c>
      <c r="AD21" s="343">
        <f t="shared" si="10"/>
        <v>2.1758671496379334E-2</v>
      </c>
    </row>
    <row r="22" spans="1:30" x14ac:dyDescent="0.3">
      <c r="A22" s="10" t="str">
        <f>name!D19</f>
        <v>53 Skilled construction and building trades</v>
      </c>
      <c r="B22" s="11">
        <f t="shared" si="12"/>
        <v>82.526605323386875</v>
      </c>
      <c r="C22" s="11">
        <f t="shared" si="12"/>
        <v>80.451774167755289</v>
      </c>
      <c r="D22" s="11">
        <f t="shared" si="12"/>
        <v>-2.0748311556315677</v>
      </c>
      <c r="E22" s="11">
        <f t="shared" si="12"/>
        <v>35.972793741745264</v>
      </c>
      <c r="F22" s="11">
        <f t="shared" si="12"/>
        <v>33.897962586113707</v>
      </c>
      <c r="G22" s="200">
        <f t="shared" si="11"/>
        <v>2.4412363156151473E-2</v>
      </c>
      <c r="H22" s="11"/>
      <c r="I22" s="11" t="str">
        <f t="shared" si="13"/>
        <v>Administrative and secretarial occupations</v>
      </c>
      <c r="J22" s="11">
        <v>1.4392661831868994</v>
      </c>
      <c r="K22" s="11">
        <v>2.8887623996858087</v>
      </c>
      <c r="L22" s="11">
        <v>1.4494962164989091</v>
      </c>
      <c r="M22" s="11">
        <v>1.2086815971434741</v>
      </c>
      <c r="N22" s="11">
        <v>2.658177813642383</v>
      </c>
      <c r="O22" s="11"/>
      <c r="P22" s="10" t="str">
        <f>name!D19</f>
        <v>53 Skilled construction and building trades</v>
      </c>
      <c r="Q22" s="11">
        <v>80.412115604644541</v>
      </c>
      <c r="R22" s="11">
        <v>77.665580970630785</v>
      </c>
      <c r="S22" s="342">
        <f t="shared" si="5"/>
        <v>-2.7465346340137557</v>
      </c>
      <c r="T22" s="342">
        <v>34.691100080612998</v>
      </c>
      <c r="U22" s="342">
        <f t="shared" si="6"/>
        <v>31.944565446599242</v>
      </c>
      <c r="V22" s="343">
        <f t="shared" si="7"/>
        <v>2.4199118942377584E-2</v>
      </c>
      <c r="W22" s="343"/>
      <c r="X22" s="10" t="str">
        <f>name!A19</f>
        <v>Computer, etc</v>
      </c>
      <c r="Y22" s="10">
        <v>15.485999999946833</v>
      </c>
      <c r="Z22" s="10">
        <v>12.284000000009673</v>
      </c>
      <c r="AA22" s="342">
        <f t="shared" si="8"/>
        <v>-3.2019999999371596</v>
      </c>
      <c r="AB22" s="10">
        <v>5.9747066460905636</v>
      </c>
      <c r="AC22" s="342">
        <f t="shared" si="9"/>
        <v>2.772706646153404</v>
      </c>
      <c r="AD22" s="343">
        <f t="shared" si="10"/>
        <v>2.1990795125684581E-2</v>
      </c>
    </row>
    <row r="23" spans="1:30" x14ac:dyDescent="0.3">
      <c r="A23" s="10" t="str">
        <f>name!D20</f>
        <v>54 Textiles, printing and other skilled trades</v>
      </c>
      <c r="B23" s="11">
        <f t="shared" si="12"/>
        <v>60.813130058863692</v>
      </c>
      <c r="C23" s="11">
        <f t="shared" si="12"/>
        <v>63.173205220636007</v>
      </c>
      <c r="D23" s="11">
        <f t="shared" si="12"/>
        <v>2.3600751617723232</v>
      </c>
      <c r="E23" s="11">
        <f t="shared" si="12"/>
        <v>27.080494962275711</v>
      </c>
      <c r="F23" s="11">
        <f t="shared" si="12"/>
        <v>29.440570124048037</v>
      </c>
      <c r="G23" s="200">
        <f t="shared" si="11"/>
        <v>2.4858721501148873E-2</v>
      </c>
      <c r="H23" s="11"/>
      <c r="I23" s="11" t="str">
        <f t="shared" si="13"/>
        <v>Skilled trades occupations</v>
      </c>
      <c r="J23" s="11">
        <v>0.40157886586935776</v>
      </c>
      <c r="K23" s="11">
        <v>0.79262732666625713</v>
      </c>
      <c r="L23" s="11">
        <v>0.39104846079689942</v>
      </c>
      <c r="M23" s="11">
        <v>0.33962528164500438</v>
      </c>
      <c r="N23" s="11">
        <v>0.73067374244190386</v>
      </c>
      <c r="O23" s="11"/>
      <c r="P23" s="10" t="str">
        <f>name!D20</f>
        <v>54 Textiles, printing and other skilled trades</v>
      </c>
      <c r="Q23" s="11">
        <v>34.312023025612852</v>
      </c>
      <c r="R23" s="11">
        <v>34.534018983479825</v>
      </c>
      <c r="S23" s="342">
        <f t="shared" si="5"/>
        <v>0.22199595786697301</v>
      </c>
      <c r="T23" s="342">
        <v>11.129838378366825</v>
      </c>
      <c r="U23" s="342">
        <f t="shared" si="6"/>
        <v>11.351834336233798</v>
      </c>
      <c r="V23" s="343">
        <f t="shared" si="7"/>
        <v>1.8905686110816333E-2</v>
      </c>
      <c r="W23" s="343"/>
      <c r="X23" s="10" t="str">
        <f>name!A20</f>
        <v>Electrical equipment</v>
      </c>
      <c r="Y23" s="10">
        <v>5.5349999999778294</v>
      </c>
      <c r="Z23" s="10">
        <v>4.9940000000008213</v>
      </c>
      <c r="AA23" s="342">
        <f t="shared" si="8"/>
        <v>-0.54099999997700809</v>
      </c>
      <c r="AB23" s="10">
        <v>2.3537249546535834</v>
      </c>
      <c r="AC23" s="342">
        <f t="shared" si="9"/>
        <v>1.8127249546765754</v>
      </c>
      <c r="AD23" s="343">
        <f t="shared" si="10"/>
        <v>2.3904093488999134E-2</v>
      </c>
    </row>
    <row r="24" spans="1:30" x14ac:dyDescent="0.3">
      <c r="A24" s="10" t="str">
        <f>name!D21</f>
        <v>61 Caring personal service occupations</v>
      </c>
      <c r="B24" s="11">
        <f t="shared" si="12"/>
        <v>223.65609032128705</v>
      </c>
      <c r="C24" s="11">
        <f t="shared" si="12"/>
        <v>274.63381510722394</v>
      </c>
      <c r="D24" s="11">
        <f t="shared" si="12"/>
        <v>50.977724785936921</v>
      </c>
      <c r="E24" s="11">
        <f t="shared" si="12"/>
        <v>144.14316517716225</v>
      </c>
      <c r="F24" s="11">
        <f t="shared" si="12"/>
        <v>195.12088996309919</v>
      </c>
      <c r="G24" s="200">
        <f t="shared" si="11"/>
        <v>3.3717831347161997E-2</v>
      </c>
      <c r="H24" s="11"/>
      <c r="I24" s="11" t="str">
        <f t="shared" si="13"/>
        <v>Caring, leisure and other service occupations</v>
      </c>
      <c r="J24" s="11">
        <v>0.22941657051321909</v>
      </c>
      <c r="K24" s="11">
        <v>0.51008953485604935</v>
      </c>
      <c r="L24" s="11">
        <v>0.28067296434283029</v>
      </c>
      <c r="M24" s="11">
        <v>0.21683647551243346</v>
      </c>
      <c r="N24" s="11">
        <v>0.49750943985526375</v>
      </c>
      <c r="O24" s="11"/>
      <c r="P24" s="10" t="str">
        <f>name!D21</f>
        <v>61 Caring personal service occupations</v>
      </c>
      <c r="Q24" s="11">
        <v>31.261095982321685</v>
      </c>
      <c r="R24" s="11">
        <v>47.140816992865517</v>
      </c>
      <c r="S24" s="342">
        <f t="shared" si="5"/>
        <v>15.879721010543832</v>
      </c>
      <c r="T24" s="342">
        <v>18.368910064226601</v>
      </c>
      <c r="U24" s="342">
        <f t="shared" si="6"/>
        <v>34.248631074770429</v>
      </c>
      <c r="V24" s="343">
        <f t="shared" si="7"/>
        <v>3.1294437302420208E-2</v>
      </c>
      <c r="W24" s="343"/>
      <c r="X24" s="10" t="str">
        <f>name!A21</f>
        <v>Machinery n.e.c.</v>
      </c>
      <c r="Y24" s="10">
        <v>20.935999999954074</v>
      </c>
      <c r="Z24" s="10">
        <v>18.116000000067096</v>
      </c>
      <c r="AA24" s="342">
        <f t="shared" si="8"/>
        <v>-2.8199999998869778</v>
      </c>
      <c r="AB24" s="10">
        <v>8.2582743652911255</v>
      </c>
      <c r="AC24" s="342">
        <f t="shared" si="9"/>
        <v>5.4382743654041477</v>
      </c>
      <c r="AD24" s="343">
        <f t="shared" si="10"/>
        <v>2.241433904398682E-2</v>
      </c>
    </row>
    <row r="25" spans="1:30" x14ac:dyDescent="0.3">
      <c r="A25" s="10" t="str">
        <f>name!D22</f>
        <v>62 Leisure, travel and related personal service occupations</v>
      </c>
      <c r="B25" s="11">
        <f t="shared" si="12"/>
        <v>72.441128106543005</v>
      </c>
      <c r="C25" s="11">
        <f t="shared" si="12"/>
        <v>75.857817785706274</v>
      </c>
      <c r="D25" s="11">
        <f t="shared" si="12"/>
        <v>3.4166896791632655</v>
      </c>
      <c r="E25" s="11">
        <f t="shared" si="12"/>
        <v>38.034211525388002</v>
      </c>
      <c r="F25" s="11">
        <f t="shared" si="12"/>
        <v>41.450901204551265</v>
      </c>
      <c r="G25" s="200">
        <f t="shared" si="11"/>
        <v>2.8534055416853388E-2</v>
      </c>
      <c r="H25" s="11"/>
      <c r="I25" s="11" t="str">
        <f t="shared" si="13"/>
        <v>Sales and customer service occupations</v>
      </c>
      <c r="J25" s="11">
        <v>0.60557647918292767</v>
      </c>
      <c r="K25" s="11">
        <v>1.1421541348031765</v>
      </c>
      <c r="L25" s="11">
        <v>0.53657765562024884</v>
      </c>
      <c r="M25" s="11">
        <v>0.43569325305073203</v>
      </c>
      <c r="N25" s="11">
        <v>0.97227090867098098</v>
      </c>
      <c r="O25" s="11"/>
      <c r="P25" s="10" t="str">
        <f>name!D22</f>
        <v>62 Leisure, travel and related personal service occupations</v>
      </c>
      <c r="Q25" s="11">
        <v>19.176630284405594</v>
      </c>
      <c r="R25" s="11">
        <v>21.552141512387593</v>
      </c>
      <c r="S25" s="342">
        <f t="shared" si="5"/>
        <v>2.375511227981999</v>
      </c>
      <c r="T25" s="342">
        <v>8.751871564632772</v>
      </c>
      <c r="U25" s="342">
        <f t="shared" si="6"/>
        <v>11.127382792614771</v>
      </c>
      <c r="V25" s="343">
        <f t="shared" si="7"/>
        <v>2.5380426567258363E-2</v>
      </c>
      <c r="W25" s="343"/>
      <c r="X25" s="10" t="str">
        <f>name!A22</f>
        <v>Motor vehicles, etc</v>
      </c>
      <c r="Y25" s="10">
        <v>4.840999999994926</v>
      </c>
      <c r="Z25" s="10">
        <v>4.1250000000113198</v>
      </c>
      <c r="AA25" s="342">
        <f t="shared" si="8"/>
        <v>-0.71599999998360619</v>
      </c>
      <c r="AB25" s="10">
        <v>1.8262950385603514</v>
      </c>
      <c r="AC25" s="342">
        <f t="shared" si="9"/>
        <v>1.1102950385767452</v>
      </c>
      <c r="AD25" s="343">
        <f t="shared" si="10"/>
        <v>2.1568844346772309E-2</v>
      </c>
    </row>
    <row r="26" spans="1:30" x14ac:dyDescent="0.3">
      <c r="A26" s="10" t="str">
        <f>name!D23</f>
        <v>63 Community and civil enforcement occupations</v>
      </c>
      <c r="B26" s="11">
        <f t="shared" si="12"/>
        <v>3.4150609686279525</v>
      </c>
      <c r="C26" s="11">
        <f t="shared" si="12"/>
        <v>3.0103764029579527</v>
      </c>
      <c r="D26" s="11">
        <f t="shared" si="12"/>
        <v>-0.40468456566999939</v>
      </c>
      <c r="E26" s="11">
        <f t="shared" si="12"/>
        <v>1.4156468457782043</v>
      </c>
      <c r="F26" s="11">
        <f t="shared" si="12"/>
        <v>1.0109622801082048</v>
      </c>
      <c r="G26" s="200">
        <f t="shared" si="11"/>
        <v>2.3389178998938664E-2</v>
      </c>
      <c r="H26" s="11"/>
      <c r="I26" s="11" t="str">
        <f t="shared" si="13"/>
        <v>Process, plant and machine operatives</v>
      </c>
      <c r="J26" s="11">
        <v>0.40838109883736717</v>
      </c>
      <c r="K26" s="11">
        <v>1.0618756552711555</v>
      </c>
      <c r="L26" s="11">
        <v>0.65349455643378818</v>
      </c>
      <c r="M26" s="11">
        <v>0.48093401827297727</v>
      </c>
      <c r="N26" s="11">
        <v>1.1344285747067655</v>
      </c>
      <c r="O26" s="11"/>
      <c r="P26" s="10" t="str">
        <f>name!D23</f>
        <v>63 Community and civil enforcement occupations</v>
      </c>
      <c r="Q26" s="11">
        <v>2.5797467639813974</v>
      </c>
      <c r="R26" s="11">
        <v>1.8746580030195468</v>
      </c>
      <c r="S26" s="342">
        <f t="shared" si="5"/>
        <v>-0.70508876096185058</v>
      </c>
      <c r="T26" s="342">
        <v>0.72505723590738724</v>
      </c>
      <c r="U26" s="342">
        <f t="shared" si="6"/>
        <v>1.9968474945536663E-2</v>
      </c>
      <c r="V26" s="343">
        <f t="shared" si="7"/>
        <v>1.66494782006541E-2</v>
      </c>
      <c r="W26" s="343"/>
      <c r="X26" s="10" t="str">
        <f>name!A23</f>
        <v>Other transport equipment</v>
      </c>
      <c r="Y26" s="10">
        <v>8.157999999964856</v>
      </c>
      <c r="Z26" s="10">
        <v>6.4659999999708937</v>
      </c>
      <c r="AA26" s="342">
        <f t="shared" si="8"/>
        <v>-1.6919999999939623</v>
      </c>
      <c r="AB26" s="10">
        <v>2.6740099992497579</v>
      </c>
      <c r="AC26" s="342">
        <f t="shared" si="9"/>
        <v>0.98200999925579557</v>
      </c>
      <c r="AD26" s="343">
        <f t="shared" si="10"/>
        <v>1.9080183834525588E-2</v>
      </c>
    </row>
    <row r="27" spans="1:30" x14ac:dyDescent="0.3">
      <c r="A27" s="10" t="str">
        <f>name!D24</f>
        <v>71 Sales occupations</v>
      </c>
      <c r="B27" s="11">
        <f t="shared" ref="B27:F33" si="14">SUM(B56,B85,B114,B143,B172,B201,B230,B259,B288)</f>
        <v>194.69541294012959</v>
      </c>
      <c r="C27" s="11">
        <f t="shared" si="14"/>
        <v>172.17020547805856</v>
      </c>
      <c r="D27" s="11">
        <f t="shared" si="14"/>
        <v>-22.525207462070998</v>
      </c>
      <c r="E27" s="11">
        <f t="shared" si="14"/>
        <v>82.140711133378659</v>
      </c>
      <c r="F27" s="11">
        <f t="shared" si="14"/>
        <v>59.61550367130765</v>
      </c>
      <c r="G27" s="200">
        <f t="shared" si="11"/>
        <v>2.3743449797231753E-2</v>
      </c>
      <c r="H27" s="11"/>
      <c r="I27" s="11" t="str">
        <f t="shared" si="13"/>
        <v>Elementary occupations</v>
      </c>
      <c r="J27" s="11">
        <v>0.18763218455417477</v>
      </c>
      <c r="K27" s="11">
        <v>0.36522807465314572</v>
      </c>
      <c r="L27" s="11">
        <v>0.17759589009897092</v>
      </c>
      <c r="M27" s="11">
        <v>0.16901609744332452</v>
      </c>
      <c r="N27" s="11">
        <v>0.34661198754229544</v>
      </c>
      <c r="O27" s="11"/>
      <c r="P27" s="10" t="str">
        <f>name!D24</f>
        <v>71 Sales occupations</v>
      </c>
      <c r="Q27" s="11">
        <v>82.009454331550131</v>
      </c>
      <c r="R27" s="11">
        <v>76.992011819175545</v>
      </c>
      <c r="S27" s="342">
        <f t="shared" si="5"/>
        <v>-5.0174425123745863</v>
      </c>
      <c r="T27" s="342">
        <v>26.338243855509774</v>
      </c>
      <c r="U27" s="342">
        <f t="shared" si="6"/>
        <v>21.320801343135187</v>
      </c>
      <c r="V27" s="343">
        <f t="shared" si="7"/>
        <v>1.8740842333230923E-2</v>
      </c>
      <c r="W27" s="343"/>
      <c r="X27" s="10" t="str">
        <f>name!A24</f>
        <v>Furniture</v>
      </c>
      <c r="Y27" s="10">
        <v>9.2520000000111562</v>
      </c>
      <c r="Z27" s="10">
        <v>6.4820000000388891</v>
      </c>
      <c r="AA27" s="342">
        <f t="shared" si="8"/>
        <v>-2.7699999999722671</v>
      </c>
      <c r="AB27" s="10">
        <v>3.1494923443716236</v>
      </c>
      <c r="AC27" s="342">
        <f t="shared" si="9"/>
        <v>0.37949234439935653</v>
      </c>
      <c r="AD27" s="343">
        <f t="shared" si="10"/>
        <v>1.9723798412363935E-2</v>
      </c>
    </row>
    <row r="28" spans="1:30" x14ac:dyDescent="0.3">
      <c r="A28" s="10" t="str">
        <f>name!D25</f>
        <v>72 Customer service occupations</v>
      </c>
      <c r="B28" s="11">
        <f t="shared" si="14"/>
        <v>49.860654752101809</v>
      </c>
      <c r="C28" s="11">
        <f t="shared" si="14"/>
        <v>73.642352461597497</v>
      </c>
      <c r="D28" s="11">
        <f t="shared" si="14"/>
        <v>23.781697709495685</v>
      </c>
      <c r="E28" s="11">
        <f t="shared" si="14"/>
        <v>30.64189584414682</v>
      </c>
      <c r="F28" s="11">
        <f t="shared" si="14"/>
        <v>54.423593553642505</v>
      </c>
      <c r="G28" s="200">
        <f t="shared" si="11"/>
        <v>3.2452572908013844E-2</v>
      </c>
      <c r="H28" s="11"/>
      <c r="O28" s="11"/>
      <c r="P28" s="10" t="str">
        <f>name!D25</f>
        <v>72 Customer service occupations</v>
      </c>
      <c r="Q28" s="11">
        <v>17.060222414159423</v>
      </c>
      <c r="R28" s="11">
        <v>27.642047859582874</v>
      </c>
      <c r="S28" s="342">
        <f t="shared" si="5"/>
        <v>10.581825445423451</v>
      </c>
      <c r="T28" s="342">
        <v>8.2374526194242073</v>
      </c>
      <c r="U28" s="342">
        <f t="shared" si="6"/>
        <v>18.819278064847659</v>
      </c>
      <c r="V28" s="343">
        <f t="shared" si="7"/>
        <v>2.6612137857378926E-2</v>
      </c>
      <c r="W28" s="343"/>
      <c r="X28" s="10" t="str">
        <f>name!A25</f>
        <v>Other manufacturing</v>
      </c>
      <c r="Y28" s="10">
        <v>7.2749999999918042</v>
      </c>
      <c r="Z28" s="10">
        <v>5.0580000000262402</v>
      </c>
      <c r="AA28" s="342">
        <f t="shared" si="8"/>
        <v>-2.2169999999655641</v>
      </c>
      <c r="AB28" s="10">
        <v>2.6083874636139561</v>
      </c>
      <c r="AC28" s="342">
        <f t="shared" si="9"/>
        <v>0.39138746364839205</v>
      </c>
      <c r="AD28" s="343">
        <f t="shared" si="10"/>
        <v>2.063750133727793E-2</v>
      </c>
    </row>
    <row r="29" spans="1:30" x14ac:dyDescent="0.3">
      <c r="A29" s="10" t="str">
        <f>name!D26</f>
        <v>81 Process, plant and machine operatives</v>
      </c>
      <c r="B29" s="11">
        <f t="shared" si="14"/>
        <v>66.182996311243727</v>
      </c>
      <c r="C29" s="11">
        <f t="shared" si="14"/>
        <v>82.12642576276599</v>
      </c>
      <c r="D29" s="11">
        <f t="shared" si="14"/>
        <v>15.94342945152227</v>
      </c>
      <c r="E29" s="11">
        <f t="shared" si="14"/>
        <v>31.778806155591674</v>
      </c>
      <c r="F29" s="11">
        <f t="shared" si="14"/>
        <v>47.72223560711393</v>
      </c>
      <c r="G29" s="200">
        <f t="shared" si="11"/>
        <v>2.6488345400373703E-2</v>
      </c>
      <c r="H29" s="11"/>
      <c r="I29" s="86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51.196052439998553</v>
      </c>
      <c r="R29" s="11">
        <v>63.930909866862393</v>
      </c>
      <c r="S29" s="342">
        <f t="shared" si="5"/>
        <v>12.73485742686384</v>
      </c>
      <c r="T29" s="342">
        <v>22.56106780773921</v>
      </c>
      <c r="U29" s="342">
        <f t="shared" si="6"/>
        <v>35.295925234603047</v>
      </c>
      <c r="V29" s="343">
        <f t="shared" si="7"/>
        <v>2.4639667825946177E-2</v>
      </c>
      <c r="W29" s="343"/>
      <c r="X29" s="10" t="str">
        <f>name!A26</f>
        <v>Repair and installation</v>
      </c>
      <c r="Y29" s="10">
        <v>19.179999999947778</v>
      </c>
      <c r="Z29" s="10">
        <v>13.800999999987694</v>
      </c>
      <c r="AA29" s="342">
        <f t="shared" si="8"/>
        <v>-5.3789999999600848</v>
      </c>
      <c r="AB29" s="10">
        <v>6.6464501717899385</v>
      </c>
      <c r="AC29" s="342">
        <f t="shared" si="9"/>
        <v>1.2674501718298536</v>
      </c>
      <c r="AD29" s="343">
        <f t="shared" si="10"/>
        <v>2.0033435354305018E-2</v>
      </c>
    </row>
    <row r="30" spans="1:30" x14ac:dyDescent="0.3">
      <c r="A30" s="10" t="str">
        <f>name!D27</f>
        <v>82 Transport and mobile machine drivers and operatives</v>
      </c>
      <c r="B30" s="11">
        <f t="shared" si="14"/>
        <v>115.43320624120324</v>
      </c>
      <c r="C30" s="11">
        <f t="shared" si="14"/>
        <v>132.52018950559292</v>
      </c>
      <c r="D30" s="11">
        <f t="shared" si="14"/>
        <v>17.086983264389669</v>
      </c>
      <c r="E30" s="11">
        <f t="shared" si="14"/>
        <v>67.907583755700827</v>
      </c>
      <c r="F30" s="11">
        <f t="shared" si="14"/>
        <v>84.994567020090486</v>
      </c>
      <c r="G30" s="200">
        <f t="shared" si="11"/>
        <v>3.1324233401118784E-2</v>
      </c>
      <c r="H30" s="11"/>
      <c r="I30" s="11" t="str">
        <f>I19</f>
        <v>Managers, directors and senior officials</v>
      </c>
      <c r="J30" s="11">
        <f t="array" ref="J30:J38">MMULT(aggregation!$B$38:$AA$46,B65:B90)</f>
        <v>37.998089613369494</v>
      </c>
      <c r="K30" s="11">
        <f t="array" ref="K30:K38">MMULT(aggregation!$B$38:$AA$46,C65:C90)</f>
        <v>65.78855643758294</v>
      </c>
      <c r="L30" s="11">
        <f t="array" ref="L30:L38">MMULT(aggregation!$B$38:$AA$46,D65:D90)</f>
        <v>27.790466824213446</v>
      </c>
      <c r="M30" s="11">
        <f t="array" ref="M30:M38">MMULT(aggregation!$B$38:$AA$46,E65:E90)</f>
        <v>30.02912203630428</v>
      </c>
      <c r="N30" s="11">
        <f t="array" ref="N30:N38">MMULT(aggregation!$B$38:$AA$46,F65:F90)</f>
        <v>57.819588860517726</v>
      </c>
      <c r="O30" s="11"/>
      <c r="P30" s="10" t="str">
        <f>name!D27</f>
        <v>82 Transport and mobile machine drivers and operatives</v>
      </c>
      <c r="Q30" s="11">
        <v>105.82943203655184</v>
      </c>
      <c r="R30" s="11">
        <v>115.94516761857339</v>
      </c>
      <c r="S30" s="342">
        <f t="shared" si="5"/>
        <v>10.115735582021557</v>
      </c>
      <c r="T30" s="342">
        <v>58.831357609208204</v>
      </c>
      <c r="U30" s="342">
        <f t="shared" si="6"/>
        <v>68.947093191229754</v>
      </c>
      <c r="V30" s="343">
        <f t="shared" si="7"/>
        <v>2.9909146849591783E-2</v>
      </c>
      <c r="W30" s="343"/>
      <c r="X30" s="10" t="str">
        <f>name!A27</f>
        <v>Electricity, gas, etc</v>
      </c>
      <c r="Y30" s="10">
        <v>5.9299999999484241</v>
      </c>
      <c r="Z30" s="10">
        <v>5.286999999950595</v>
      </c>
      <c r="AA30" s="342">
        <f t="shared" si="8"/>
        <v>-0.64299999999782909</v>
      </c>
      <c r="AB30" s="10">
        <v>2.3204790414030039</v>
      </c>
      <c r="AC30" s="342">
        <f t="shared" si="9"/>
        <v>1.6774790414051748</v>
      </c>
      <c r="AD30" s="343">
        <f t="shared" si="10"/>
        <v>2.2260621051331198E-2</v>
      </c>
    </row>
    <row r="31" spans="1:30" x14ac:dyDescent="0.3">
      <c r="A31" s="10" t="str">
        <f>name!D28</f>
        <v>91 Elementary trades and related occupations</v>
      </c>
      <c r="B31" s="11">
        <f t="shared" si="14"/>
        <v>43.984729492291905</v>
      </c>
      <c r="C31" s="11">
        <f t="shared" si="14"/>
        <v>38.185707998463073</v>
      </c>
      <c r="D31" s="11">
        <f t="shared" si="14"/>
        <v>-5.7990214938288371</v>
      </c>
      <c r="E31" s="11">
        <f t="shared" si="14"/>
        <v>14.857969602341996</v>
      </c>
      <c r="F31" s="11">
        <f t="shared" si="14"/>
        <v>9.0589481085131602</v>
      </c>
      <c r="G31" s="200">
        <f t="shared" si="11"/>
        <v>1.9591119116161515E-2</v>
      </c>
      <c r="H31" s="11"/>
      <c r="I31" s="11" t="str">
        <f>I20</f>
        <v>Professional occupations</v>
      </c>
      <c r="J31" s="11">
        <v>172.43728582694351</v>
      </c>
      <c r="K31" s="11">
        <v>274.05656732409943</v>
      </c>
      <c r="L31" s="11">
        <v>101.61928149715592</v>
      </c>
      <c r="M31" s="11">
        <v>113.24829762566283</v>
      </c>
      <c r="N31" s="11">
        <v>214.86757912281874</v>
      </c>
      <c r="O31" s="11"/>
      <c r="P31" s="10" t="str">
        <f>name!D28</f>
        <v>91 Elementary trades and related occupations</v>
      </c>
      <c r="Q31" s="11">
        <v>35.678478286759258</v>
      </c>
      <c r="R31" s="11">
        <v>31.193144452302363</v>
      </c>
      <c r="S31" s="342">
        <f t="shared" si="5"/>
        <v>-4.4853338344568954</v>
      </c>
      <c r="T31" s="342">
        <v>10.338840988959156</v>
      </c>
      <c r="U31" s="342">
        <f t="shared" si="6"/>
        <v>5.8535071545022603</v>
      </c>
      <c r="V31" s="343">
        <f t="shared" si="7"/>
        <v>1.7109395605851674E-2</v>
      </c>
      <c r="W31" s="343"/>
      <c r="X31" s="10" t="str">
        <f>name!A28</f>
        <v>Water</v>
      </c>
      <c r="Y31" s="10">
        <v>5.4109999999683183</v>
      </c>
      <c r="Z31" s="10">
        <v>6.2839999999523277</v>
      </c>
      <c r="AA31" s="342">
        <f t="shared" si="8"/>
        <v>0.87299999998400946</v>
      </c>
      <c r="AB31" s="10">
        <v>2.5973725623724593</v>
      </c>
      <c r="AC31" s="342">
        <f t="shared" si="9"/>
        <v>3.4703725623564687</v>
      </c>
      <c r="AD31" s="343">
        <f t="shared" si="10"/>
        <v>2.6481474161520469E-2</v>
      </c>
    </row>
    <row r="32" spans="1:30" x14ac:dyDescent="0.3">
      <c r="A32" s="10" t="str">
        <f>name!D29</f>
        <v>92 Elementary administration and service occupations</v>
      </c>
      <c r="B32" s="11">
        <f t="shared" si="14"/>
        <v>307.76629076952196</v>
      </c>
      <c r="C32" s="11">
        <f t="shared" si="14"/>
        <v>301.74725815319294</v>
      </c>
      <c r="D32" s="11">
        <f t="shared" si="14"/>
        <v>-6.019032616329028</v>
      </c>
      <c r="E32" s="11">
        <f t="shared" si="14"/>
        <v>153.22446673872383</v>
      </c>
      <c r="F32" s="11">
        <f t="shared" si="14"/>
        <v>147.20543412239479</v>
      </c>
      <c r="G32" s="200">
        <f t="shared" ref="G32" si="15">IF(B32&gt;0,(1+(E32/B32))^(1/($C$6-$B$6))-1,0)</f>
        <v>2.7301868089646408E-2</v>
      </c>
      <c r="H32" s="11"/>
      <c r="I32" s="11" t="str">
        <f>I21</f>
        <v>Associate professional occupations</v>
      </c>
      <c r="J32" s="11">
        <v>50.278048526487822</v>
      </c>
      <c r="K32" s="11">
        <v>82.436593082502469</v>
      </c>
      <c r="L32" s="11">
        <v>32.158544556014654</v>
      </c>
      <c r="M32" s="11">
        <v>33.502414604561054</v>
      </c>
      <c r="N32" s="11">
        <v>65.660959160575715</v>
      </c>
      <c r="O32" s="11"/>
      <c r="P32" s="10" t="str">
        <f>name!D29</f>
        <v>92 Elementary administration and service occupations</v>
      </c>
      <c r="Q32" s="11">
        <v>145.12374286389741</v>
      </c>
      <c r="R32" s="11">
        <v>149.6037252925739</v>
      </c>
      <c r="S32" s="342">
        <f t="shared" ref="S32" si="16">R32-Q32</f>
        <v>4.4799824286764931</v>
      </c>
      <c r="T32" s="342">
        <v>61.029145413833049</v>
      </c>
      <c r="U32" s="342">
        <f>SUM(S32:T32)</f>
        <v>65.509127842509542</v>
      </c>
      <c r="V32" s="343">
        <f>IF(Q32&gt;0,(1+(T32/Q32))^(1/($C$6-$B$6))-1,0)</f>
        <v>2.3678063567068586E-2</v>
      </c>
      <c r="W32" s="343"/>
      <c r="X32" s="10" t="str">
        <f>name!A29</f>
        <v>Sewerage</v>
      </c>
      <c r="Y32" s="10">
        <v>2.7940000000086376</v>
      </c>
      <c r="Z32" s="10">
        <v>3.3160000000360834</v>
      </c>
      <c r="AA32" s="342">
        <f t="shared" si="8"/>
        <v>0.52200000002744584</v>
      </c>
      <c r="AB32" s="10">
        <v>1.3512497239451562</v>
      </c>
      <c r="AC32" s="342">
        <f t="shared" si="9"/>
        <v>1.873249723972602</v>
      </c>
      <c r="AD32" s="343">
        <f t="shared" si="10"/>
        <v>2.6648128533572235E-2</v>
      </c>
    </row>
    <row r="33" spans="1:30" x14ac:dyDescent="0.3">
      <c r="A33" t="str">
        <f>name!D3</f>
        <v>All occupations</v>
      </c>
      <c r="B33" s="11">
        <f t="shared" si="14"/>
        <v>3174.1919999983998</v>
      </c>
      <c r="C33" s="11">
        <f t="shared" si="14"/>
        <v>3444.2829999979008</v>
      </c>
      <c r="D33" s="11">
        <f t="shared" si="14"/>
        <v>270.09099999950075</v>
      </c>
      <c r="E33" s="11">
        <f t="shared" si="14"/>
        <v>1606.4940483911948</v>
      </c>
      <c r="F33" s="11">
        <f t="shared" si="14"/>
        <v>1876.5850483906954</v>
      </c>
      <c r="G33" s="200">
        <f t="shared" si="11"/>
        <v>2.7678179726469576E-2</v>
      </c>
      <c r="H33" s="11"/>
      <c r="I33" s="11" t="str">
        <f>I22</f>
        <v>Administrative and secretarial occupations</v>
      </c>
      <c r="J33" s="11">
        <v>17.974281103093119</v>
      </c>
      <c r="K33" s="11">
        <v>31.327315819559722</v>
      </c>
      <c r="L33" s="11">
        <v>13.353034716466603</v>
      </c>
      <c r="M33" s="11">
        <v>13.918821630893845</v>
      </c>
      <c r="N33" s="11">
        <v>27.271856347360448</v>
      </c>
      <c r="O33" s="11"/>
      <c r="P33" s="10" t="str">
        <f>name!D3</f>
        <v>All occupations</v>
      </c>
      <c r="Q33" s="11">
        <f>SUM(Q7:Q32)</f>
        <v>1634.9039999990937</v>
      </c>
      <c r="R33" s="11">
        <f>SUM(R7:R32)</f>
        <v>1768.6709999982768</v>
      </c>
      <c r="S33" s="342">
        <f>R33-Q33</f>
        <v>133.7669999991831</v>
      </c>
      <c r="T33" s="11">
        <f>SUM(T7:T32)</f>
        <v>690.81054547331917</v>
      </c>
      <c r="U33" s="342">
        <f>SUM(S33:T33)</f>
        <v>824.57754547250227</v>
      </c>
      <c r="V33" s="343">
        <f t="shared" si="7"/>
        <v>2.377442651616013E-2</v>
      </c>
      <c r="W33" s="11"/>
      <c r="X33" s="10" t="str">
        <f>name!A30</f>
        <v>Waste management</v>
      </c>
      <c r="Y33" s="10">
        <v>13.207000000035759</v>
      </c>
      <c r="Z33" s="10">
        <v>15.29500000013263</v>
      </c>
      <c r="AA33" s="342">
        <f t="shared" si="8"/>
        <v>2.088000000096871</v>
      </c>
      <c r="AB33" s="10">
        <v>6.372227520121478</v>
      </c>
      <c r="AC33" s="342">
        <f t="shared" si="9"/>
        <v>8.4602275202183499</v>
      </c>
      <c r="AD33" s="343">
        <f t="shared" si="10"/>
        <v>2.6595662597074909E-2</v>
      </c>
    </row>
    <row r="34" spans="1:30" ht="30" customHeight="1" x14ac:dyDescent="0.3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4.6014332582947368</v>
      </c>
      <c r="K34" s="11">
        <v>9.4318519169006869</v>
      </c>
      <c r="L34" s="11">
        <v>4.8304186586059483</v>
      </c>
      <c r="M34" s="11">
        <v>3.9581361317452854</v>
      </c>
      <c r="N34" s="11">
        <v>8.7885547903512329</v>
      </c>
      <c r="O34" s="11"/>
      <c r="P34" s="23"/>
      <c r="Q34" s="33"/>
      <c r="R34" s="33"/>
      <c r="S34" s="33"/>
      <c r="T34" s="33"/>
      <c r="U34" s="33"/>
      <c r="V34" s="33"/>
      <c r="W34" s="345"/>
      <c r="X34" s="10" t="str">
        <f>name!A31</f>
        <v>Construction</v>
      </c>
      <c r="Y34" s="10">
        <v>83.303999999433771</v>
      </c>
      <c r="Z34" s="10">
        <v>100.58799999905213</v>
      </c>
      <c r="AA34" s="342">
        <f t="shared" si="8"/>
        <v>17.283999999618359</v>
      </c>
      <c r="AB34" s="10">
        <v>39.760263950965054</v>
      </c>
      <c r="AC34" s="342">
        <f t="shared" si="9"/>
        <v>57.044263950583414</v>
      </c>
      <c r="AD34" s="343">
        <f t="shared" si="10"/>
        <v>2.6355325753327108E-2</v>
      </c>
    </row>
    <row r="35" spans="1:30" ht="24.9" x14ac:dyDescent="0.3">
      <c r="A35" s="201" t="str">
        <f>CONCATENATE(name!F4," (Constrained)")</f>
        <v>RQF8 Doctorate (Constrained)</v>
      </c>
      <c r="B35" s="74">
        <f t="shared" ref="B35:G35" si="17">B6</f>
        <v>2020</v>
      </c>
      <c r="C35" s="74">
        <f t="shared" si="17"/>
        <v>2035</v>
      </c>
      <c r="D35" s="87" t="str">
        <f t="shared" si="17"/>
        <v>Net Change</v>
      </c>
      <c r="E35" s="87" t="str">
        <f t="shared" si="17"/>
        <v>Replacement Demand level</v>
      </c>
      <c r="F35" s="87" t="str">
        <f t="shared" si="17"/>
        <v>Total Requirement</v>
      </c>
      <c r="G35" s="87" t="str">
        <f t="shared" si="17"/>
        <v>Replacement Demand rate</v>
      </c>
      <c r="H35" s="11"/>
      <c r="I35" s="11" t="str">
        <f t="shared" ref="I35:I38" si="18">I24</f>
        <v>Caring, leisure and other service occupations</v>
      </c>
      <c r="J35" s="11">
        <v>9.7528532114600921</v>
      </c>
      <c r="K35" s="11">
        <v>20.813999858411318</v>
      </c>
      <c r="L35" s="11">
        <v>11.061146646951226</v>
      </c>
      <c r="M35" s="11">
        <v>9.2640848697907838</v>
      </c>
      <c r="N35" s="11">
        <v>20.325231516742011</v>
      </c>
      <c r="O35" s="11"/>
      <c r="P35" s="201" t="s">
        <v>99</v>
      </c>
      <c r="Q35" s="74">
        <f t="shared" ref="Q35:V35" si="19">B35</f>
        <v>2020</v>
      </c>
      <c r="R35" s="74">
        <f t="shared" si="19"/>
        <v>2035</v>
      </c>
      <c r="S35" s="341" t="str">
        <f t="shared" si="19"/>
        <v>Net Change</v>
      </c>
      <c r="T35" s="341" t="str">
        <f t="shared" si="19"/>
        <v>Replacement Demand level</v>
      </c>
      <c r="U35" s="341" t="str">
        <f t="shared" si="19"/>
        <v>Total Requirement</v>
      </c>
      <c r="V35" s="341" t="str">
        <f t="shared" si="19"/>
        <v>Replacement Demand rate</v>
      </c>
      <c r="W35" s="343"/>
      <c r="X35" s="10" t="str">
        <f>name!A32</f>
        <v>Civil engineering</v>
      </c>
      <c r="Y35" s="10">
        <v>40.44699999971661</v>
      </c>
      <c r="Z35" s="10">
        <v>48.584999999411934</v>
      </c>
      <c r="AA35" s="342">
        <f t="shared" si="8"/>
        <v>8.1379999996953245</v>
      </c>
      <c r="AB35" s="10">
        <v>18.130387482645894</v>
      </c>
      <c r="AC35" s="342">
        <f t="shared" si="9"/>
        <v>26.268387482341218</v>
      </c>
      <c r="AD35" s="343">
        <f t="shared" si="10"/>
        <v>2.4997750401198893E-2</v>
      </c>
    </row>
    <row r="36" spans="1:30" ht="12.75" customHeight="1" x14ac:dyDescent="0.3">
      <c r="A36" t="str">
        <f t="shared" ref="A36:A62" si="20">A7</f>
        <v>11 Corporate managers and directors</v>
      </c>
      <c r="B36" s="11">
        <v>3.6048094510627395</v>
      </c>
      <c r="C36" s="11">
        <v>5.5499208332365093</v>
      </c>
      <c r="D36" s="11">
        <f>C36-B36</f>
        <v>1.9451113821737698</v>
      </c>
      <c r="E36" s="11">
        <v>2.4890346147142708</v>
      </c>
      <c r="F36" s="11">
        <f>SUM(D36:E36)</f>
        <v>4.4341459968880406</v>
      </c>
      <c r="G36" s="200">
        <f>IF(B36&gt;0,(1+(E36/B36))^(1/($C$6-$B$6))-1,0)</f>
        <v>3.5620411612006464E-2</v>
      </c>
      <c r="I36" s="11" t="str">
        <f t="shared" si="18"/>
        <v>Sales and customer service occupations</v>
      </c>
      <c r="J36" s="11">
        <v>7.8262834220366342</v>
      </c>
      <c r="K36" s="11">
        <v>15.348618093536928</v>
      </c>
      <c r="L36" s="11">
        <v>7.5223346715002943</v>
      </c>
      <c r="M36" s="11">
        <v>5.8055801386116253</v>
      </c>
      <c r="N36" s="11">
        <v>13.327914810111919</v>
      </c>
      <c r="P36" s="10" t="str">
        <f>name!D4</f>
        <v>11 Corporate managers and directors</v>
      </c>
      <c r="Q36" s="11">
        <v>83.435331918849499</v>
      </c>
      <c r="R36" s="11">
        <v>100.28993677055635</v>
      </c>
      <c r="S36" s="342">
        <f>R36-Q36</f>
        <v>16.854604851706853</v>
      </c>
      <c r="T36" s="342">
        <v>52.757086216829109</v>
      </c>
      <c r="U36" s="342">
        <f>SUM(S36:T36)</f>
        <v>69.611691068535961</v>
      </c>
      <c r="V36" s="343">
        <f>IF(Q36&gt;0,(1+(T36/Q36))^(1/($C$6-$B$6))-1,0)</f>
        <v>3.3205863610549002E-2</v>
      </c>
      <c r="W36" s="343"/>
      <c r="X36" s="10" t="str">
        <f>name!A33</f>
        <v>Specialised construction</v>
      </c>
      <c r="Y36" s="10">
        <v>149.66299999894181</v>
      </c>
      <c r="Z36" s="10">
        <v>180.02499999792082</v>
      </c>
      <c r="AA36" s="342">
        <f t="shared" si="8"/>
        <v>30.361999998979002</v>
      </c>
      <c r="AB36" s="10">
        <v>68.5432077044008</v>
      </c>
      <c r="AC36" s="342">
        <f t="shared" si="9"/>
        <v>98.905207703379801</v>
      </c>
      <c r="AD36" s="343">
        <f t="shared" si="10"/>
        <v>2.5455558853216598E-2</v>
      </c>
    </row>
    <row r="37" spans="1:30" x14ac:dyDescent="0.3">
      <c r="A37" t="str">
        <f t="shared" si="20"/>
        <v>12 Other managers and proprietors</v>
      </c>
      <c r="B37" s="11">
        <v>1.2351249870149699</v>
      </c>
      <c r="C37" s="11">
        <v>2.7858570908901177</v>
      </c>
      <c r="D37" s="11">
        <f t="shared" ref="D37:D60" si="21">C37-B37</f>
        <v>1.5507321038751478</v>
      </c>
      <c r="E37" s="11">
        <v>1.3442794166436625</v>
      </c>
      <c r="F37" s="11">
        <f t="shared" ref="F37:F57" si="22">SUM(D37:E37)</f>
        <v>2.8950115205188105</v>
      </c>
      <c r="G37" s="200">
        <f t="shared" ref="G37:G62" si="23">IF(B37&gt;0,(1+(E37/B37))^(1/($C$6-$B$6))-1,0)</f>
        <v>5.0317420229068155E-2</v>
      </c>
      <c r="I37" s="11" t="str">
        <f t="shared" si="18"/>
        <v>Process, plant and machine operatives</v>
      </c>
      <c r="J37" s="11">
        <v>2.5305510393827801</v>
      </c>
      <c r="K37" s="11">
        <v>6.024758375513219</v>
      </c>
      <c r="L37" s="11">
        <v>3.4942073361304384</v>
      </c>
      <c r="M37" s="11">
        <v>2.6277431848516413</v>
      </c>
      <c r="N37" s="11">
        <v>6.1219505209820797</v>
      </c>
      <c r="P37" s="10" t="str">
        <f>name!D5</f>
        <v>12 Other managers and proprietors</v>
      </c>
      <c r="Q37" s="11">
        <v>46.624951645745739</v>
      </c>
      <c r="R37" s="11">
        <v>66.337253129716359</v>
      </c>
      <c r="S37" s="342">
        <f t="shared" ref="S37:S60" si="24">R37-Q37</f>
        <v>19.71230148397062</v>
      </c>
      <c r="T37" s="342">
        <v>37.926391431613659</v>
      </c>
      <c r="U37" s="342">
        <f t="shared" ref="U37:U60" si="25">SUM(S37:T37)</f>
        <v>57.638692915584279</v>
      </c>
      <c r="V37" s="343">
        <f t="shared" ref="V37:V60" si="26">IF(Q37&gt;0,(1+(T37/Q37))^(1/($C$6-$B$6))-1,0)</f>
        <v>4.0479371707741629E-2</v>
      </c>
      <c r="W37" s="343"/>
      <c r="X37" s="10" t="str">
        <f>name!A34</f>
        <v>Motor vehicle trade</v>
      </c>
      <c r="Y37" s="10">
        <v>70.215000000131297</v>
      </c>
      <c r="Z37" s="10">
        <v>80.97000000058452</v>
      </c>
      <c r="AA37" s="342">
        <f t="shared" si="8"/>
        <v>10.755000000453222</v>
      </c>
      <c r="AB37" s="10">
        <v>31.914849833364283</v>
      </c>
      <c r="AC37" s="342">
        <f t="shared" si="9"/>
        <v>42.669849833817509</v>
      </c>
      <c r="AD37" s="343">
        <f t="shared" si="10"/>
        <v>2.5293457746415227E-2</v>
      </c>
    </row>
    <row r="38" spans="1:30" x14ac:dyDescent="0.3">
      <c r="A38" t="str">
        <f t="shared" si="20"/>
        <v>21 Science, research, engineering and technology professionals</v>
      </c>
      <c r="B38" s="11">
        <v>10.323616832205884</v>
      </c>
      <c r="C38" s="11">
        <v>15.997156622275963</v>
      </c>
      <c r="D38" s="11">
        <f t="shared" si="21"/>
        <v>5.6735397900700786</v>
      </c>
      <c r="E38" s="11">
        <v>5.2901023556484468</v>
      </c>
      <c r="F38" s="11">
        <f t="shared" si="22"/>
        <v>10.963642145718525</v>
      </c>
      <c r="G38" s="200">
        <f t="shared" si="23"/>
        <v>2.7964931441289975E-2</v>
      </c>
      <c r="I38" s="11" t="str">
        <f t="shared" si="18"/>
        <v>Elementary occupations</v>
      </c>
      <c r="J38" s="11">
        <v>6.2311536714805671</v>
      </c>
      <c r="K38" s="11">
        <v>13.124251175705805</v>
      </c>
      <c r="L38" s="11">
        <v>6.8930975042252376</v>
      </c>
      <c r="M38" s="11">
        <v>5.7178873338233629</v>
      </c>
      <c r="N38" s="11">
        <v>12.6109848380486</v>
      </c>
      <c r="P38" s="10" t="str">
        <f>name!D6</f>
        <v>21 Science, research, engineering and technology professionals</v>
      </c>
      <c r="Q38" s="11">
        <v>48.553363120021771</v>
      </c>
      <c r="R38" s="11">
        <v>69.054862024796279</v>
      </c>
      <c r="S38" s="342">
        <f t="shared" si="24"/>
        <v>20.501498904774508</v>
      </c>
      <c r="T38" s="342">
        <v>30.55078441706473</v>
      </c>
      <c r="U38" s="342">
        <f t="shared" si="25"/>
        <v>51.052283321839241</v>
      </c>
      <c r="V38" s="343">
        <f t="shared" si="26"/>
        <v>3.3075342318002576E-2</v>
      </c>
      <c r="W38" s="343"/>
      <c r="X38" s="10" t="str">
        <f>name!A35</f>
        <v>Wholesale trade</v>
      </c>
      <c r="Y38" s="10">
        <v>125.14399999961606</v>
      </c>
      <c r="Z38" s="10">
        <v>129.09600000025193</v>
      </c>
      <c r="AA38" s="342">
        <f t="shared" si="8"/>
        <v>3.9520000006358771</v>
      </c>
      <c r="AB38" s="10">
        <v>57.781638181971829</v>
      </c>
      <c r="AC38" s="342">
        <f t="shared" si="9"/>
        <v>61.733638182607706</v>
      </c>
      <c r="AD38" s="343">
        <f t="shared" si="10"/>
        <v>2.5630600224211042E-2</v>
      </c>
    </row>
    <row r="39" spans="1:30" x14ac:dyDescent="0.3">
      <c r="A39" t="str">
        <f t="shared" si="20"/>
        <v>22 Health professionals</v>
      </c>
      <c r="B39" s="11">
        <v>6.5322903368969145</v>
      </c>
      <c r="C39" s="11">
        <v>11.991588015928913</v>
      </c>
      <c r="D39" s="11">
        <f t="shared" si="21"/>
        <v>5.4592976790319989</v>
      </c>
      <c r="E39" s="11">
        <v>4.8975632854959779</v>
      </c>
      <c r="F39" s="11">
        <f t="shared" si="22"/>
        <v>10.356860964527977</v>
      </c>
      <c r="G39" s="200">
        <f t="shared" si="23"/>
        <v>3.800237201380452E-2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87.440561764701499</v>
      </c>
      <c r="R39" s="11">
        <v>106.12705570352759</v>
      </c>
      <c r="S39" s="342">
        <f t="shared" si="24"/>
        <v>18.686493938826089</v>
      </c>
      <c r="T39" s="342">
        <v>57.822458225653364</v>
      </c>
      <c r="U39" s="342">
        <f t="shared" si="25"/>
        <v>76.508952164479453</v>
      </c>
      <c r="V39" s="343">
        <f t="shared" si="26"/>
        <v>3.4418173509025651E-2</v>
      </c>
      <c r="W39" s="343"/>
      <c r="X39" s="10" t="str">
        <f>name!A36</f>
        <v>Retail trade</v>
      </c>
      <c r="Y39" s="10">
        <v>276.54400000090595</v>
      </c>
      <c r="Z39" s="10">
        <v>277.06699999889088</v>
      </c>
      <c r="AA39" s="342">
        <f t="shared" si="8"/>
        <v>0.52299999798492536</v>
      </c>
      <c r="AB39" s="10">
        <v>132.67109135079195</v>
      </c>
      <c r="AC39" s="342">
        <f t="shared" si="9"/>
        <v>133.19409134877688</v>
      </c>
      <c r="AD39" s="343">
        <f t="shared" si="10"/>
        <v>2.6468973552991937E-2</v>
      </c>
    </row>
    <row r="40" spans="1:30" x14ac:dyDescent="0.3">
      <c r="A40" t="str">
        <f t="shared" si="20"/>
        <v>23 Teaching and other educational professionals</v>
      </c>
      <c r="B40" s="11">
        <v>12.341803796489483</v>
      </c>
      <c r="C40" s="11">
        <v>17.121185363614959</v>
      </c>
      <c r="D40" s="11">
        <f>C40-B40</f>
        <v>4.7793815671254762</v>
      </c>
      <c r="E40" s="11">
        <v>7.5699766666763777</v>
      </c>
      <c r="F40" s="11">
        <f>SUM(D40:E40)</f>
        <v>12.349358233801855</v>
      </c>
      <c r="G40" s="200">
        <f>IF(B40&gt;0,(1+(E40/B40))^(1/($C$6-$B$6))-1,0)</f>
        <v>3.2401825571520826E-2</v>
      </c>
      <c r="I40" s="86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102.36443166291744</v>
      </c>
      <c r="R40" s="11">
        <v>113.77872548866561</v>
      </c>
      <c r="S40" s="342">
        <f t="shared" si="24"/>
        <v>11.414293825748175</v>
      </c>
      <c r="T40" s="342">
        <v>59.010947118054261</v>
      </c>
      <c r="U40" s="342">
        <f t="shared" si="25"/>
        <v>70.425240943802436</v>
      </c>
      <c r="V40" s="343">
        <f t="shared" si="26"/>
        <v>3.0811400313019766E-2</v>
      </c>
      <c r="W40" s="343"/>
      <c r="X40" s="10" t="str">
        <f>name!A37</f>
        <v>Land transport, etc</v>
      </c>
      <c r="Y40" s="10">
        <v>77.322000000795811</v>
      </c>
      <c r="Z40" s="10">
        <v>88.515000002591989</v>
      </c>
      <c r="AA40" s="342">
        <f t="shared" si="8"/>
        <v>11.193000001796179</v>
      </c>
      <c r="AB40" s="10">
        <v>42.391769445904622</v>
      </c>
      <c r="AC40" s="342">
        <f t="shared" si="9"/>
        <v>53.584769447700801</v>
      </c>
      <c r="AD40" s="343">
        <f t="shared" si="10"/>
        <v>2.9570448081528866E-2</v>
      </c>
    </row>
    <row r="41" spans="1:30" x14ac:dyDescent="0.3">
      <c r="A41" t="str">
        <f t="shared" si="20"/>
        <v>24 Business, media and public service professionals</v>
      </c>
      <c r="B41" s="11">
        <v>3.4155505503339278</v>
      </c>
      <c r="C41" s="11">
        <v>6.3320472510730532</v>
      </c>
      <c r="D41" s="11">
        <f t="shared" si="21"/>
        <v>2.9164967007391254</v>
      </c>
      <c r="E41" s="11">
        <v>2.5538362757653195</v>
      </c>
      <c r="F41" s="11">
        <f t="shared" si="22"/>
        <v>5.4703329765044444</v>
      </c>
      <c r="G41" s="200">
        <f t="shared" si="23"/>
        <v>3.7921720204409981E-2</v>
      </c>
      <c r="I41" s="11" t="str">
        <f>I30</f>
        <v>Managers, directors and senior officials</v>
      </c>
      <c r="J41" s="11">
        <f t="array" ref="J41:J49">MMULT(aggregation!$B$38:$AA$46,B94:B119)</f>
        <v>96.560660132986982</v>
      </c>
      <c r="K41" s="11">
        <f t="array" ref="K41:K49">MMULT(aggregation!$B$38:$AA$46,C94:C119)</f>
        <v>123.74373600769059</v>
      </c>
      <c r="L41" s="11">
        <f t="array" ref="L41:L49">MMULT(aggregation!$B$38:$AA$46,D94:D119)</f>
        <v>27.183075874703604</v>
      </c>
      <c r="M41" s="11">
        <f t="array" ref="M41:M49">MMULT(aggregation!$B$38:$AA$46,E94:E119)</f>
        <v>63.916648346913597</v>
      </c>
      <c r="N41" s="11">
        <f t="array" ref="N41:N49">MMULT(aggregation!$B$38:$AA$46,F94:F119)</f>
        <v>91.099724221617208</v>
      </c>
      <c r="P41" s="10" t="str">
        <f>name!D9</f>
        <v>24 Business, media and public service professionals</v>
      </c>
      <c r="Q41" s="11">
        <v>92.744082328855939</v>
      </c>
      <c r="R41" s="11">
        <v>122.81997977069315</v>
      </c>
      <c r="S41" s="342">
        <f t="shared" si="24"/>
        <v>30.075897441837213</v>
      </c>
      <c r="T41" s="342">
        <v>59.606420994292606</v>
      </c>
      <c r="U41" s="342">
        <f t="shared" si="25"/>
        <v>89.682318436129819</v>
      </c>
      <c r="V41" s="343">
        <f t="shared" si="26"/>
        <v>3.3642867822369471E-2</v>
      </c>
      <c r="W41" s="343"/>
      <c r="X41" s="10" t="str">
        <f>name!A38</f>
        <v>Water transport</v>
      </c>
      <c r="Y41" s="10">
        <v>0.92700000000212113</v>
      </c>
      <c r="Z41" s="10">
        <v>0.76200000000498014</v>
      </c>
      <c r="AA41" s="342">
        <f t="shared" si="8"/>
        <v>-0.16499999999714099</v>
      </c>
      <c r="AB41" s="10">
        <v>0.34793198696540073</v>
      </c>
      <c r="AC41" s="342">
        <f t="shared" si="9"/>
        <v>0.18293198696825974</v>
      </c>
      <c r="AD41" s="343">
        <f t="shared" si="10"/>
        <v>2.1473612810735343E-2</v>
      </c>
    </row>
    <row r="42" spans="1:30" x14ac:dyDescent="0.3">
      <c r="A42" t="str">
        <f t="shared" si="20"/>
        <v>31 Science, engineering and technology associate professionals</v>
      </c>
      <c r="B42" s="11">
        <v>1.3992835576232088</v>
      </c>
      <c r="C42" s="11">
        <v>2.4471198035808546</v>
      </c>
      <c r="D42" s="11">
        <f t="shared" si="21"/>
        <v>1.0478362459576458</v>
      </c>
      <c r="E42" s="11">
        <v>0.90287505875398</v>
      </c>
      <c r="F42" s="11">
        <f t="shared" si="22"/>
        <v>1.9507113047116258</v>
      </c>
      <c r="G42" s="200">
        <f t="shared" si="23"/>
        <v>3.3749472114665169E-2</v>
      </c>
      <c r="I42" s="11" t="str">
        <f>I31</f>
        <v>Professional occupations</v>
      </c>
      <c r="J42" s="11">
        <v>250.42886386733534</v>
      </c>
      <c r="K42" s="11">
        <v>282.65022798525297</v>
      </c>
      <c r="L42" s="11">
        <v>32.221364117917631</v>
      </c>
      <c r="M42" s="11">
        <v>129.64918490470416</v>
      </c>
      <c r="N42" s="11">
        <v>161.87054902262179</v>
      </c>
      <c r="P42" s="10" t="str">
        <f>name!D10</f>
        <v>31 Science, engineering and technology associate professionals</v>
      </c>
      <c r="Q42" s="11">
        <v>18.939979489123175</v>
      </c>
      <c r="R42" s="11">
        <v>23.268203374077732</v>
      </c>
      <c r="S42" s="342">
        <f t="shared" si="24"/>
        <v>4.3282238849545571</v>
      </c>
      <c r="T42" s="342">
        <v>10.405192368672479</v>
      </c>
      <c r="U42" s="342">
        <f t="shared" si="25"/>
        <v>14.733416253627036</v>
      </c>
      <c r="V42" s="343">
        <f t="shared" si="26"/>
        <v>2.9620411414031267E-2</v>
      </c>
      <c r="W42" s="343"/>
      <c r="X42" s="10" t="str">
        <f>name!A39</f>
        <v>Air transport</v>
      </c>
      <c r="Y42" s="10">
        <v>5.6019999999846117</v>
      </c>
      <c r="Z42" s="10">
        <v>8.2460000000112039</v>
      </c>
      <c r="AA42" s="342">
        <f t="shared" si="8"/>
        <v>2.6440000000265922</v>
      </c>
      <c r="AB42" s="10">
        <v>3.5885719680525114</v>
      </c>
      <c r="AC42" s="342">
        <f t="shared" si="9"/>
        <v>6.2325719680791032</v>
      </c>
      <c r="AD42" s="343">
        <f t="shared" si="10"/>
        <v>3.3554294184408917E-2</v>
      </c>
    </row>
    <row r="43" spans="1:30" x14ac:dyDescent="0.3">
      <c r="A43" t="str">
        <f t="shared" si="20"/>
        <v>32 Health and social care associate professionals</v>
      </c>
      <c r="B43" s="11">
        <v>0.22192402390677732</v>
      </c>
      <c r="C43" s="11">
        <v>0.48765183289738545</v>
      </c>
      <c r="D43" s="11">
        <f t="shared" si="21"/>
        <v>0.26572780899060811</v>
      </c>
      <c r="E43" s="11">
        <v>0.22037505053112671</v>
      </c>
      <c r="F43" s="11">
        <f t="shared" si="22"/>
        <v>0.48610285952173482</v>
      </c>
      <c r="G43" s="200">
        <f t="shared" si="23"/>
        <v>4.7050063522269703E-2</v>
      </c>
      <c r="I43" s="11" t="str">
        <f>I32</f>
        <v>Associate professional occupations</v>
      </c>
      <c r="J43" s="11">
        <v>125.6388809434373</v>
      </c>
      <c r="K43" s="11">
        <v>146.94798653998271</v>
      </c>
      <c r="L43" s="11">
        <v>21.309105596545415</v>
      </c>
      <c r="M43" s="11">
        <v>67.03137831452041</v>
      </c>
      <c r="N43" s="11">
        <v>88.340483911065817</v>
      </c>
      <c r="P43" s="10" t="str">
        <f>name!D11</f>
        <v>32 Health and social care associate professionals</v>
      </c>
      <c r="Q43" s="11">
        <v>43.061640998917738</v>
      </c>
      <c r="R43" s="11">
        <v>51.103464927099857</v>
      </c>
      <c r="S43" s="342">
        <f t="shared" si="24"/>
        <v>8.0418239281821187</v>
      </c>
      <c r="T43" s="342">
        <v>28.544665852692962</v>
      </c>
      <c r="U43" s="342">
        <f t="shared" si="25"/>
        <v>36.586489780875084</v>
      </c>
      <c r="V43" s="343">
        <f t="shared" si="26"/>
        <v>3.4484639910155268E-2</v>
      </c>
      <c r="W43" s="343"/>
      <c r="X43" s="10" t="str">
        <f>name!A40</f>
        <v>Warehousing, etc</v>
      </c>
      <c r="Y43" s="10">
        <v>55.847000000221172</v>
      </c>
      <c r="Z43" s="10">
        <v>58.696000000610447</v>
      </c>
      <c r="AA43" s="342">
        <f t="shared" si="8"/>
        <v>2.8490000003892746</v>
      </c>
      <c r="AB43" s="10">
        <v>25.315167798145723</v>
      </c>
      <c r="AC43" s="342">
        <f t="shared" si="9"/>
        <v>28.164167798534997</v>
      </c>
      <c r="AD43" s="343">
        <f t="shared" si="10"/>
        <v>2.5235382545243157E-2</v>
      </c>
    </row>
    <row r="44" spans="1:30" x14ac:dyDescent="0.3">
      <c r="A44" t="str">
        <f t="shared" si="20"/>
        <v>33 Protective service occupations</v>
      </c>
      <c r="B44" s="11">
        <v>0.13026147676832453</v>
      </c>
      <c r="C44" s="11">
        <v>0.32768304927842767</v>
      </c>
      <c r="D44" s="11">
        <f t="shared" si="21"/>
        <v>0.19742157251010314</v>
      </c>
      <c r="E44" s="11">
        <v>9.5453744598376064E-2</v>
      </c>
      <c r="F44" s="11">
        <f t="shared" si="22"/>
        <v>0.29287531710847919</v>
      </c>
      <c r="G44" s="200">
        <f t="shared" si="23"/>
        <v>3.732853169413719E-2</v>
      </c>
      <c r="I44" s="11" t="str">
        <f>I33</f>
        <v>Administrative and secretarial occupations</v>
      </c>
      <c r="J44" s="11">
        <v>62.68869781688467</v>
      </c>
      <c r="K44" s="11">
        <v>77.401275120555511</v>
      </c>
      <c r="L44" s="11">
        <v>14.712577303670846</v>
      </c>
      <c r="M44" s="11">
        <v>39.537172043557177</v>
      </c>
      <c r="N44" s="11">
        <v>54.249749347228018</v>
      </c>
      <c r="P44" s="10" t="str">
        <f>name!D12</f>
        <v>33 Protective service occupations</v>
      </c>
      <c r="Q44" s="11">
        <v>9.4564711397405965</v>
      </c>
      <c r="R44" s="11">
        <v>17.886936838439279</v>
      </c>
      <c r="S44" s="342">
        <f t="shared" si="24"/>
        <v>8.4304656986986828</v>
      </c>
      <c r="T44" s="342">
        <v>7.1525681996052644</v>
      </c>
      <c r="U44" s="342">
        <f t="shared" si="25"/>
        <v>15.583033898303947</v>
      </c>
      <c r="V44" s="343">
        <f t="shared" si="26"/>
        <v>3.8263756827079387E-2</v>
      </c>
      <c r="W44" s="343"/>
      <c r="X44" s="10" t="str">
        <f>name!A41</f>
        <v>Postal and courier</v>
      </c>
      <c r="Y44" s="10">
        <v>26.273999999913233</v>
      </c>
      <c r="Z44" s="10">
        <v>28.089000000164354</v>
      </c>
      <c r="AA44" s="342">
        <f t="shared" si="8"/>
        <v>1.8150000002511213</v>
      </c>
      <c r="AB44" s="10">
        <v>13.226389903931262</v>
      </c>
      <c r="AC44" s="342">
        <f t="shared" si="9"/>
        <v>15.041389904182383</v>
      </c>
      <c r="AD44" s="343">
        <f t="shared" si="10"/>
        <v>2.7554847699542639E-2</v>
      </c>
    </row>
    <row r="45" spans="1:30" x14ac:dyDescent="0.3">
      <c r="A45" t="str">
        <f t="shared" si="20"/>
        <v>34 Culture, media and sports occupations</v>
      </c>
      <c r="B45" s="11">
        <v>0.95129943667385763</v>
      </c>
      <c r="C45" s="11">
        <v>1.6391525382878518</v>
      </c>
      <c r="D45" s="11">
        <f t="shared" ref="D45:D46" si="27">C45-B45</f>
        <v>0.68785310161399416</v>
      </c>
      <c r="E45" s="11">
        <v>0.71807280787522765</v>
      </c>
      <c r="F45" s="11">
        <f t="shared" ref="F45:F46" si="28">SUM(D45:E45)</f>
        <v>1.4059259094892218</v>
      </c>
      <c r="G45" s="200">
        <f t="shared" si="23"/>
        <v>3.8203279960123293E-2</v>
      </c>
      <c r="I45" s="11" t="str">
        <f t="shared" ref="I45:I49" si="29">I34</f>
        <v>Skilled trades occupations</v>
      </c>
      <c r="J45" s="11">
        <v>17.880013583114625</v>
      </c>
      <c r="K45" s="11">
        <v>27.98461098168023</v>
      </c>
      <c r="L45" s="11">
        <v>10.104597398565605</v>
      </c>
      <c r="M45" s="11">
        <v>13.112234129703875</v>
      </c>
      <c r="N45" s="11">
        <v>23.216831528269481</v>
      </c>
      <c r="P45" s="10" t="str">
        <f>name!D13</f>
        <v>34 Culture, media and sports occupations</v>
      </c>
      <c r="Q45" s="11">
        <v>33.913143251572542</v>
      </c>
      <c r="R45" s="11">
        <v>34.411191407758238</v>
      </c>
      <c r="S45" s="342">
        <f t="shared" si="24"/>
        <v>0.4980481561856962</v>
      </c>
      <c r="T45" s="342">
        <v>17.231878795291699</v>
      </c>
      <c r="U45" s="342">
        <f t="shared" si="25"/>
        <v>17.729926951477395</v>
      </c>
      <c r="V45" s="343">
        <f t="shared" si="26"/>
        <v>2.776941227416585E-2</v>
      </c>
      <c r="W45" s="343"/>
      <c r="X45" s="10" t="str">
        <f>name!A42</f>
        <v>Accommodation</v>
      </c>
      <c r="Y45" s="10">
        <v>38.587999999875862</v>
      </c>
      <c r="Z45" s="10">
        <v>47.137999999680986</v>
      </c>
      <c r="AA45" s="342">
        <f t="shared" si="8"/>
        <v>8.5499999998051237</v>
      </c>
      <c r="AB45" s="10">
        <v>23.3111223274704</v>
      </c>
      <c r="AC45" s="342">
        <f t="shared" si="9"/>
        <v>31.861122327275524</v>
      </c>
      <c r="AD45" s="343">
        <f t="shared" si="10"/>
        <v>3.2005823765441477E-2</v>
      </c>
    </row>
    <row r="46" spans="1:30" x14ac:dyDescent="0.3">
      <c r="A46" t="str">
        <f t="shared" si="20"/>
        <v>35 Business and public service associate professionals</v>
      </c>
      <c r="B46" s="11">
        <v>2.3236140081150225</v>
      </c>
      <c r="C46" s="11">
        <v>3.9371325813763676</v>
      </c>
      <c r="D46" s="11">
        <f t="shared" si="27"/>
        <v>1.6135185732613451</v>
      </c>
      <c r="E46" s="11">
        <v>1.5509437069092593</v>
      </c>
      <c r="F46" s="11">
        <f t="shared" si="28"/>
        <v>3.1644622801706044</v>
      </c>
      <c r="G46" s="200">
        <f t="shared" si="23"/>
        <v>3.4674811435796205E-2</v>
      </c>
      <c r="I46" s="11" t="str">
        <f t="shared" si="29"/>
        <v>Caring, leisure and other service occupations</v>
      </c>
      <c r="J46" s="11">
        <v>38.687729043811807</v>
      </c>
      <c r="K46" s="11">
        <v>59.484709768878908</v>
      </c>
      <c r="L46" s="11">
        <v>20.796980725067105</v>
      </c>
      <c r="M46" s="11">
        <v>31.120210769834141</v>
      </c>
      <c r="N46" s="11">
        <v>51.917191494901246</v>
      </c>
      <c r="P46" s="10" t="str">
        <f>name!D14</f>
        <v>35 Business and public service associate professionals</v>
      </c>
      <c r="Q46" s="11">
        <v>94.405055647780898</v>
      </c>
      <c r="R46" s="11">
        <v>105.9516048045441</v>
      </c>
      <c r="S46" s="342">
        <f t="shared" si="24"/>
        <v>11.546549156763206</v>
      </c>
      <c r="T46" s="342">
        <v>53.162405304126878</v>
      </c>
      <c r="U46" s="342">
        <f t="shared" si="25"/>
        <v>64.708954460890084</v>
      </c>
      <c r="V46" s="343">
        <f t="shared" si="26"/>
        <v>3.0227227450958072E-2</v>
      </c>
      <c r="W46" s="343"/>
      <c r="X46" s="10" t="str">
        <f>name!A43</f>
        <v>Food and beverage services</v>
      </c>
      <c r="Y46" s="10">
        <v>164.10599999967832</v>
      </c>
      <c r="Z46" s="10">
        <v>186.88099999889735</v>
      </c>
      <c r="AA46" s="342">
        <f t="shared" si="8"/>
        <v>22.774999999219034</v>
      </c>
      <c r="AB46" s="10">
        <v>86.55792147775702</v>
      </c>
      <c r="AC46" s="342">
        <f t="shared" si="9"/>
        <v>109.33292147697605</v>
      </c>
      <c r="AD46" s="343">
        <f t="shared" si="10"/>
        <v>2.8642564882983779E-2</v>
      </c>
    </row>
    <row r="47" spans="1:30" x14ac:dyDescent="0.3">
      <c r="A47" t="str">
        <f t="shared" si="20"/>
        <v>41 Administrative occupations</v>
      </c>
      <c r="B47" s="11">
        <v>1.3034166574946533</v>
      </c>
      <c r="C47" s="11">
        <v>2.4867820378242489</v>
      </c>
      <c r="D47" s="11">
        <f t="shared" si="21"/>
        <v>1.1833653803295956</v>
      </c>
      <c r="E47" s="11">
        <v>1.0374163468402149</v>
      </c>
      <c r="F47" s="11">
        <f t="shared" si="22"/>
        <v>2.2207817271698103</v>
      </c>
      <c r="G47" s="200">
        <f t="shared" si="23"/>
        <v>3.9806379636300848E-2</v>
      </c>
      <c r="I47" s="11" t="str">
        <f t="shared" si="29"/>
        <v>Sales and customer service occupations</v>
      </c>
      <c r="J47" s="11">
        <v>35.08078755899114</v>
      </c>
      <c r="K47" s="11">
        <v>51.408103783837397</v>
      </c>
      <c r="L47" s="11">
        <v>16.327316224846257</v>
      </c>
      <c r="M47" s="11">
        <v>22.712013289137932</v>
      </c>
      <c r="N47" s="11">
        <v>39.039329513984185</v>
      </c>
      <c r="P47" s="10" t="str">
        <f>name!D15</f>
        <v>41 Administrative occupations</v>
      </c>
      <c r="Q47" s="11">
        <v>187.07151613261439</v>
      </c>
      <c r="R47" s="11">
        <v>150.27792600806833</v>
      </c>
      <c r="S47" s="342">
        <f t="shared" si="24"/>
        <v>-36.793590124546057</v>
      </c>
      <c r="T47" s="342">
        <v>92.905095934396712</v>
      </c>
      <c r="U47" s="342">
        <f t="shared" si="25"/>
        <v>56.111505809850655</v>
      </c>
      <c r="V47" s="343">
        <f t="shared" si="26"/>
        <v>2.7245559322389257E-2</v>
      </c>
      <c r="W47" s="343"/>
      <c r="X47" s="10" t="str">
        <f>name!A44</f>
        <v>Publishing activities</v>
      </c>
      <c r="Y47" s="10">
        <v>20.36599999994943</v>
      </c>
      <c r="Z47" s="10">
        <v>19.370999999984807</v>
      </c>
      <c r="AA47" s="342">
        <f t="shared" si="8"/>
        <v>-0.99499999996462307</v>
      </c>
      <c r="AB47" s="10">
        <v>9.2359015144976144</v>
      </c>
      <c r="AC47" s="342">
        <f t="shared" si="9"/>
        <v>8.2409015145329914</v>
      </c>
      <c r="AD47" s="343">
        <f t="shared" si="10"/>
        <v>2.5244837983285251E-2</v>
      </c>
    </row>
    <row r="48" spans="1:30" x14ac:dyDescent="0.3">
      <c r="A48" t="str">
        <f t="shared" si="20"/>
        <v>42 Secretarial and related occupations</v>
      </c>
      <c r="B48" s="11">
        <v>0.13584952569224615</v>
      </c>
      <c r="C48" s="11">
        <v>0.40198036186155967</v>
      </c>
      <c r="D48" s="11">
        <f t="shared" si="21"/>
        <v>0.26613083616931354</v>
      </c>
      <c r="E48" s="11">
        <v>0.17126525030325912</v>
      </c>
      <c r="F48" s="11">
        <f t="shared" si="22"/>
        <v>0.43739608647257266</v>
      </c>
      <c r="G48" s="200">
        <f t="shared" si="23"/>
        <v>5.58839109506446E-2</v>
      </c>
      <c r="I48" s="11" t="str">
        <f t="shared" si="29"/>
        <v>Process, plant and machine operatives</v>
      </c>
      <c r="J48" s="11">
        <v>8.709206250556047</v>
      </c>
      <c r="K48" s="11">
        <v>17.718971121173979</v>
      </c>
      <c r="L48" s="11">
        <v>9.0097648706179339</v>
      </c>
      <c r="M48" s="11">
        <v>8.1578053173112011</v>
      </c>
      <c r="N48" s="11">
        <v>17.167570187929133</v>
      </c>
      <c r="P48" s="10" t="str">
        <f>name!D16</f>
        <v>42 Secretarial and related occupations</v>
      </c>
      <c r="Q48" s="11">
        <v>65.729205345420411</v>
      </c>
      <c r="R48" s="11">
        <v>47.682272491742147</v>
      </c>
      <c r="S48" s="342">
        <f t="shared" si="24"/>
        <v>-18.046932853678264</v>
      </c>
      <c r="T48" s="342">
        <v>33.181807047952503</v>
      </c>
      <c r="U48" s="342">
        <f t="shared" si="25"/>
        <v>15.134874194274239</v>
      </c>
      <c r="V48" s="343">
        <f t="shared" si="26"/>
        <v>2.7619691393661716E-2</v>
      </c>
      <c r="W48" s="343"/>
      <c r="X48" s="10" t="str">
        <f>name!A45</f>
        <v>Film and music</v>
      </c>
      <c r="Y48" s="10">
        <v>8.219000000018724</v>
      </c>
      <c r="Z48" s="10">
        <v>7.9260000000500144</v>
      </c>
      <c r="AA48" s="342">
        <f t="shared" si="8"/>
        <v>-0.29299999996870962</v>
      </c>
      <c r="AB48" s="10">
        <v>4.0409872040878261</v>
      </c>
      <c r="AC48" s="342">
        <f t="shared" si="9"/>
        <v>3.7479872041191165</v>
      </c>
      <c r="AD48" s="343">
        <f t="shared" si="10"/>
        <v>2.701803259621105E-2</v>
      </c>
    </row>
    <row r="49" spans="1:30" x14ac:dyDescent="0.3">
      <c r="A49" t="str">
        <f t="shared" si="20"/>
        <v>51 Skilled agricultural and related trades</v>
      </c>
      <c r="B49" s="11">
        <v>9.2339276643038981E-2</v>
      </c>
      <c r="C49" s="11">
        <v>0.19737913827716877</v>
      </c>
      <c r="D49" s="11">
        <f t="shared" si="21"/>
        <v>0.10503986163412979</v>
      </c>
      <c r="E49" s="11">
        <v>9.8028114310835232E-2</v>
      </c>
      <c r="F49" s="11">
        <f t="shared" si="22"/>
        <v>0.20306797594496501</v>
      </c>
      <c r="G49" s="200">
        <f t="shared" si="23"/>
        <v>4.9414528988380946E-2</v>
      </c>
      <c r="I49" s="11" t="str">
        <f t="shared" si="29"/>
        <v>Elementary occupations</v>
      </c>
      <c r="J49" s="11">
        <v>24.994176713009612</v>
      </c>
      <c r="K49" s="11">
        <v>38.620678196686079</v>
      </c>
      <c r="L49" s="11">
        <v>13.626501483676469</v>
      </c>
      <c r="M49" s="11">
        <v>20.15961696236824</v>
      </c>
      <c r="N49" s="11">
        <v>33.786118446044703</v>
      </c>
      <c r="P49" s="10" t="str">
        <f>name!D17</f>
        <v>51 Skilled agricultural and related trades</v>
      </c>
      <c r="Q49" s="11">
        <v>6.698724782327198</v>
      </c>
      <c r="R49" s="11">
        <v>9.6339306670091354</v>
      </c>
      <c r="S49" s="342">
        <f t="shared" si="24"/>
        <v>2.9352058846819373</v>
      </c>
      <c r="T49" s="342">
        <v>5.6284589695968474</v>
      </c>
      <c r="U49" s="342">
        <f t="shared" si="25"/>
        <v>8.5636648542787839</v>
      </c>
      <c r="V49" s="343">
        <f>IF(Q49&gt;0,(1+(T49/Q49))^(1/($C$6-$B$6))-1,0)</f>
        <v>4.1497221410055518E-2</v>
      </c>
      <c r="W49" s="343"/>
      <c r="X49" s="10" t="str">
        <f>name!A46</f>
        <v>Broadcasting</v>
      </c>
      <c r="Y49" s="10">
        <v>2.5789999999981283</v>
      </c>
      <c r="Z49" s="10">
        <v>2.4020000000047608</v>
      </c>
      <c r="AA49" s="342">
        <f t="shared" si="8"/>
        <v>-0.17699999999336757</v>
      </c>
      <c r="AB49" s="10">
        <v>1.0691131077132787</v>
      </c>
      <c r="AC49" s="342">
        <f t="shared" si="9"/>
        <v>0.89211310771991115</v>
      </c>
      <c r="AD49" s="343">
        <f t="shared" si="10"/>
        <v>2.3389908602788667E-2</v>
      </c>
    </row>
    <row r="50" spans="1:30" x14ac:dyDescent="0.3">
      <c r="A50" t="str">
        <f t="shared" si="20"/>
        <v>52 Skilled metal, electrical and electronic trades</v>
      </c>
      <c r="B50" s="11">
        <v>8.2986779962875873E-2</v>
      </c>
      <c r="C50" s="11">
        <v>0.13680069209032331</v>
      </c>
      <c r="D50" s="11">
        <f t="shared" si="21"/>
        <v>5.3813912127447433E-2</v>
      </c>
      <c r="E50" s="11">
        <v>5.1756674418690307E-2</v>
      </c>
      <c r="F50" s="11">
        <f>SUM(D50:E50)</f>
        <v>0.10557058654613774</v>
      </c>
      <c r="G50" s="200">
        <f t="shared" si="23"/>
        <v>3.2840480134902039E-2</v>
      </c>
      <c r="O50" s="70"/>
      <c r="P50" s="10" t="str">
        <f>name!D18</f>
        <v>52 Skilled metal, electrical and electronic trades</v>
      </c>
      <c r="Q50" s="11">
        <v>2.7132295193997065</v>
      </c>
      <c r="R50" s="11">
        <v>7.5437519204329604</v>
      </c>
      <c r="S50" s="342">
        <f t="shared" si="24"/>
        <v>4.8305224010332539</v>
      </c>
      <c r="T50" s="342">
        <v>3.6024821782195211</v>
      </c>
      <c r="U50" s="342">
        <f t="shared" si="25"/>
        <v>8.4330045792527741</v>
      </c>
      <c r="V50" s="343">
        <f t="shared" si="26"/>
        <v>5.7943279848383655E-2</v>
      </c>
      <c r="W50" s="343"/>
      <c r="X50" s="10" t="str">
        <f>name!A47</f>
        <v>Telecommunications</v>
      </c>
      <c r="Y50" s="10">
        <v>17.95899999977976</v>
      </c>
      <c r="Z50" s="10">
        <v>19.516999999702769</v>
      </c>
      <c r="AA50" s="342">
        <f t="shared" si="8"/>
        <v>1.557999999923009</v>
      </c>
      <c r="AB50" s="10">
        <v>7.9420459472309677</v>
      </c>
      <c r="AC50" s="342">
        <f t="shared" si="9"/>
        <v>9.5000459471539767</v>
      </c>
      <c r="AD50" s="343">
        <f t="shared" si="10"/>
        <v>2.4713230162481059E-2</v>
      </c>
    </row>
    <row r="51" spans="1:30" x14ac:dyDescent="0.3">
      <c r="A51" t="str">
        <f t="shared" si="20"/>
        <v>53 Skilled construction and building trades</v>
      </c>
      <c r="B51" s="11">
        <v>2.7130976697204351E-2</v>
      </c>
      <c r="C51" s="11">
        <v>5.2606254656320482E-2</v>
      </c>
      <c r="D51" s="11">
        <f t="shared" ref="D51" si="30">C51-B51</f>
        <v>2.5475277959116131E-2</v>
      </c>
      <c r="E51" s="11">
        <v>2.2912150576634E-2</v>
      </c>
      <c r="F51" s="11">
        <f>SUM(D51:E51)</f>
        <v>4.8387428535750135E-2</v>
      </c>
      <c r="G51" s="200">
        <f t="shared" si="23"/>
        <v>4.1658273274477242E-2</v>
      </c>
      <c r="I51" s="86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2.1144897187423326</v>
      </c>
      <c r="R51" s="11">
        <v>2.7861931971244025</v>
      </c>
      <c r="S51" s="342">
        <f t="shared" si="24"/>
        <v>0.6717034783820699</v>
      </c>
      <c r="T51" s="342">
        <v>1.2816936611322902</v>
      </c>
      <c r="U51" s="342">
        <f t="shared" si="25"/>
        <v>1.9533971395143601</v>
      </c>
      <c r="V51" s="343">
        <f t="shared" si="26"/>
        <v>3.2093485837174862E-2</v>
      </c>
      <c r="W51" s="343"/>
      <c r="X51" s="10" t="str">
        <f>name!A48</f>
        <v>Computing services</v>
      </c>
      <c r="Y51" s="10">
        <v>62.97399999931131</v>
      </c>
      <c r="Z51" s="10">
        <v>69.038999999017946</v>
      </c>
      <c r="AA51" s="342">
        <f t="shared" si="8"/>
        <v>6.0649999997066359</v>
      </c>
      <c r="AB51" s="10">
        <v>29.125131843585375</v>
      </c>
      <c r="AC51" s="342">
        <f t="shared" si="9"/>
        <v>35.190131843292008</v>
      </c>
      <c r="AD51" s="343">
        <f t="shared" si="10"/>
        <v>2.5666766437446142E-2</v>
      </c>
    </row>
    <row r="52" spans="1:30" x14ac:dyDescent="0.3">
      <c r="A52" t="str">
        <f t="shared" si="20"/>
        <v>54 Textiles, printing and other skilled trades</v>
      </c>
      <c r="B52" s="11">
        <v>0.19912183256623855</v>
      </c>
      <c r="C52" s="11">
        <v>0.40584124164244462</v>
      </c>
      <c r="D52" s="11">
        <f t="shared" si="21"/>
        <v>0.20671940907620606</v>
      </c>
      <c r="E52" s="11">
        <v>0.16692834233884485</v>
      </c>
      <c r="F52" s="11">
        <f t="shared" si="22"/>
        <v>0.37364775141505091</v>
      </c>
      <c r="G52" s="200">
        <f t="shared" si="23"/>
        <v>4.1425280386765406E-2</v>
      </c>
      <c r="I52" s="11" t="str">
        <f>I41</f>
        <v>Managers, directors and senior officials</v>
      </c>
      <c r="J52" s="11">
        <f t="array" ref="J52:J60">MMULT(aggregation!$B$38:$AA$46,B123:B148)</f>
        <v>21.547053840178371</v>
      </c>
      <c r="K52" s="11">
        <f t="array" ref="K52:K60">MMULT(aggregation!$B$38:$AA$46,C123:C148)</f>
        <v>26.454263490305323</v>
      </c>
      <c r="L52" s="11">
        <f t="array" ref="L52:L60">MMULT(aggregation!$B$38:$AA$46,D123:D148)</f>
        <v>4.9072096501269549</v>
      </c>
      <c r="M52" s="11">
        <f t="array" ref="M52:M60">MMULT(aggregation!$B$38:$AA$46,E123:E148)</f>
        <v>13.618178157434365</v>
      </c>
      <c r="N52" s="11">
        <f t="array" ref="N52:N60">MMULT(aggregation!$B$38:$AA$46,F123:F148)</f>
        <v>18.525387807561319</v>
      </c>
      <c r="P52" s="10" t="str">
        <f>name!D20</f>
        <v>54 Textiles, printing and other skilled trades</v>
      </c>
      <c r="Q52" s="11">
        <v>26.501107033250833</v>
      </c>
      <c r="R52" s="11">
        <v>28.639186237156245</v>
      </c>
      <c r="S52" s="342">
        <f t="shared" si="24"/>
        <v>2.1380792039054128</v>
      </c>
      <c r="T52" s="342">
        <v>15.950656583908881</v>
      </c>
      <c r="U52" s="342">
        <f t="shared" si="25"/>
        <v>18.088735787814294</v>
      </c>
      <c r="V52" s="343">
        <f t="shared" si="26"/>
        <v>3.1910697666013288E-2</v>
      </c>
      <c r="W52" s="343"/>
      <c r="X52" s="10" t="str">
        <f>name!A49</f>
        <v>Information services</v>
      </c>
      <c r="Y52" s="10">
        <v>2.7009999999783307</v>
      </c>
      <c r="Z52" s="10">
        <v>2.9539999999788669</v>
      </c>
      <c r="AA52" s="342">
        <f t="shared" si="8"/>
        <v>0.25300000000053613</v>
      </c>
      <c r="AB52" s="10">
        <v>1.2505716246434944</v>
      </c>
      <c r="AC52" s="342">
        <f t="shared" si="9"/>
        <v>1.5035716246440305</v>
      </c>
      <c r="AD52" s="343">
        <f t="shared" si="10"/>
        <v>2.5690543750149786E-2</v>
      </c>
    </row>
    <row r="53" spans="1:30" x14ac:dyDescent="0.3">
      <c r="A53" t="str">
        <f t="shared" si="20"/>
        <v>61 Caring personal service occupations</v>
      </c>
      <c r="B53" s="11">
        <v>0.15086729544285943</v>
      </c>
      <c r="C53" s="11">
        <v>0.34107346606398448</v>
      </c>
      <c r="D53" s="11">
        <f t="shared" si="21"/>
        <v>0.19020617062112505</v>
      </c>
      <c r="E53" s="11">
        <v>0.14680367614797915</v>
      </c>
      <c r="F53" s="11">
        <f t="shared" si="22"/>
        <v>0.33700984676910417</v>
      </c>
      <c r="G53" s="200">
        <f t="shared" si="23"/>
        <v>4.6347863807742362E-2</v>
      </c>
      <c r="I53" s="11" t="str">
        <f>I42</f>
        <v>Professional occupations</v>
      </c>
      <c r="J53" s="11">
        <v>33.757502662934613</v>
      </c>
      <c r="K53" s="11">
        <v>24.296711593283174</v>
      </c>
      <c r="L53" s="11">
        <v>-9.4607910696514352</v>
      </c>
      <c r="M53" s="11">
        <v>9.948435040831578</v>
      </c>
      <c r="N53" s="11">
        <v>0.48764397118014413</v>
      </c>
      <c r="P53" s="10" t="str">
        <f>name!D21</f>
        <v>61 Caring personal service occupations</v>
      </c>
      <c r="Q53" s="11">
        <v>192.39499433896563</v>
      </c>
      <c r="R53" s="11">
        <v>227.4929981143583</v>
      </c>
      <c r="S53" s="342">
        <f t="shared" si="24"/>
        <v>35.098003775392669</v>
      </c>
      <c r="T53" s="342">
        <v>125.77425511293565</v>
      </c>
      <c r="U53" s="342">
        <f t="shared" si="25"/>
        <v>160.8722588883283</v>
      </c>
      <c r="V53" s="343">
        <f t="shared" si="26"/>
        <v>3.4104184880217936E-2</v>
      </c>
      <c r="W53" s="343"/>
      <c r="X53" s="10" t="str">
        <f>name!A50</f>
        <v>Financial services</v>
      </c>
      <c r="Y53" s="10">
        <v>16.862999999889229</v>
      </c>
      <c r="Z53" s="10">
        <v>14.591999999923038</v>
      </c>
      <c r="AA53" s="342">
        <f t="shared" si="8"/>
        <v>-2.2709999999661914</v>
      </c>
      <c r="AB53" s="10">
        <v>7.8793052952130909</v>
      </c>
      <c r="AC53" s="342">
        <f t="shared" si="9"/>
        <v>5.6083052952468995</v>
      </c>
      <c r="AD53" s="343">
        <f t="shared" si="10"/>
        <v>2.588895653005574E-2</v>
      </c>
    </row>
    <row r="54" spans="1:30" x14ac:dyDescent="0.3">
      <c r="A54" t="str">
        <f t="shared" si="20"/>
        <v>62 Leisure, travel and related personal service occupations</v>
      </c>
      <c r="B54" s="11">
        <v>7.0870917368295858E-2</v>
      </c>
      <c r="C54" s="11">
        <v>0.15400788138920271</v>
      </c>
      <c r="D54" s="11">
        <f t="shared" ref="D54:D55" si="31">C54-B54</f>
        <v>8.3136964020906853E-2</v>
      </c>
      <c r="E54" s="11">
        <v>6.3094441701591786E-2</v>
      </c>
      <c r="F54" s="11">
        <f t="shared" ref="F54:F55" si="32">SUM(D54:E54)</f>
        <v>0.14623140572249865</v>
      </c>
      <c r="G54" s="200">
        <f t="shared" si="23"/>
        <v>4.3361876315314074E-2</v>
      </c>
      <c r="I54" s="11" t="str">
        <f>I43</f>
        <v>Associate professional occupations</v>
      </c>
      <c r="J54" s="11">
        <v>31.637824210791294</v>
      </c>
      <c r="K54" s="11">
        <v>33.17072357325295</v>
      </c>
      <c r="L54" s="11">
        <v>1.5328993624616545</v>
      </c>
      <c r="M54" s="11">
        <v>14.262963353826157</v>
      </c>
      <c r="N54" s="11">
        <v>15.795862716287813</v>
      </c>
      <c r="P54" s="10" t="str">
        <f>name!D22</f>
        <v>62 Leisure, travel and related personal service occupations</v>
      </c>
      <c r="Q54" s="11">
        <v>53.264497822137429</v>
      </c>
      <c r="R54" s="11">
        <v>54.305676273318596</v>
      </c>
      <c r="S54" s="342">
        <f t="shared" si="24"/>
        <v>1.0411784511811675</v>
      </c>
      <c r="T54" s="342">
        <v>29.282339960755234</v>
      </c>
      <c r="U54" s="342">
        <f t="shared" si="25"/>
        <v>30.323518411936401</v>
      </c>
      <c r="V54" s="343">
        <f t="shared" si="26"/>
        <v>2.9637078371827608E-2</v>
      </c>
      <c r="W54" s="343"/>
      <c r="X54" s="10" t="str">
        <f>name!A51</f>
        <v>Insurance and pensions</v>
      </c>
      <c r="Y54" s="10">
        <v>13.545999999914272</v>
      </c>
      <c r="Z54" s="10">
        <v>11.649999999934021</v>
      </c>
      <c r="AA54" s="342">
        <f t="shared" si="8"/>
        <v>-1.8959999999802513</v>
      </c>
      <c r="AB54" s="10">
        <v>6.1375653505474208</v>
      </c>
      <c r="AC54" s="342">
        <f t="shared" si="9"/>
        <v>4.2415653505671695</v>
      </c>
      <c r="AD54" s="343">
        <f t="shared" si="10"/>
        <v>2.5225767563543444E-2</v>
      </c>
    </row>
    <row r="55" spans="1:30" x14ac:dyDescent="0.3">
      <c r="A55" t="str">
        <f t="shared" si="20"/>
        <v>63 Community and civil enforcement occupations</v>
      </c>
      <c r="B55" s="11">
        <v>7.678357702063791E-3</v>
      </c>
      <c r="C55" s="11">
        <v>1.5008187402862177E-2</v>
      </c>
      <c r="D55" s="11">
        <f t="shared" si="31"/>
        <v>7.3298297007983858E-3</v>
      </c>
      <c r="E55" s="11">
        <v>6.9383576628625236E-3</v>
      </c>
      <c r="F55" s="11">
        <f t="shared" si="32"/>
        <v>1.4268187363660909E-2</v>
      </c>
      <c r="G55" s="200">
        <f t="shared" si="23"/>
        <v>4.3851605009039618E-2</v>
      </c>
      <c r="I55" s="11" t="str">
        <f>I44</f>
        <v>Administrative and secretarial occupations</v>
      </c>
      <c r="J55" s="11">
        <v>26.573066691037123</v>
      </c>
      <c r="K55" s="11">
        <v>31.148754986394408</v>
      </c>
      <c r="L55" s="11">
        <v>4.5756882953572857</v>
      </c>
      <c r="M55" s="11">
        <v>16.837126048960322</v>
      </c>
      <c r="N55" s="11">
        <v>21.412814344317606</v>
      </c>
      <c r="P55" s="10" t="str">
        <f>name!D23</f>
        <v>63 Community and civil enforcement occupations</v>
      </c>
      <c r="Q55" s="11">
        <v>0.83531420464655437</v>
      </c>
      <c r="R55" s="11">
        <v>1.1357183999384097</v>
      </c>
      <c r="S55" s="342">
        <f t="shared" si="24"/>
        <v>0.30040419529185536</v>
      </c>
      <c r="T55" s="342">
        <v>0.69058960987081719</v>
      </c>
      <c r="U55" s="342">
        <f t="shared" si="25"/>
        <v>0.99099380516267255</v>
      </c>
      <c r="V55" s="343">
        <f t="shared" si="26"/>
        <v>4.0986632756764063E-2</v>
      </c>
      <c r="W55" s="343"/>
      <c r="X55" s="10" t="str">
        <f>name!A52</f>
        <v>Auxiliary financial services</v>
      </c>
      <c r="Y55" s="10">
        <v>47.763999999694931</v>
      </c>
      <c r="Z55" s="10">
        <v>42.138999999827959</v>
      </c>
      <c r="AA55" s="342">
        <f t="shared" si="8"/>
        <v>-5.6249999998669722</v>
      </c>
      <c r="AB55" s="10">
        <v>22.381037320999553</v>
      </c>
      <c r="AC55" s="342">
        <f t="shared" si="9"/>
        <v>16.756037321132581</v>
      </c>
      <c r="AD55" s="343">
        <f t="shared" si="10"/>
        <v>2.5950523459810526E-2</v>
      </c>
    </row>
    <row r="56" spans="1:30" x14ac:dyDescent="0.3">
      <c r="A56" t="str">
        <f t="shared" si="20"/>
        <v>71 Sales occupations</v>
      </c>
      <c r="B56" s="11">
        <v>0.44245913970853795</v>
      </c>
      <c r="C56" s="11">
        <v>0.73197120857585662</v>
      </c>
      <c r="D56" s="11">
        <f t="shared" si="21"/>
        <v>0.28951206886731867</v>
      </c>
      <c r="E56" s="11">
        <v>0.29409628488562345</v>
      </c>
      <c r="F56" s="11">
        <f t="shared" si="22"/>
        <v>0.58360835375294218</v>
      </c>
      <c r="G56" s="200">
        <f t="shared" si="23"/>
        <v>3.4559526394819295E-2</v>
      </c>
      <c r="I56" s="11" t="str">
        <f t="shared" ref="I56:I60" si="33">I45</f>
        <v>Skilled trades occupations</v>
      </c>
      <c r="J56" s="11">
        <v>8.0438947998847592</v>
      </c>
      <c r="K56" s="11">
        <v>11.630467901956516</v>
      </c>
      <c r="L56" s="11">
        <v>3.5865731020717582</v>
      </c>
      <c r="M56" s="11">
        <v>5.5715162395267006</v>
      </c>
      <c r="N56" s="11">
        <v>9.1580893415984583</v>
      </c>
      <c r="P56" s="10" t="str">
        <f>name!D24</f>
        <v>71 Sales occupations</v>
      </c>
      <c r="Q56" s="11">
        <v>112.68595860857951</v>
      </c>
      <c r="R56" s="11">
        <v>95.178193658883259</v>
      </c>
      <c r="S56" s="342">
        <f t="shared" si="24"/>
        <v>-17.507764949696252</v>
      </c>
      <c r="T56" s="342">
        <v>55.802467277868864</v>
      </c>
      <c r="U56" s="342">
        <f t="shared" si="25"/>
        <v>38.294702328172612</v>
      </c>
      <c r="V56" s="343">
        <f t="shared" si="26"/>
        <v>2.7180307163591211E-2</v>
      </c>
      <c r="W56" s="343"/>
      <c r="X56" s="10" t="str">
        <f>name!A53</f>
        <v>Real estate</v>
      </c>
      <c r="Y56" s="10">
        <v>51.984999999648018</v>
      </c>
      <c r="Z56" s="10">
        <v>60.826999999666633</v>
      </c>
      <c r="AA56" s="342">
        <f t="shared" si="8"/>
        <v>8.842000000018615</v>
      </c>
      <c r="AB56" s="10">
        <v>27.751040980534793</v>
      </c>
      <c r="AC56" s="342">
        <f t="shared" si="9"/>
        <v>36.593040980553411</v>
      </c>
      <c r="AD56" s="343">
        <f t="shared" si="10"/>
        <v>2.8928289664867268E-2</v>
      </c>
    </row>
    <row r="57" spans="1:30" x14ac:dyDescent="0.3">
      <c r="A57" t="str">
        <f t="shared" si="20"/>
        <v>72 Customer service occupations</v>
      </c>
      <c r="B57" s="11">
        <v>0.16311733947438969</v>
      </c>
      <c r="C57" s="11">
        <v>0.41018292622731989</v>
      </c>
      <c r="D57" s="11">
        <f t="shared" si="21"/>
        <v>0.24706558675293019</v>
      </c>
      <c r="E57" s="11">
        <v>0.14159696816510861</v>
      </c>
      <c r="F57" s="11">
        <f t="shared" si="22"/>
        <v>0.38866255491803881</v>
      </c>
      <c r="G57" s="200">
        <f t="shared" si="23"/>
        <v>4.2540290283646032E-2</v>
      </c>
      <c r="I57" s="11" t="str">
        <f t="shared" si="33"/>
        <v>Caring, leisure and other service occupations</v>
      </c>
      <c r="J57" s="11">
        <v>29.840907630012193</v>
      </c>
      <c r="K57" s="11">
        <v>35.42255692848731</v>
      </c>
      <c r="L57" s="11">
        <v>5.5816492984751207</v>
      </c>
      <c r="M57" s="11">
        <v>18.820441222674603</v>
      </c>
      <c r="N57" s="11">
        <v>24.402090521149724</v>
      </c>
      <c r="P57" s="10" t="str">
        <f>name!D25</f>
        <v>72 Customer service occupations</v>
      </c>
      <c r="Q57" s="11">
        <v>32.80043233794234</v>
      </c>
      <c r="R57" s="11">
        <v>46.000304602014516</v>
      </c>
      <c r="S57" s="342">
        <f t="shared" si="24"/>
        <v>13.199872264072177</v>
      </c>
      <c r="T57" s="342">
        <v>22.404443224722609</v>
      </c>
      <c r="U57" s="342">
        <f t="shared" si="25"/>
        <v>35.604315488794782</v>
      </c>
      <c r="V57" s="343">
        <f t="shared" si="26"/>
        <v>3.5316632684063487E-2</v>
      </c>
      <c r="W57" s="343"/>
      <c r="X57" s="10" t="str">
        <f>name!A54</f>
        <v>Legal and accounting</v>
      </c>
      <c r="Y57" s="10">
        <v>65.929999999861622</v>
      </c>
      <c r="Z57" s="10">
        <v>77.011999999874774</v>
      </c>
      <c r="AA57" s="342">
        <f t="shared" si="8"/>
        <v>11.082000000013153</v>
      </c>
      <c r="AB57" s="10">
        <v>35.627090138021963</v>
      </c>
      <c r="AC57" s="342">
        <f t="shared" si="9"/>
        <v>46.709090138035116</v>
      </c>
      <c r="AD57" s="343">
        <f t="shared" si="10"/>
        <v>2.9220619217578347E-2</v>
      </c>
    </row>
    <row r="58" spans="1:30" x14ac:dyDescent="0.3">
      <c r="A58" t="str">
        <f t="shared" si="20"/>
        <v>81 Process, plant and machine operatives</v>
      </c>
      <c r="B58" s="11">
        <v>0.13799181167173888</v>
      </c>
      <c r="C58" s="11">
        <v>0.44367433241453774</v>
      </c>
      <c r="D58" s="11">
        <f t="shared" ref="D58:D59" si="34">C58-B58</f>
        <v>0.30568252074279889</v>
      </c>
      <c r="E58" s="11">
        <v>0.16700980750515548</v>
      </c>
      <c r="F58" s="11">
        <f t="shared" ref="F58:F59" si="35">SUM(D58:E58)</f>
        <v>0.47269232824795437</v>
      </c>
      <c r="G58" s="200">
        <f t="shared" si="23"/>
        <v>5.4297690640880525E-2</v>
      </c>
      <c r="I58" s="11" t="str">
        <f t="shared" si="33"/>
        <v>Sales and customer service occupations</v>
      </c>
      <c r="J58" s="11">
        <v>11.452733427101199</v>
      </c>
      <c r="K58" s="11">
        <v>15.334702750847999</v>
      </c>
      <c r="L58" s="11">
        <v>3.8819693237468011</v>
      </c>
      <c r="M58" s="11">
        <v>7.0653974140090092</v>
      </c>
      <c r="N58" s="11">
        <v>10.947366737755811</v>
      </c>
      <c r="P58" s="10" t="str">
        <f>name!D26</f>
        <v>81 Process, plant and machine operatives</v>
      </c>
      <c r="Q58" s="11">
        <v>14.986943871245163</v>
      </c>
      <c r="R58" s="11">
        <v>18.195515895903597</v>
      </c>
      <c r="S58" s="342">
        <f t="shared" si="24"/>
        <v>3.2085720246584337</v>
      </c>
      <c r="T58" s="342">
        <v>9.2177383478524586</v>
      </c>
      <c r="U58" s="342">
        <f t="shared" si="25"/>
        <v>12.426310372510892</v>
      </c>
      <c r="V58" s="343">
        <f t="shared" si="26"/>
        <v>3.2473912034171271E-2</v>
      </c>
      <c r="W58" s="343"/>
      <c r="X58" s="10" t="str">
        <f>name!A55</f>
        <v>Head offices, etc</v>
      </c>
      <c r="Y58" s="10">
        <v>74.593999999510601</v>
      </c>
      <c r="Z58" s="10">
        <v>80.127999999472863</v>
      </c>
      <c r="AA58" s="342">
        <f t="shared" si="8"/>
        <v>5.533999999962262</v>
      </c>
      <c r="AB58" s="10">
        <v>37.362908024152489</v>
      </c>
      <c r="AC58" s="342">
        <f t="shared" si="9"/>
        <v>42.896908024114751</v>
      </c>
      <c r="AD58" s="343">
        <f t="shared" si="10"/>
        <v>2.743999312417178E-2</v>
      </c>
    </row>
    <row r="59" spans="1:30" x14ac:dyDescent="0.3">
      <c r="A59" t="str">
        <f t="shared" si="20"/>
        <v>82 Transport and mobile machine drivers and operatives</v>
      </c>
      <c r="B59" s="11">
        <v>0.27038928716562832</v>
      </c>
      <c r="C59" s="11">
        <v>0.61820132285661766</v>
      </c>
      <c r="D59" s="11">
        <f t="shared" si="34"/>
        <v>0.34781203569098934</v>
      </c>
      <c r="E59" s="11">
        <v>0.31392421076782179</v>
      </c>
      <c r="F59" s="11">
        <f t="shared" si="35"/>
        <v>0.66173624645881113</v>
      </c>
      <c r="G59" s="200">
        <f t="shared" si="23"/>
        <v>5.2714074081500417E-2</v>
      </c>
      <c r="I59" s="11" t="str">
        <f t="shared" si="33"/>
        <v>Process, plant and machine operatives</v>
      </c>
      <c r="J59" s="11">
        <v>3.9794740601045682</v>
      </c>
      <c r="K59" s="11">
        <v>7.0842865981031098</v>
      </c>
      <c r="L59" s="11">
        <v>3.1048125379985416</v>
      </c>
      <c r="M59" s="11">
        <v>3.4660142807653629</v>
      </c>
      <c r="N59" s="11">
        <v>6.570826818763905</v>
      </c>
      <c r="P59" s="10" t="str">
        <f>name!D27</f>
        <v>82 Transport and mobile machine drivers and operatives</v>
      </c>
      <c r="Q59" s="11">
        <v>9.6037742046511489</v>
      </c>
      <c r="R59" s="11">
        <v>16.575021887019471</v>
      </c>
      <c r="S59" s="342">
        <f t="shared" si="24"/>
        <v>6.9712476823683218</v>
      </c>
      <c r="T59" s="342">
        <v>9.0762261464926155</v>
      </c>
      <c r="U59" s="342">
        <f t="shared" si="25"/>
        <v>16.047473828860937</v>
      </c>
      <c r="V59" s="343">
        <f t="shared" si="26"/>
        <v>4.535145795144091E-2</v>
      </c>
      <c r="W59" s="343"/>
      <c r="X59" s="10" t="str">
        <f>name!A56</f>
        <v>Architectural and related</v>
      </c>
      <c r="Y59" s="10">
        <v>64.035999999304209</v>
      </c>
      <c r="Z59" s="10">
        <v>68.769999999201744</v>
      </c>
      <c r="AA59" s="342">
        <f t="shared" si="8"/>
        <v>4.7339999998975344</v>
      </c>
      <c r="AB59" s="10">
        <v>29.862620033997128</v>
      </c>
      <c r="AC59" s="342">
        <f t="shared" si="9"/>
        <v>34.596620033894666</v>
      </c>
      <c r="AD59" s="343">
        <f t="shared" si="10"/>
        <v>2.5846389446517293E-2</v>
      </c>
    </row>
    <row r="60" spans="1:30" x14ac:dyDescent="0.3">
      <c r="A60" t="str">
        <f t="shared" si="20"/>
        <v>91 Elementary trades and related occupations</v>
      </c>
      <c r="B60" s="11">
        <v>2.0828565258778457E-3</v>
      </c>
      <c r="C60" s="11">
        <v>3.6957729868147713E-3</v>
      </c>
      <c r="D60" s="11">
        <f t="shared" si="21"/>
        <v>1.6129164609369256E-3</v>
      </c>
      <c r="E60" s="11">
        <v>1.8365188164430871E-3</v>
      </c>
      <c r="F60" s="11">
        <f>SUM(D60:E60)</f>
        <v>3.4494352773800129E-3</v>
      </c>
      <c r="G60" s="200">
        <f t="shared" si="23"/>
        <v>4.3046892113802526E-2</v>
      </c>
      <c r="I60" s="11" t="str">
        <f t="shared" si="33"/>
        <v>Elementary occupations</v>
      </c>
      <c r="J60" s="11">
        <v>13.50641274380569</v>
      </c>
      <c r="K60" s="11">
        <v>21.4544777770138</v>
      </c>
      <c r="L60" s="11">
        <v>7.9480650332081106</v>
      </c>
      <c r="M60" s="11">
        <v>10.510104124188663</v>
      </c>
      <c r="N60" s="11">
        <v>18.458169157396775</v>
      </c>
      <c r="P60" s="10" t="str">
        <f>name!D28</f>
        <v>91 Elementary trades and related occupations</v>
      </c>
      <c r="Q60" s="11">
        <v>8.3062512055327016</v>
      </c>
      <c r="R60" s="11">
        <v>6.9925635461606941</v>
      </c>
      <c r="S60" s="342">
        <f t="shared" si="24"/>
        <v>-1.3136876593720075</v>
      </c>
      <c r="T60" s="342">
        <v>4.5191286133828337</v>
      </c>
      <c r="U60" s="342">
        <f t="shared" si="25"/>
        <v>3.2054409540108262</v>
      </c>
      <c r="V60" s="343">
        <f t="shared" si="26"/>
        <v>2.9384627327325497E-2</v>
      </c>
      <c r="W60" s="343"/>
      <c r="X60" s="10" t="str">
        <f>name!A57</f>
        <v>Scientific research and development</v>
      </c>
      <c r="Y60" s="10">
        <v>43.868000000025894</v>
      </c>
      <c r="Z60" s="10">
        <v>53.018999999806155</v>
      </c>
      <c r="AA60" s="342">
        <f t="shared" si="8"/>
        <v>9.1509999997802609</v>
      </c>
      <c r="AB60" s="10">
        <v>21.542360903278887</v>
      </c>
      <c r="AC60" s="342">
        <f t="shared" si="9"/>
        <v>30.693360903059148</v>
      </c>
      <c r="AD60" s="343">
        <f t="shared" si="10"/>
        <v>2.6990865246613316E-2</v>
      </c>
    </row>
    <row r="61" spans="1:30" x14ac:dyDescent="0.3">
      <c r="A61" t="str">
        <f t="shared" si="20"/>
        <v>92 Elementary administration and service occupations</v>
      </c>
      <c r="B61" s="11">
        <v>0.18554932802829693</v>
      </c>
      <c r="C61" s="11">
        <v>0.36153230166633094</v>
      </c>
      <c r="D61" s="11">
        <f t="shared" ref="D61" si="36">C61-B61</f>
        <v>0.175982973638034</v>
      </c>
      <c r="E61" s="11">
        <v>0.16717957862688143</v>
      </c>
      <c r="F61" s="11">
        <f t="shared" ref="F61" si="37">SUM(D61:E61)</f>
        <v>0.34316255226491543</v>
      </c>
      <c r="G61" s="200">
        <f t="shared" ref="G61" si="38">IF(B61&gt;0,(1+(E61/B61))^(1/($C$6-$B$6))-1,0)</f>
        <v>4.3755501853639078E-2</v>
      </c>
      <c r="P61" s="10" t="str">
        <f>name!D29</f>
        <v>92 Elementary administration and service occupations</v>
      </c>
      <c r="Q61" s="11">
        <v>162.64254790562455</v>
      </c>
      <c r="R61" s="11">
        <v>152.14353286061984</v>
      </c>
      <c r="S61" s="342">
        <f t="shared" ref="S61" si="39">R61-Q61</f>
        <v>-10.499015045004711</v>
      </c>
      <c r="T61" s="342">
        <v>92.195321324890756</v>
      </c>
      <c r="U61" s="342">
        <f t="shared" ref="U61" si="40">SUM(S61:T61)</f>
        <v>81.696306279886045</v>
      </c>
      <c r="V61" s="343">
        <f t="shared" ref="V61" si="41">IF(Q61&gt;0,(1+(T61/Q61))^(1/($C$6-$B$6))-1,0)</f>
        <v>3.0390833284271723E-2</v>
      </c>
      <c r="W61" s="11"/>
      <c r="X61" s="10" t="str">
        <f>name!A58</f>
        <v>Advertising, etc</v>
      </c>
      <c r="Y61" s="10">
        <v>13.231000000009438</v>
      </c>
      <c r="Z61" s="10">
        <v>16.072000000049979</v>
      </c>
      <c r="AA61" s="342">
        <f t="shared" si="8"/>
        <v>2.8410000000405411</v>
      </c>
      <c r="AB61" s="10">
        <v>7.5472626573586759</v>
      </c>
      <c r="AC61" s="342">
        <f t="shared" si="9"/>
        <v>10.388262657399217</v>
      </c>
      <c r="AD61" s="343">
        <f t="shared" si="10"/>
        <v>3.0546922784246977E-2</v>
      </c>
    </row>
    <row r="62" spans="1:30" x14ac:dyDescent="0.3">
      <c r="A62" t="str">
        <f t="shared" si="20"/>
        <v>All occupations</v>
      </c>
      <c r="B62" s="11">
        <f>SUM(B36:B61)</f>
        <v>45.751429839235044</v>
      </c>
      <c r="C62" s="11">
        <f t="shared" ref="C62:F62" si="42">SUM(C36:C61)</f>
        <v>75.377232108376006</v>
      </c>
      <c r="D62" s="11">
        <f t="shared" si="42"/>
        <v>29.625802269140941</v>
      </c>
      <c r="E62" s="11">
        <f t="shared" si="42"/>
        <v>30.483299706679972</v>
      </c>
      <c r="F62" s="11">
        <f t="shared" si="42"/>
        <v>60.109101975820913</v>
      </c>
      <c r="G62" s="200">
        <f t="shared" si="23"/>
        <v>3.4625582789234999E-2</v>
      </c>
      <c r="I62" s="86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1539.2879999993067</v>
      </c>
      <c r="R62" s="11">
        <f>SUM(R36:R61)</f>
        <v>1675.6119999996242</v>
      </c>
      <c r="S62" s="342">
        <f>R62-Q62</f>
        <v>136.32400000031748</v>
      </c>
      <c r="T62" s="11">
        <f>SUM(T36:T61)</f>
        <v>915.68350291787567</v>
      </c>
      <c r="U62" s="342">
        <f>SUM(S62:T62)</f>
        <v>1052.007502918193</v>
      </c>
      <c r="V62" s="343">
        <f>IF(Q62&gt;0,(1+(T62/Q62))^(1/($C$6-$B$6))-1,0)</f>
        <v>3.1608958190480818E-2</v>
      </c>
      <c r="X62" s="10" t="str">
        <f>name!A59</f>
        <v>Other professional</v>
      </c>
      <c r="Y62" s="10">
        <v>33.10399999999305</v>
      </c>
      <c r="Z62" s="10">
        <v>40.16000000012729</v>
      </c>
      <c r="AA62" s="342">
        <f t="shared" si="8"/>
        <v>7.0560000001342402</v>
      </c>
      <c r="AB62" s="10">
        <v>18.528124018500478</v>
      </c>
      <c r="AC62" s="342">
        <f t="shared" si="9"/>
        <v>25.584124018634718</v>
      </c>
      <c r="AD62" s="343">
        <f t="shared" si="10"/>
        <v>3.0076077418104807E-2</v>
      </c>
    </row>
    <row r="63" spans="1:30" x14ac:dyDescent="0.3">
      <c r="I63" s="11" t="str">
        <f>I52</f>
        <v>Managers, directors and senior officials</v>
      </c>
      <c r="J63" s="11">
        <f t="array" ref="J63:J71">MMULT(aggregation!$B$38:$AA$46,B152:B177)</f>
        <v>28.927206346400794</v>
      </c>
      <c r="K63" s="11">
        <f t="array" ref="K63:K71">MMULT(aggregation!$B$38:$AA$46,C152:C177)</f>
        <v>34.928724152396001</v>
      </c>
      <c r="L63" s="11">
        <f t="array" ref="L63:L71">MMULT(aggregation!$B$38:$AA$46,D152:D177)</f>
        <v>6.0015178059952117</v>
      </c>
      <c r="M63" s="11">
        <f t="array" ref="M63:M71">MMULT(aggregation!$B$38:$AA$46,E152:E177)</f>
        <v>17.25325944392225</v>
      </c>
      <c r="N63" s="11">
        <f t="array" ref="N63:N71">MMULT(aggregation!$B$38:$AA$46,F152:F177)</f>
        <v>23.25477724991746</v>
      </c>
      <c r="P63" s="23"/>
      <c r="Q63" s="33"/>
      <c r="R63" s="33"/>
      <c r="S63" s="33"/>
      <c r="T63" s="33"/>
      <c r="U63" s="33"/>
      <c r="V63" s="33"/>
      <c r="X63" s="10" t="str">
        <f>name!A60</f>
        <v>Veterinary</v>
      </c>
      <c r="Y63" s="10">
        <v>13.902000000164589</v>
      </c>
      <c r="Z63" s="10">
        <v>17.001000000016713</v>
      </c>
      <c r="AA63" s="342">
        <f t="shared" si="8"/>
        <v>3.0989999998521238</v>
      </c>
      <c r="AB63" s="10">
        <v>8.3831158800334951</v>
      </c>
      <c r="AC63" s="342">
        <f t="shared" si="9"/>
        <v>11.482115879885619</v>
      </c>
      <c r="AD63" s="343">
        <f t="shared" si="10"/>
        <v>3.1959153266154505E-2</v>
      </c>
    </row>
    <row r="64" spans="1:30" ht="24.9" x14ac:dyDescent="0.3">
      <c r="A64" s="201" t="str">
        <f>CONCATENATE(name!F5," (Constrained)")</f>
        <v>RQF7 Other higher degree (Constrained)</v>
      </c>
      <c r="B64" s="74">
        <f t="shared" ref="B64:G64" si="43">B6</f>
        <v>2020</v>
      </c>
      <c r="C64" s="74">
        <f t="shared" si="43"/>
        <v>2035</v>
      </c>
      <c r="D64" s="87" t="str">
        <f t="shared" si="43"/>
        <v>Net Change</v>
      </c>
      <c r="E64" s="87" t="str">
        <f t="shared" si="43"/>
        <v>Replacement Demand level</v>
      </c>
      <c r="F64" s="87" t="str">
        <f t="shared" si="43"/>
        <v>Total Requirement</v>
      </c>
      <c r="G64" s="87" t="str">
        <f t="shared" si="43"/>
        <v>Replacement Demand rate</v>
      </c>
      <c r="I64" s="11" t="str">
        <f>I53</f>
        <v>Professional occupations</v>
      </c>
      <c r="J64" s="11">
        <v>37.249941134145686</v>
      </c>
      <c r="K64" s="11">
        <v>41.154678416785003</v>
      </c>
      <c r="L64" s="11">
        <v>3.9047372826393225</v>
      </c>
      <c r="M64" s="11">
        <v>16.590620721959276</v>
      </c>
      <c r="N64" s="11">
        <v>20.4953580045986</v>
      </c>
      <c r="P64" s="11"/>
      <c r="Q64" s="11"/>
      <c r="R64" s="11"/>
      <c r="S64" s="11"/>
      <c r="T64" s="11"/>
      <c r="U64" s="11"/>
      <c r="X64" s="10" t="str">
        <f>name!A61</f>
        <v>Rental and leasing</v>
      </c>
      <c r="Y64" s="10">
        <v>13.277999999992041</v>
      </c>
      <c r="Z64" s="10">
        <v>15.219999999991206</v>
      </c>
      <c r="AA64" s="342">
        <f t="shared" si="8"/>
        <v>1.9419999999991653</v>
      </c>
      <c r="AB64" s="10">
        <v>6.3350480215975784</v>
      </c>
      <c r="AC64" s="342">
        <f t="shared" si="9"/>
        <v>8.2770480215967446</v>
      </c>
      <c r="AD64" s="343">
        <f t="shared" si="10"/>
        <v>2.6346869098193615E-2</v>
      </c>
    </row>
    <row r="65" spans="1:30" x14ac:dyDescent="0.3">
      <c r="A65" t="str">
        <f t="shared" ref="A65:A91" si="44">A7</f>
        <v>11 Corporate managers and directors</v>
      </c>
      <c r="B65" s="11">
        <v>27.658011749627089</v>
      </c>
      <c r="C65" s="11">
        <v>42.741537129602186</v>
      </c>
      <c r="D65" s="11">
        <f>C65-B65</f>
        <v>15.083525379975097</v>
      </c>
      <c r="E65" s="11">
        <v>19.161544870586287</v>
      </c>
      <c r="F65" s="11">
        <f>SUM(D65:E65)</f>
        <v>34.245070250561383</v>
      </c>
      <c r="G65" s="200">
        <f>IF(B65&gt;0,(1+(E65/B65))^(1/($C$6-$B$6))-1,0)</f>
        <v>3.5715373429456632E-2</v>
      </c>
      <c r="I65" s="11" t="str">
        <f>I54</f>
        <v>Associate professional occupations</v>
      </c>
      <c r="J65" s="11">
        <v>29.148998273271737</v>
      </c>
      <c r="K65" s="11">
        <v>29.666034072468349</v>
      </c>
      <c r="L65" s="11">
        <v>0.51703579919661458</v>
      </c>
      <c r="M65" s="11">
        <v>12.755810287027332</v>
      </c>
      <c r="N65" s="11">
        <v>13.272846086223947</v>
      </c>
      <c r="P65" s="11"/>
      <c r="Q65" s="11"/>
      <c r="R65" s="11"/>
      <c r="S65" s="11"/>
      <c r="T65" s="11"/>
      <c r="U65" s="11"/>
      <c r="X65" s="10" t="str">
        <f>name!A62</f>
        <v>Employment activities</v>
      </c>
      <c r="Y65" s="10">
        <v>113.64900000008154</v>
      </c>
      <c r="Z65" s="10">
        <v>129.6810000006445</v>
      </c>
      <c r="AA65" s="342">
        <f t="shared" si="8"/>
        <v>16.032000000562959</v>
      </c>
      <c r="AB65" s="10">
        <v>55.466466892900364</v>
      </c>
      <c r="AC65" s="342">
        <f t="shared" si="9"/>
        <v>71.498466893463331</v>
      </c>
      <c r="AD65" s="343">
        <f t="shared" si="10"/>
        <v>2.6851985881956697E-2</v>
      </c>
    </row>
    <row r="66" spans="1:30" x14ac:dyDescent="0.3">
      <c r="A66" t="str">
        <f t="shared" si="44"/>
        <v>12 Other managers and proprietors</v>
      </c>
      <c r="B66" s="11">
        <v>10.340077863742406</v>
      </c>
      <c r="C66" s="11">
        <v>23.047019307980758</v>
      </c>
      <c r="D66" s="11">
        <f t="shared" ref="D66:D89" si="45">C66-B66</f>
        <v>12.706941444238351</v>
      </c>
      <c r="E66" s="11">
        <v>10.867577165717991</v>
      </c>
      <c r="F66" s="11">
        <f t="shared" ref="F66:F89" si="46">SUM(D66:E66)</f>
        <v>23.574518609956343</v>
      </c>
      <c r="G66" s="200">
        <f t="shared" ref="G66:G91" si="47">IF(B66&gt;0,(1+(E66/B66))^(1/($C$6-$B$6))-1,0)</f>
        <v>4.905419009549683E-2</v>
      </c>
      <c r="I66" s="11" t="str">
        <f>I55</f>
        <v>Administrative and secretarial occupations</v>
      </c>
      <c r="J66" s="11">
        <v>22.43536373291203</v>
      </c>
      <c r="K66" s="11">
        <v>24.164836536564195</v>
      </c>
      <c r="L66" s="11">
        <v>1.7294728036521678</v>
      </c>
      <c r="M66" s="11">
        <v>12.754712023512257</v>
      </c>
      <c r="N66" s="11">
        <v>14.484184827164423</v>
      </c>
      <c r="P66" s="11"/>
      <c r="Q66" s="11"/>
      <c r="R66" s="11"/>
      <c r="S66" s="11"/>
      <c r="T66" s="11"/>
      <c r="U66" s="11"/>
      <c r="X66" s="10" t="str">
        <f>name!A63</f>
        <v>Travel, etc</v>
      </c>
      <c r="Y66" s="10">
        <v>5.9679999999913074</v>
      </c>
      <c r="Z66" s="10">
        <v>6.8500000000351404</v>
      </c>
      <c r="AA66" s="342">
        <f t="shared" si="8"/>
        <v>0.88200000004383305</v>
      </c>
      <c r="AB66" s="10">
        <v>2.9513012662571163</v>
      </c>
      <c r="AC66" s="342">
        <f t="shared" si="9"/>
        <v>3.8333012663009494</v>
      </c>
      <c r="AD66" s="343">
        <f t="shared" si="10"/>
        <v>2.7149047893864742E-2</v>
      </c>
    </row>
    <row r="67" spans="1:30" x14ac:dyDescent="0.3">
      <c r="A67" t="str">
        <f t="shared" si="44"/>
        <v>21 Science, research, engineering and technology professionals</v>
      </c>
      <c r="B67" s="11">
        <v>40.414660443414377</v>
      </c>
      <c r="C67" s="11">
        <v>67.45517691023224</v>
      </c>
      <c r="D67" s="11">
        <f t="shared" si="45"/>
        <v>27.040516466817863</v>
      </c>
      <c r="E67" s="11">
        <v>22.602269764085236</v>
      </c>
      <c r="F67" s="11">
        <f t="shared" si="46"/>
        <v>49.642786230903098</v>
      </c>
      <c r="G67" s="200">
        <f t="shared" si="47"/>
        <v>3.0056911730633074E-2</v>
      </c>
      <c r="I67" s="11" t="str">
        <f t="shared" ref="I67:I71" si="48">I56</f>
        <v>Skilled trades occupations</v>
      </c>
      <c r="J67" s="11">
        <v>15.993885650209405</v>
      </c>
      <c r="K67" s="11">
        <v>22.56020071505738</v>
      </c>
      <c r="L67" s="11">
        <v>6.5663150648479771</v>
      </c>
      <c r="M67" s="11">
        <v>10.054571100929902</v>
      </c>
      <c r="N67" s="11">
        <v>16.620886165777879</v>
      </c>
      <c r="P67" s="11"/>
      <c r="Q67" s="11"/>
      <c r="R67" s="11"/>
      <c r="S67" s="11"/>
      <c r="T67" s="11"/>
      <c r="U67" s="11"/>
      <c r="X67" s="10" t="str">
        <f>name!A64</f>
        <v>Security, etc</v>
      </c>
      <c r="Y67" s="10">
        <v>18.379000000010389</v>
      </c>
      <c r="Z67" s="10">
        <v>21.014000000090643</v>
      </c>
      <c r="AA67" s="342">
        <f t="shared" si="8"/>
        <v>2.6350000000802538</v>
      </c>
      <c r="AB67" s="10">
        <v>8.8619847741162694</v>
      </c>
      <c r="AC67" s="342">
        <f t="shared" si="9"/>
        <v>11.496984774196523</v>
      </c>
      <c r="AD67" s="343">
        <f t="shared" si="10"/>
        <v>2.6581408904290171E-2</v>
      </c>
    </row>
    <row r="68" spans="1:30" x14ac:dyDescent="0.3">
      <c r="A68" t="str">
        <f t="shared" si="44"/>
        <v>22 Health professionals</v>
      </c>
      <c r="B68" s="11">
        <v>19.904078700767059</v>
      </c>
      <c r="C68" s="11">
        <v>35.556685559328571</v>
      </c>
      <c r="D68" s="11">
        <f t="shared" si="45"/>
        <v>15.652606858561512</v>
      </c>
      <c r="E68" s="11">
        <v>15.336675849041306</v>
      </c>
      <c r="F68" s="11">
        <f t="shared" si="46"/>
        <v>30.989282707602818</v>
      </c>
      <c r="G68" s="200">
        <f t="shared" si="47"/>
        <v>3.8819774086782832E-2</v>
      </c>
      <c r="I68" s="11" t="str">
        <f t="shared" si="48"/>
        <v>Caring, leisure and other service occupations</v>
      </c>
      <c r="J68" s="11">
        <v>20.632031750819134</v>
      </c>
      <c r="K68" s="11">
        <v>27.773460790180302</v>
      </c>
      <c r="L68" s="11">
        <v>7.1414290393611681</v>
      </c>
      <c r="M68" s="11">
        <v>14.317889821409546</v>
      </c>
      <c r="N68" s="11">
        <v>21.459318860770715</v>
      </c>
      <c r="P68" s="11"/>
      <c r="Q68" s="11"/>
      <c r="R68" s="11"/>
      <c r="S68" s="11"/>
      <c r="T68" s="11"/>
      <c r="U68" s="11"/>
      <c r="X68" s="10" t="str">
        <f>name!A65</f>
        <v>Services to buildings</v>
      </c>
      <c r="Y68" s="10">
        <v>97.226999999465306</v>
      </c>
      <c r="Z68" s="10">
        <v>110.77899999975561</v>
      </c>
      <c r="AA68" s="342">
        <f t="shared" si="8"/>
        <v>13.552000000290306</v>
      </c>
      <c r="AB68" s="10">
        <v>52.870531987135095</v>
      </c>
      <c r="AC68" s="342">
        <f t="shared" si="9"/>
        <v>66.422531987425401</v>
      </c>
      <c r="AD68" s="343">
        <f t="shared" si="10"/>
        <v>2.9372221798247944E-2</v>
      </c>
    </row>
    <row r="69" spans="1:30" x14ac:dyDescent="0.3">
      <c r="A69" t="str">
        <f t="shared" si="44"/>
        <v>23 Teaching and other educational professionals</v>
      </c>
      <c r="B69" s="11">
        <v>70.492232652950975</v>
      </c>
      <c r="C69" s="11">
        <v>99.053271071924584</v>
      </c>
      <c r="D69" s="11">
        <f t="shared" ref="D69" si="49">C69-B69</f>
        <v>28.56103841897361</v>
      </c>
      <c r="E69" s="11">
        <v>45.498592500907321</v>
      </c>
      <c r="F69" s="11">
        <f t="shared" ref="F69" si="50">SUM(D69:E69)</f>
        <v>74.059630919880931</v>
      </c>
      <c r="G69" s="200">
        <f t="shared" si="47"/>
        <v>3.3757860356659286E-2</v>
      </c>
      <c r="I69" s="11" t="str">
        <f t="shared" si="48"/>
        <v>Sales and customer service occupations</v>
      </c>
      <c r="J69" s="11">
        <v>10.085277801792929</v>
      </c>
      <c r="K69" s="11">
        <v>12.667378260924181</v>
      </c>
      <c r="L69" s="11">
        <v>2.5821004591312531</v>
      </c>
      <c r="M69" s="11">
        <v>5.3089063411133921</v>
      </c>
      <c r="N69" s="11">
        <v>7.8910068002446447</v>
      </c>
      <c r="P69" s="11"/>
      <c r="Q69" s="11"/>
      <c r="R69" s="11"/>
      <c r="S69" s="11"/>
      <c r="T69" s="11"/>
      <c r="U69" s="11"/>
      <c r="X69" s="10" t="str">
        <f>name!A66</f>
        <v>Office administrative</v>
      </c>
      <c r="Y69" s="10">
        <v>42.513999999946094</v>
      </c>
      <c r="Z69" s="10">
        <v>48.896000000120644</v>
      </c>
      <c r="AA69" s="342">
        <f t="shared" si="8"/>
        <v>6.3820000001745498</v>
      </c>
      <c r="AB69" s="10">
        <v>21.066472361226278</v>
      </c>
      <c r="AC69" s="342">
        <f t="shared" si="9"/>
        <v>27.448472361400828</v>
      </c>
      <c r="AD69" s="343">
        <f t="shared" si="10"/>
        <v>2.7194736784543094E-2</v>
      </c>
    </row>
    <row r="70" spans="1:30" x14ac:dyDescent="0.3">
      <c r="A70" t="str">
        <f t="shared" si="44"/>
        <v>24 Business, media and public service professionals</v>
      </c>
      <c r="B70" s="11">
        <v>41.626314029811091</v>
      </c>
      <c r="C70" s="11">
        <v>71.991433782614024</v>
      </c>
      <c r="D70" s="11">
        <f t="shared" si="45"/>
        <v>30.365119752802933</v>
      </c>
      <c r="E70" s="11">
        <v>29.810759511628969</v>
      </c>
      <c r="F70" s="11">
        <f t="shared" si="46"/>
        <v>60.175879264431899</v>
      </c>
      <c r="G70" s="200">
        <f t="shared" si="47"/>
        <v>3.6661683279055834E-2</v>
      </c>
      <c r="I70" s="11" t="str">
        <f t="shared" si="48"/>
        <v>Process, plant and machine operatives</v>
      </c>
      <c r="J70" s="11">
        <v>6.7274837418392348</v>
      </c>
      <c r="K70" s="11">
        <v>11.862512516235283</v>
      </c>
      <c r="L70" s="11">
        <v>5.1350287743960479</v>
      </c>
      <c r="M70" s="11">
        <v>5.7472109082762373</v>
      </c>
      <c r="N70" s="11">
        <v>10.882239682672285</v>
      </c>
      <c r="P70" s="11"/>
      <c r="Q70" s="11"/>
      <c r="R70" s="11"/>
      <c r="S70" s="11"/>
      <c r="T70" s="11"/>
      <c r="U70" s="11"/>
      <c r="X70" s="10" t="str">
        <f>name!A67</f>
        <v>Public administration and defence</v>
      </c>
      <c r="Y70" s="10">
        <v>89.344999999824566</v>
      </c>
      <c r="Z70" s="10">
        <v>100.93299999979894</v>
      </c>
      <c r="AA70" s="342">
        <f t="shared" si="8"/>
        <v>11.587999999974372</v>
      </c>
      <c r="AB70" s="10">
        <v>46.557732716361855</v>
      </c>
      <c r="AC70" s="342">
        <f t="shared" si="9"/>
        <v>58.145732716336227</v>
      </c>
      <c r="AD70" s="343">
        <f t="shared" si="10"/>
        <v>2.8356890565431225E-2</v>
      </c>
    </row>
    <row r="71" spans="1:30" x14ac:dyDescent="0.3">
      <c r="A71" t="str">
        <f t="shared" si="44"/>
        <v>31 Science, engineering and technology associate professionals</v>
      </c>
      <c r="B71" s="11">
        <v>7.1722873770363904</v>
      </c>
      <c r="C71" s="11">
        <v>10.181209517426714</v>
      </c>
      <c r="D71" s="11">
        <f t="shared" si="45"/>
        <v>3.0089221403903235</v>
      </c>
      <c r="E71" s="11">
        <v>3.8295420804435971</v>
      </c>
      <c r="F71" s="11">
        <f t="shared" si="46"/>
        <v>6.8384642208339201</v>
      </c>
      <c r="G71" s="200">
        <f t="shared" si="47"/>
        <v>2.8933123777056702E-2</v>
      </c>
      <c r="I71" s="11" t="str">
        <f t="shared" si="48"/>
        <v>Elementary occupations</v>
      </c>
      <c r="J71" s="11">
        <v>12.325919491400583</v>
      </c>
      <c r="K71" s="11">
        <v>18.699333079983983</v>
      </c>
      <c r="L71" s="11">
        <v>6.3734135885833991</v>
      </c>
      <c r="M71" s="11">
        <v>9.0605113971070388</v>
      </c>
      <c r="N71" s="11">
        <v>15.433924985690439</v>
      </c>
      <c r="P71" s="11"/>
      <c r="Q71" s="11"/>
      <c r="R71" s="11"/>
      <c r="S71" s="11"/>
      <c r="T71" s="11"/>
      <c r="U71" s="11"/>
      <c r="X71" s="10" t="str">
        <f>name!A68</f>
        <v xml:space="preserve">Education </v>
      </c>
      <c r="Y71" s="10">
        <v>283.23500000341642</v>
      </c>
      <c r="Z71" s="10">
        <v>283.76200000257643</v>
      </c>
      <c r="AA71" s="342">
        <f t="shared" si="8"/>
        <v>0.52699999916001161</v>
      </c>
      <c r="AB71" s="10">
        <v>150.79306402648513</v>
      </c>
      <c r="AC71" s="342">
        <f t="shared" si="9"/>
        <v>151.32006402564514</v>
      </c>
      <c r="AD71" s="343">
        <f t="shared" si="10"/>
        <v>2.8864208478040165E-2</v>
      </c>
    </row>
    <row r="72" spans="1:30" x14ac:dyDescent="0.3">
      <c r="A72" t="str">
        <f t="shared" si="44"/>
        <v>32 Health and social care associate professionals</v>
      </c>
      <c r="B72" s="11">
        <v>4.8616864909254449</v>
      </c>
      <c r="C72" s="11">
        <v>9.6371690474932397</v>
      </c>
      <c r="D72" s="11">
        <f t="shared" si="45"/>
        <v>4.7754825565677947</v>
      </c>
      <c r="E72" s="11">
        <v>4.3143034282245756</v>
      </c>
      <c r="F72" s="11">
        <f t="shared" si="46"/>
        <v>9.0897859847923712</v>
      </c>
      <c r="G72" s="200">
        <f t="shared" si="47"/>
        <v>4.3256418202422431E-2</v>
      </c>
      <c r="I72" s="11"/>
      <c r="J72" s="11"/>
      <c r="K72" s="11"/>
      <c r="L72" s="11"/>
      <c r="M72" s="11"/>
      <c r="N72" s="11"/>
      <c r="P72" s="11"/>
      <c r="Q72" s="11"/>
      <c r="R72" s="11"/>
      <c r="S72" s="11"/>
      <c r="T72" s="11"/>
      <c r="U72" s="11"/>
      <c r="X72" s="10" t="str">
        <f>name!A69</f>
        <v>Health</v>
      </c>
      <c r="Y72" s="10">
        <v>207.80499999986665</v>
      </c>
      <c r="Z72" s="10">
        <v>261.66599999896152</v>
      </c>
      <c r="AA72" s="342">
        <f t="shared" ref="AA72:AA80" si="51">Z72-Y72</f>
        <v>53.860999999094872</v>
      </c>
      <c r="AB72" s="10">
        <v>131.9038601944693</v>
      </c>
      <c r="AC72" s="342">
        <f t="shared" ref="AC72:AC82" si="52">SUM(AA72:AB72)</f>
        <v>185.76486019356418</v>
      </c>
      <c r="AD72" s="343">
        <f t="shared" ref="AD72:AD82" si="53">IF(Y72&gt;0,(1+(AB72/Y72))^(1/($C$6-$B$6))-1,0)</f>
        <v>3.3308635233948003E-2</v>
      </c>
    </row>
    <row r="73" spans="1:30" x14ac:dyDescent="0.3">
      <c r="A73" t="str">
        <f t="shared" si="44"/>
        <v>33 Protective service occupations</v>
      </c>
      <c r="B73" s="11">
        <v>1.6763225983669552</v>
      </c>
      <c r="C73" s="11">
        <v>3.9984315417060898</v>
      </c>
      <c r="D73" s="11">
        <f t="shared" si="45"/>
        <v>2.3221089433391349</v>
      </c>
      <c r="E73" s="11">
        <v>1.0404468782347764</v>
      </c>
      <c r="F73" s="11">
        <f t="shared" si="46"/>
        <v>3.3625558215739115</v>
      </c>
      <c r="G73" s="200">
        <f t="shared" si="47"/>
        <v>3.2713083835911316E-2</v>
      </c>
      <c r="I73" s="86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11"/>
      <c r="T73" s="11"/>
      <c r="U73" s="11"/>
      <c r="X73" s="10" t="str">
        <f>name!A70</f>
        <v>Residential care</v>
      </c>
      <c r="Y73" s="10">
        <v>75.758000000174079</v>
      </c>
      <c r="Z73" s="10">
        <v>85.710999999696071</v>
      </c>
      <c r="AA73" s="342">
        <f t="shared" si="51"/>
        <v>9.9529999995219924</v>
      </c>
      <c r="AB73" s="10">
        <v>45.732296228664516</v>
      </c>
      <c r="AC73" s="342">
        <f t="shared" si="52"/>
        <v>55.685296228186509</v>
      </c>
      <c r="AD73" s="343">
        <f t="shared" si="53"/>
        <v>3.1986951329657343E-2</v>
      </c>
    </row>
    <row r="74" spans="1:30" x14ac:dyDescent="0.3">
      <c r="A74" t="str">
        <f t="shared" si="44"/>
        <v>34 Culture, media and sports occupations</v>
      </c>
      <c r="B74" s="11">
        <v>13.106468086848743</v>
      </c>
      <c r="C74" s="11">
        <v>20.370721429540424</v>
      </c>
      <c r="D74" s="11">
        <f t="shared" ref="D74:D75" si="54">C74-B74</f>
        <v>7.2642533426916813</v>
      </c>
      <c r="E74" s="11">
        <v>8.5848933489608914</v>
      </c>
      <c r="F74" s="11">
        <f t="shared" ref="F74:F75" si="55">SUM(D74:E74)</f>
        <v>15.849146691652573</v>
      </c>
      <c r="G74" s="200">
        <f t="shared" si="47"/>
        <v>3.4157634563471539E-2</v>
      </c>
      <c r="I74" s="11" t="str">
        <f>I63</f>
        <v>Managers, directors and senior officials</v>
      </c>
      <c r="J74" s="11">
        <f t="array" ref="J74:J82">MMULT(aggregation!$B$38:$AA$46,B181:B206)</f>
        <v>65.287824917311241</v>
      </c>
      <c r="K74" s="11">
        <f t="array" ref="K74:K82">MMULT(aggregation!$B$38:$AA$46,C181:C206)</f>
        <v>75.672726094193649</v>
      </c>
      <c r="L74" s="11">
        <f t="array" ref="L74:L82">MMULT(aggregation!$B$38:$AA$46,D181:D206)</f>
        <v>10.384901176882412</v>
      </c>
      <c r="M74" s="11">
        <f t="array" ref="M74:M82">MMULT(aggregation!$B$38:$AA$46,E181:E206)</f>
        <v>32.430324633498493</v>
      </c>
      <c r="N74" s="11">
        <f t="array" ref="N74:N82">MMULT(aggregation!$B$38:$AA$46,F181:F206)</f>
        <v>42.815225810380902</v>
      </c>
      <c r="P74" s="11"/>
      <c r="Q74" s="11"/>
      <c r="R74" s="11"/>
      <c r="S74" s="11"/>
      <c r="T74" s="11"/>
      <c r="U74" s="11"/>
      <c r="X74" s="10" t="str">
        <f>name!A71</f>
        <v>Social work</v>
      </c>
      <c r="Y74" s="10">
        <v>83.47499999992354</v>
      </c>
      <c r="Z74" s="10">
        <v>91.207999999641515</v>
      </c>
      <c r="AA74" s="342">
        <f t="shared" si="51"/>
        <v>7.7329999997179755</v>
      </c>
      <c r="AB74" s="10">
        <v>49.661075122480327</v>
      </c>
      <c r="AC74" s="342">
        <f t="shared" si="52"/>
        <v>57.394075122198302</v>
      </c>
      <c r="AD74" s="343">
        <f t="shared" si="53"/>
        <v>3.1610977328202949E-2</v>
      </c>
    </row>
    <row r="75" spans="1:30" x14ac:dyDescent="0.3">
      <c r="A75" t="str">
        <f t="shared" si="44"/>
        <v>35 Business and public service associate professionals</v>
      </c>
      <c r="B75" s="11">
        <v>23.461283973310287</v>
      </c>
      <c r="C75" s="11">
        <v>38.249061546336009</v>
      </c>
      <c r="D75" s="11">
        <f t="shared" si="54"/>
        <v>14.787777573025721</v>
      </c>
      <c r="E75" s="11">
        <v>15.733228868697209</v>
      </c>
      <c r="F75" s="11">
        <f t="shared" si="55"/>
        <v>30.521006441722932</v>
      </c>
      <c r="G75" s="200">
        <f t="shared" si="47"/>
        <v>3.4804319711555065E-2</v>
      </c>
      <c r="I75" s="11" t="str">
        <f>I64</f>
        <v>Professional occupations</v>
      </c>
      <c r="J75" s="11">
        <v>73.762407200069305</v>
      </c>
      <c r="K75" s="11">
        <v>89.708233679876201</v>
      </c>
      <c r="L75" s="11">
        <v>15.94582647980689</v>
      </c>
      <c r="M75" s="11">
        <v>33.884174881969429</v>
      </c>
      <c r="N75" s="11">
        <v>49.830001361776318</v>
      </c>
      <c r="P75" s="11"/>
      <c r="Q75" s="11"/>
      <c r="R75" s="11"/>
      <c r="S75" s="11"/>
      <c r="T75" s="11"/>
      <c r="U75" s="11"/>
      <c r="X75" s="10" t="str">
        <f>name!A72</f>
        <v>Arts and entertainment</v>
      </c>
      <c r="Y75" s="10">
        <v>20.478000000163675</v>
      </c>
      <c r="Z75" s="10">
        <v>17.071000000270857</v>
      </c>
      <c r="AA75" s="342">
        <f t="shared" si="51"/>
        <v>-3.4069999998928182</v>
      </c>
      <c r="AB75" s="10">
        <v>8.8228201087577389</v>
      </c>
      <c r="AC75" s="342">
        <f t="shared" si="52"/>
        <v>5.4158201088649207</v>
      </c>
      <c r="AD75" s="343">
        <f t="shared" si="53"/>
        <v>2.4171805243750288E-2</v>
      </c>
    </row>
    <row r="76" spans="1:30" x14ac:dyDescent="0.3">
      <c r="A76" t="str">
        <f t="shared" si="44"/>
        <v>41 Administrative occupations</v>
      </c>
      <c r="B76" s="11">
        <v>15.115023149260534</v>
      </c>
      <c r="C76" s="11">
        <v>25.76071927256762</v>
      </c>
      <c r="D76" s="11">
        <f t="shared" si="45"/>
        <v>10.645696123307086</v>
      </c>
      <c r="E76" s="11">
        <v>11.250022712156202</v>
      </c>
      <c r="F76" s="11">
        <f t="shared" si="46"/>
        <v>21.895718835463288</v>
      </c>
      <c r="G76" s="200">
        <f t="shared" si="47"/>
        <v>3.7786414139600044E-2</v>
      </c>
      <c r="I76" s="11" t="str">
        <f>I65</f>
        <v>Associate professional occupations</v>
      </c>
      <c r="J76" s="11">
        <v>72.278369814019158</v>
      </c>
      <c r="K76" s="11">
        <v>71.447790560808315</v>
      </c>
      <c r="L76" s="11">
        <v>-0.8305792532108498</v>
      </c>
      <c r="M76" s="11">
        <v>30.664293264381804</v>
      </c>
      <c r="N76" s="11">
        <v>29.833714011170954</v>
      </c>
      <c r="P76" s="11"/>
      <c r="Q76" s="11"/>
      <c r="R76" s="11"/>
      <c r="S76" s="11"/>
      <c r="T76" s="11"/>
      <c r="U76" s="11"/>
      <c r="X76" s="10" t="str">
        <f>name!A73</f>
        <v>Libraries, etc</v>
      </c>
      <c r="Y76" s="10">
        <v>20.487000000131033</v>
      </c>
      <c r="Z76" s="10">
        <v>17.401000000217142</v>
      </c>
      <c r="AA76" s="342">
        <f t="shared" si="51"/>
        <v>-3.0859999999138914</v>
      </c>
      <c r="AB76" s="10">
        <v>9.3761972495870296</v>
      </c>
      <c r="AC76" s="342">
        <f t="shared" si="52"/>
        <v>6.2901972496731382</v>
      </c>
      <c r="AD76" s="343">
        <f t="shared" si="53"/>
        <v>2.5440648816001499E-2</v>
      </c>
    </row>
    <row r="77" spans="1:30" x14ac:dyDescent="0.3">
      <c r="A77" t="str">
        <f t="shared" si="44"/>
        <v>42 Secretarial and related occupations</v>
      </c>
      <c r="B77" s="11">
        <v>2.859257953832584</v>
      </c>
      <c r="C77" s="11">
        <v>5.566596546992101</v>
      </c>
      <c r="D77" s="11">
        <f t="shared" si="45"/>
        <v>2.7073385931595171</v>
      </c>
      <c r="E77" s="11">
        <v>2.668798918737644</v>
      </c>
      <c r="F77" s="11">
        <f t="shared" si="46"/>
        <v>5.376137511897161</v>
      </c>
      <c r="G77" s="200">
        <f t="shared" si="47"/>
        <v>4.4931795688030629E-2</v>
      </c>
      <c r="I77" s="11" t="str">
        <f>I66</f>
        <v>Administrative and secretarial occupations</v>
      </c>
      <c r="J77" s="11">
        <v>63.987435831375024</v>
      </c>
      <c r="K77" s="11">
        <v>52.341884528101772</v>
      </c>
      <c r="L77" s="11">
        <v>-11.645551303273251</v>
      </c>
      <c r="M77" s="11">
        <v>30.839179568518453</v>
      </c>
      <c r="N77" s="11">
        <v>19.193628265245202</v>
      </c>
      <c r="P77" s="11"/>
      <c r="Q77" s="11"/>
      <c r="R77" s="11"/>
      <c r="S77" s="11"/>
      <c r="T77" s="11"/>
      <c r="U77" s="11"/>
      <c r="X77" s="10" t="str">
        <f>name!A74</f>
        <v>Gambling and betting</v>
      </c>
      <c r="Y77" s="10">
        <v>6.8300000000101306</v>
      </c>
      <c r="Z77" s="10">
        <v>7.4010000000249985</v>
      </c>
      <c r="AA77" s="342">
        <f t="shared" si="51"/>
        <v>0.57100000001486784</v>
      </c>
      <c r="AB77" s="10">
        <v>3.2078118123599779</v>
      </c>
      <c r="AC77" s="342">
        <f t="shared" si="52"/>
        <v>3.7788118123748458</v>
      </c>
      <c r="AD77" s="343">
        <f t="shared" si="53"/>
        <v>2.6001249581328878E-2</v>
      </c>
    </row>
    <row r="78" spans="1:30" x14ac:dyDescent="0.3">
      <c r="A78" t="str">
        <f t="shared" si="44"/>
        <v>51 Skilled agricultural and related trades</v>
      </c>
      <c r="B78" s="11">
        <v>0.33138723104367102</v>
      </c>
      <c r="C78" s="11">
        <v>0.62939781959925334</v>
      </c>
      <c r="D78" s="11">
        <f t="shared" si="45"/>
        <v>0.29801058855558232</v>
      </c>
      <c r="E78" s="11">
        <v>0.28555083209819931</v>
      </c>
      <c r="F78" s="11">
        <f t="shared" si="46"/>
        <v>0.58356142065378158</v>
      </c>
      <c r="G78" s="200">
        <f t="shared" si="47"/>
        <v>4.2302356617085479E-2</v>
      </c>
      <c r="I78" s="11" t="str">
        <f t="shared" ref="I78:I82" si="56">I67</f>
        <v>Skilled trades occupations</v>
      </c>
      <c r="J78" s="11">
        <v>82.326523342477728</v>
      </c>
      <c r="K78" s="11">
        <v>88.757641884714204</v>
      </c>
      <c r="L78" s="11">
        <v>6.4311185422364883</v>
      </c>
      <c r="M78" s="11">
        <v>33.531345539763386</v>
      </c>
      <c r="N78" s="11">
        <v>39.962464081999869</v>
      </c>
      <c r="O78" s="70"/>
      <c r="P78" s="11"/>
      <c r="Q78" s="11"/>
      <c r="R78" s="11"/>
      <c r="S78" s="11"/>
      <c r="T78" s="11"/>
      <c r="U78" s="11"/>
      <c r="X78" s="10" t="str">
        <f>name!A75</f>
        <v>Sport and recreation</v>
      </c>
      <c r="Y78" s="10">
        <v>54.90100000016578</v>
      </c>
      <c r="Z78" s="10">
        <v>59.019000000305105</v>
      </c>
      <c r="AA78" s="342">
        <f t="shared" si="51"/>
        <v>4.1180000001393253</v>
      </c>
      <c r="AB78" s="10">
        <v>27.842572384530008</v>
      </c>
      <c r="AC78" s="342">
        <f t="shared" si="52"/>
        <v>31.960572384669334</v>
      </c>
      <c r="AD78" s="343">
        <f t="shared" si="53"/>
        <v>2.77250308364414E-2</v>
      </c>
    </row>
    <row r="79" spans="1:30" x14ac:dyDescent="0.3">
      <c r="A79" t="str">
        <f t="shared" si="44"/>
        <v>52 Skilled metal, electrical and electronic trades</v>
      </c>
      <c r="B79" s="11">
        <v>1.6427625826652141</v>
      </c>
      <c r="C79" s="11">
        <v>3.7935984609223143</v>
      </c>
      <c r="D79" s="11">
        <f t="shared" si="45"/>
        <v>2.1508358782571002</v>
      </c>
      <c r="E79" s="11">
        <v>1.4588962859711678</v>
      </c>
      <c r="F79" s="11">
        <f t="shared" si="46"/>
        <v>3.609732164228268</v>
      </c>
      <c r="G79" s="200">
        <f t="shared" si="47"/>
        <v>4.3280960896356246E-2</v>
      </c>
      <c r="I79" s="11" t="str">
        <f t="shared" si="56"/>
        <v>Caring, leisure and other service occupations</v>
      </c>
      <c r="J79" s="11">
        <v>95.292338181131271</v>
      </c>
      <c r="K79" s="11">
        <v>121.85814543762106</v>
      </c>
      <c r="L79" s="11">
        <v>26.565807256489794</v>
      </c>
      <c r="M79" s="11">
        <v>64.414927805953056</v>
      </c>
      <c r="N79" s="11">
        <v>90.980735062442861</v>
      </c>
      <c r="X79" s="10" t="str">
        <f>name!A76</f>
        <v>Membership organisations</v>
      </c>
      <c r="Y79" s="10">
        <v>31.21300000012328</v>
      </c>
      <c r="Z79" s="10">
        <v>31.048000000155277</v>
      </c>
      <c r="AA79" s="342">
        <f t="shared" si="51"/>
        <v>-0.16499999996800341</v>
      </c>
      <c r="AB79" s="10">
        <v>16.518275315313609</v>
      </c>
      <c r="AC79" s="342">
        <f t="shared" si="52"/>
        <v>16.353275315345606</v>
      </c>
      <c r="AD79" s="343">
        <f t="shared" si="53"/>
        <v>2.8721543809738792E-2</v>
      </c>
    </row>
    <row r="80" spans="1:30" x14ac:dyDescent="0.3">
      <c r="A80" t="str">
        <f t="shared" si="44"/>
        <v>53 Skilled construction and building trades</v>
      </c>
      <c r="B80" s="11">
        <v>0.75245749662613559</v>
      </c>
      <c r="C80" s="11">
        <v>1.23667743505593</v>
      </c>
      <c r="D80" s="11">
        <f t="shared" ref="D80" si="57">C80-B80</f>
        <v>0.48421993842979438</v>
      </c>
      <c r="E80" s="11">
        <v>0.54773891664155783</v>
      </c>
      <c r="F80" s="11">
        <f>SUM(D80:E80)</f>
        <v>1.0319588550713523</v>
      </c>
      <c r="G80" s="200">
        <f t="shared" si="47"/>
        <v>3.7134622973864273E-2</v>
      </c>
      <c r="I80" s="11" t="str">
        <f t="shared" si="56"/>
        <v>Sales and customer service occupations</v>
      </c>
      <c r="J80" s="11">
        <v>60.789343362485418</v>
      </c>
      <c r="K80" s="11">
        <v>69.721002629828718</v>
      </c>
      <c r="L80" s="11">
        <v>8.9316592673432922</v>
      </c>
      <c r="M80" s="11">
        <v>30.416747022336217</v>
      </c>
      <c r="N80" s="11">
        <v>39.348406289679509</v>
      </c>
      <c r="P80" s="84"/>
      <c r="Q80" s="73"/>
      <c r="R80" s="73"/>
      <c r="S80" s="71"/>
      <c r="T80" s="71"/>
      <c r="U80" s="71"/>
      <c r="X80" s="10" t="str">
        <f>name!A77</f>
        <v>Repair of goods</v>
      </c>
      <c r="Y80" s="10">
        <v>10.354999999942979</v>
      </c>
      <c r="Z80" s="10">
        <v>10.889999999968586</v>
      </c>
      <c r="AA80" s="342">
        <f t="shared" si="51"/>
        <v>0.53500000002560633</v>
      </c>
      <c r="AB80" s="10">
        <v>5.0679461474675049</v>
      </c>
      <c r="AC80" s="342">
        <f t="shared" si="52"/>
        <v>5.6029461474931113</v>
      </c>
      <c r="AD80" s="343">
        <f t="shared" si="53"/>
        <v>2.6914964565138311E-2</v>
      </c>
    </row>
    <row r="81" spans="1:30" x14ac:dyDescent="0.3">
      <c r="A81" t="str">
        <f t="shared" si="44"/>
        <v>54 Textiles, printing and other skilled trades</v>
      </c>
      <c r="B81" s="11">
        <v>1.8748259479597165</v>
      </c>
      <c r="C81" s="11">
        <v>3.7721782013231882</v>
      </c>
      <c r="D81" s="11">
        <f t="shared" si="45"/>
        <v>1.8973522533634717</v>
      </c>
      <c r="E81" s="11">
        <v>1.6659500970343606</v>
      </c>
      <c r="F81" s="11">
        <f t="shared" si="46"/>
        <v>3.5633023503978323</v>
      </c>
      <c r="G81" s="200">
        <f t="shared" si="47"/>
        <v>4.3299902634675647E-2</v>
      </c>
      <c r="I81" s="11" t="str">
        <f t="shared" si="56"/>
        <v>Process, plant and machine operatives</v>
      </c>
      <c r="J81" s="11">
        <v>35.062252569844723</v>
      </c>
      <c r="K81" s="11">
        <v>56.30066157421561</v>
      </c>
      <c r="L81" s="11">
        <v>21.238409004370887</v>
      </c>
      <c r="M81" s="11">
        <v>21.633413942982269</v>
      </c>
      <c r="N81" s="11">
        <v>42.871822947353152</v>
      </c>
      <c r="P81" s="11"/>
      <c r="Q81" s="11"/>
      <c r="R81" s="11"/>
      <c r="S81" s="11"/>
      <c r="T81" s="11"/>
      <c r="U81" s="11"/>
      <c r="X81" s="10" t="str">
        <f>name!A78</f>
        <v>Other personal service</v>
      </c>
      <c r="Y81" s="10">
        <v>55.506999999343023</v>
      </c>
      <c r="Z81" s="10">
        <v>55.620000000134375</v>
      </c>
      <c r="AA81" s="342">
        <f>Z81-Y81</f>
        <v>0.11300000079135231</v>
      </c>
      <c r="AB81" s="10">
        <v>28.937822307063069</v>
      </c>
      <c r="AC81" s="342">
        <f t="shared" si="52"/>
        <v>29.050822307854421</v>
      </c>
      <c r="AD81" s="343">
        <f t="shared" si="53"/>
        <v>2.8367519908369276E-2</v>
      </c>
    </row>
    <row r="82" spans="1:30" x14ac:dyDescent="0.3">
      <c r="A82" t="str">
        <f t="shared" si="44"/>
        <v>61 Caring personal service occupations</v>
      </c>
      <c r="B82" s="11">
        <v>8.2142467200081857</v>
      </c>
      <c r="C82" s="11">
        <v>18.003139552844392</v>
      </c>
      <c r="D82" s="11">
        <f t="shared" si="45"/>
        <v>9.7888928328362059</v>
      </c>
      <c r="E82" s="11">
        <v>8.0495804179086274</v>
      </c>
      <c r="F82" s="11">
        <f t="shared" si="46"/>
        <v>17.838473250744833</v>
      </c>
      <c r="G82" s="200">
        <f t="shared" si="47"/>
        <v>4.6591011266561289E-2</v>
      </c>
      <c r="I82" s="11" t="str">
        <f t="shared" si="56"/>
        <v>Elementary occupations</v>
      </c>
      <c r="J82" s="11">
        <v>57.816341842291543</v>
      </c>
      <c r="K82" s="11">
        <v>63.417555757850884</v>
      </c>
      <c r="L82" s="11">
        <v>5.6012139155593443</v>
      </c>
      <c r="M82" s="11">
        <v>30.940408283877328</v>
      </c>
      <c r="N82" s="11">
        <v>36.541622199436674</v>
      </c>
      <c r="P82" s="11"/>
      <c r="Q82" s="11"/>
      <c r="R82" s="11"/>
      <c r="S82" s="11"/>
      <c r="T82" s="11"/>
      <c r="U82" s="11"/>
      <c r="X82" s="231" t="str">
        <f>name!A3</f>
        <v>All industries</v>
      </c>
      <c r="Y82" s="353">
        <f>SUM(Y7:Y81)</f>
        <v>3174.1919999983998</v>
      </c>
      <c r="Z82" s="353">
        <f>SUM(Z7:Z81)</f>
        <v>3444.2829999978981</v>
      </c>
      <c r="AA82" s="354">
        <f>Z82-Y82</f>
        <v>270.09099999949831</v>
      </c>
      <c r="AB82" s="353">
        <f>SUM(AB7:AB81)</f>
        <v>1606.4940483911948</v>
      </c>
      <c r="AC82" s="354">
        <f t="shared" si="52"/>
        <v>1876.5850483906931</v>
      </c>
      <c r="AD82" s="346">
        <f t="shared" si="53"/>
        <v>2.7678179726469576E-2</v>
      </c>
    </row>
    <row r="83" spans="1:30" x14ac:dyDescent="0.3">
      <c r="A83" t="str">
        <f t="shared" si="44"/>
        <v>62 Leisure, travel and related personal service occupations</v>
      </c>
      <c r="B83" s="11">
        <v>1.4207825732204116</v>
      </c>
      <c r="C83" s="11">
        <v>2.6344304328030037</v>
      </c>
      <c r="D83" s="11">
        <f t="shared" ref="D83:D84" si="58">C83-B83</f>
        <v>1.2136478595825921</v>
      </c>
      <c r="E83" s="11">
        <v>1.1359015515574553</v>
      </c>
      <c r="F83" s="11">
        <f t="shared" ref="F83:F84" si="59">SUM(D83:E83)</f>
        <v>2.3495494111400475</v>
      </c>
      <c r="G83" s="200">
        <f t="shared" si="47"/>
        <v>3.9944023863095923E-2</v>
      </c>
      <c r="I83" s="11"/>
      <c r="J83" s="11"/>
      <c r="K83" s="11"/>
      <c r="L83" s="11"/>
      <c r="M83" s="11"/>
      <c r="N83" s="11"/>
      <c r="P83" s="11"/>
      <c r="Q83" s="11"/>
      <c r="R83" s="11"/>
      <c r="S83" s="11"/>
      <c r="T83" s="11"/>
      <c r="U83" s="11"/>
      <c r="X83" s="10"/>
    </row>
    <row r="84" spans="1:30" x14ac:dyDescent="0.3">
      <c r="A84" t="str">
        <f t="shared" si="44"/>
        <v>63 Community and civil enforcement occupations</v>
      </c>
      <c r="B84" s="11">
        <v>0.11782391823149377</v>
      </c>
      <c r="C84" s="11">
        <v>0.17642987276392172</v>
      </c>
      <c r="D84" s="11">
        <f t="shared" si="58"/>
        <v>5.8605954532427951E-2</v>
      </c>
      <c r="E84" s="11">
        <v>7.8602900324702768E-2</v>
      </c>
      <c r="F84" s="11">
        <f t="shared" si="59"/>
        <v>0.13720885485713072</v>
      </c>
      <c r="G84" s="200">
        <f t="shared" si="47"/>
        <v>3.4660385629771362E-2</v>
      </c>
      <c r="I84" s="86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11"/>
      <c r="T84" s="11"/>
      <c r="U84" s="11"/>
    </row>
    <row r="85" spans="1:30" x14ac:dyDescent="0.3">
      <c r="A85" t="str">
        <f t="shared" si="44"/>
        <v>71 Sales occupations</v>
      </c>
      <c r="B85" s="11">
        <v>5.923338323028994</v>
      </c>
      <c r="C85" s="11">
        <v>10.509692610923572</v>
      </c>
      <c r="D85" s="11">
        <f t="shared" si="45"/>
        <v>4.5863542878945784</v>
      </c>
      <c r="E85" s="11">
        <v>4.0427749288589911</v>
      </c>
      <c r="F85" s="11">
        <f t="shared" si="46"/>
        <v>8.6291292167535687</v>
      </c>
      <c r="G85" s="200">
        <f t="shared" si="47"/>
        <v>3.5294607543127965E-2</v>
      </c>
      <c r="I85" s="11" t="str">
        <f>I74</f>
        <v>Managers, directors and senior officials</v>
      </c>
      <c r="J85" s="11">
        <f t="array" ref="J85:J93">MMULT(aggregation!$B$38:$AA$46,B210:B235)</f>
        <v>61.107333896062748</v>
      </c>
      <c r="K85" s="11">
        <f t="array" ref="K85:K93">MMULT(aggregation!$B$38:$AA$46,C210:C235)</f>
        <v>51.747508127498747</v>
      </c>
      <c r="L85" s="11">
        <f t="array" ref="L85:L93">MMULT(aggregation!$B$38:$AA$46,D210:D235)</f>
        <v>-9.3598257685640007</v>
      </c>
      <c r="M85" s="11">
        <f t="array" ref="M85:M93">MMULT(aggregation!$B$38:$AA$46,E210:E235)</f>
        <v>28.218636076587394</v>
      </c>
      <c r="N85" s="11">
        <f t="array" ref="N85:N93">MMULT(aggregation!$B$38:$AA$46,F210:F235)</f>
        <v>18.858810308023394</v>
      </c>
      <c r="P85" s="11"/>
      <c r="Q85" s="11"/>
      <c r="R85" s="11"/>
      <c r="S85" s="11"/>
      <c r="T85" s="11"/>
      <c r="U85" s="11"/>
    </row>
    <row r="86" spans="1:30" x14ac:dyDescent="0.3">
      <c r="A86" t="str">
        <f t="shared" si="44"/>
        <v>72 Customer service occupations</v>
      </c>
      <c r="B86" s="11">
        <v>1.90294509900764</v>
      </c>
      <c r="C86" s="11">
        <v>4.8389254826133561</v>
      </c>
      <c r="D86" s="11">
        <f t="shared" si="45"/>
        <v>2.9359803836057159</v>
      </c>
      <c r="E86" s="11">
        <v>1.7628052097526343</v>
      </c>
      <c r="F86" s="11">
        <f t="shared" si="46"/>
        <v>4.69878559335835</v>
      </c>
      <c r="G86" s="200">
        <f t="shared" si="47"/>
        <v>4.4677981855735238E-2</v>
      </c>
      <c r="I86" s="11" t="str">
        <f>I75</f>
        <v>Professional occupations</v>
      </c>
      <c r="J86" s="11">
        <v>61.097404794058718</v>
      </c>
      <c r="K86" s="11">
        <v>54.257320225697555</v>
      </c>
      <c r="L86" s="11">
        <v>-6.8400845683611626</v>
      </c>
      <c r="M86" s="11">
        <v>23.427723555901416</v>
      </c>
      <c r="N86" s="11">
        <v>16.587638987540259</v>
      </c>
      <c r="P86" s="11"/>
      <c r="Q86" s="11"/>
      <c r="R86" s="11"/>
      <c r="S86" s="11"/>
      <c r="T86" s="11"/>
      <c r="U86" s="11"/>
    </row>
    <row r="87" spans="1:30" x14ac:dyDescent="0.3">
      <c r="A87" t="str">
        <f t="shared" si="44"/>
        <v>81 Process, plant and machine operatives</v>
      </c>
      <c r="B87" s="11">
        <v>0.77540920441460703</v>
      </c>
      <c r="C87" s="11">
        <v>2.3595759832713705</v>
      </c>
      <c r="D87" s="11">
        <f t="shared" ref="D87:D88" si="60">C87-B87</f>
        <v>1.5841667788567635</v>
      </c>
      <c r="E87" s="11">
        <v>0.80841900112866516</v>
      </c>
      <c r="F87" s="11">
        <f t="shared" ref="F87:F88" si="61">SUM(D87:E87)</f>
        <v>2.3925857799854287</v>
      </c>
      <c r="G87" s="200">
        <f t="shared" si="47"/>
        <v>4.8765698695669712E-2</v>
      </c>
      <c r="I87" s="11" t="str">
        <f>I76</f>
        <v>Associate professional occupations</v>
      </c>
      <c r="J87" s="11">
        <v>64.184765980145215</v>
      </c>
      <c r="K87" s="11">
        <v>49.817615303015231</v>
      </c>
      <c r="L87" s="11">
        <v>-14.367150677129997</v>
      </c>
      <c r="M87" s="11">
        <v>22.423161576658607</v>
      </c>
      <c r="N87" s="11">
        <v>8.0560108995286086</v>
      </c>
      <c r="P87" s="11"/>
      <c r="Q87" s="11"/>
      <c r="R87" s="11"/>
      <c r="S87" s="11"/>
      <c r="T87" s="11"/>
      <c r="U87" s="11"/>
    </row>
    <row r="88" spans="1:30" x14ac:dyDescent="0.3">
      <c r="A88" t="str">
        <f t="shared" si="44"/>
        <v>82 Transport and mobile machine drivers and operatives</v>
      </c>
      <c r="B88" s="11">
        <v>1.7551418349681731</v>
      </c>
      <c r="C88" s="11">
        <v>3.6651823922418481</v>
      </c>
      <c r="D88" s="11">
        <f t="shared" si="60"/>
        <v>1.9100405572736749</v>
      </c>
      <c r="E88" s="11">
        <v>1.8193241837229761</v>
      </c>
      <c r="F88" s="11">
        <f t="shared" si="61"/>
        <v>3.7293647409966511</v>
      </c>
      <c r="G88" s="200">
        <f t="shared" si="47"/>
        <v>4.8559945010266725E-2</v>
      </c>
      <c r="I88" s="11" t="str">
        <f>I77</f>
        <v>Administrative and secretarial occupations</v>
      </c>
      <c r="J88" s="11">
        <v>79.308688491747745</v>
      </c>
      <c r="K88" s="11">
        <v>41.389235238891743</v>
      </c>
      <c r="L88" s="11">
        <v>-37.919453252856009</v>
      </c>
      <c r="M88" s="11">
        <v>26.776930907077237</v>
      </c>
      <c r="N88" s="11">
        <v>-11.142522345778774</v>
      </c>
      <c r="P88" s="11"/>
      <c r="Q88" s="11"/>
      <c r="R88" s="11"/>
      <c r="S88" s="11"/>
      <c r="T88" s="11"/>
      <c r="U88" s="11"/>
    </row>
    <row r="89" spans="1:30" x14ac:dyDescent="0.3">
      <c r="A89" t="str">
        <f t="shared" si="44"/>
        <v>91 Elementary trades and related occupations</v>
      </c>
      <c r="B89" s="11">
        <v>0.42966326128307081</v>
      </c>
      <c r="C89" s="11">
        <v>0.74370764298869629</v>
      </c>
      <c r="D89" s="11">
        <f t="shared" si="45"/>
        <v>0.31404438170562549</v>
      </c>
      <c r="E89" s="11">
        <v>0.30684335154963205</v>
      </c>
      <c r="F89" s="11">
        <f t="shared" si="46"/>
        <v>0.62088773325525759</v>
      </c>
      <c r="G89" s="200">
        <f t="shared" si="47"/>
        <v>3.6580962973561837E-2</v>
      </c>
      <c r="I89" s="11" t="str">
        <f t="shared" ref="I89:I93" si="62">I78</f>
        <v>Skilled trades occupations</v>
      </c>
      <c r="J89" s="11">
        <v>80.52226735771599</v>
      </c>
      <c r="K89" s="11">
        <v>70.941659453463643</v>
      </c>
      <c r="L89" s="11">
        <v>-9.5806079042523429</v>
      </c>
      <c r="M89" s="11">
        <v>31.968073267383573</v>
      </c>
      <c r="N89" s="11">
        <v>22.387465363131231</v>
      </c>
      <c r="P89" s="11"/>
      <c r="Q89" s="11"/>
      <c r="R89" s="11"/>
      <c r="S89" s="11"/>
      <c r="T89" s="11"/>
      <c r="U89" s="11"/>
    </row>
    <row r="90" spans="1:30" x14ac:dyDescent="0.3">
      <c r="A90" t="str">
        <f t="shared" si="44"/>
        <v>92 Elementary administration and service occupations</v>
      </c>
      <c r="B90" s="11">
        <v>5.8014904101974967</v>
      </c>
      <c r="C90" s="11">
        <v>12.380543532717109</v>
      </c>
      <c r="D90" s="11">
        <f t="shared" ref="D90" si="63">C90-B90</f>
        <v>6.5790531225196123</v>
      </c>
      <c r="E90" s="11">
        <v>5.4110439822737311</v>
      </c>
      <c r="F90" s="11">
        <f t="shared" ref="F90" si="64">SUM(D90:E90)</f>
        <v>11.990097104793342</v>
      </c>
      <c r="G90" s="200">
        <f t="shared" ref="G90" si="65">IF(B90&gt;0,(1+(E90/B90))^(1/($C$6-$B$6))-1,0)</f>
        <v>4.4906940738346668E-2</v>
      </c>
      <c r="I90" s="11" t="str">
        <f t="shared" si="62"/>
        <v>Caring, leisure and other service occupations</v>
      </c>
      <c r="J90" s="11">
        <v>76.807217043628526</v>
      </c>
      <c r="K90" s="11">
        <v>68.757622256063058</v>
      </c>
      <c r="L90" s="11">
        <v>-8.0495947875654785</v>
      </c>
      <c r="M90" s="11">
        <v>37.020278442104491</v>
      </c>
      <c r="N90" s="11">
        <v>28.970683654539009</v>
      </c>
      <c r="P90" s="11"/>
      <c r="Q90" s="11"/>
      <c r="R90" s="11"/>
      <c r="S90" s="11"/>
      <c r="T90" s="11"/>
      <c r="U90" s="11"/>
    </row>
    <row r="91" spans="1:30" x14ac:dyDescent="0.3">
      <c r="A91" t="str">
        <f t="shared" si="44"/>
        <v>All occupations</v>
      </c>
      <c r="B91" s="11">
        <f>SUM(B65:B90)</f>
        <v>309.62997967254876</v>
      </c>
      <c r="C91" s="11">
        <f t="shared" ref="C91:F91" si="66">SUM(C65:C90)</f>
        <v>518.3525120838126</v>
      </c>
      <c r="D91" s="11">
        <f t="shared" si="66"/>
        <v>208.72253241126376</v>
      </c>
      <c r="E91" s="11">
        <f t="shared" si="66"/>
        <v>218.07208755624475</v>
      </c>
      <c r="F91" s="11">
        <f t="shared" si="66"/>
        <v>426.79461996750854</v>
      </c>
      <c r="G91" s="200">
        <f t="shared" si="47"/>
        <v>3.6182816925078187E-2</v>
      </c>
      <c r="I91" s="11" t="str">
        <f t="shared" si="62"/>
        <v>Sales and customer service occupations</v>
      </c>
      <c r="J91" s="11">
        <v>64.880517320494846</v>
      </c>
      <c r="K91" s="11">
        <v>53.684264174752244</v>
      </c>
      <c r="L91" s="11">
        <v>-11.196253145742601</v>
      </c>
      <c r="M91" s="11">
        <v>27.856689085002596</v>
      </c>
      <c r="N91" s="11">
        <v>16.660435939259997</v>
      </c>
      <c r="P91" s="11"/>
      <c r="Q91" s="11"/>
      <c r="R91" s="11"/>
      <c r="S91" s="11"/>
      <c r="T91" s="11"/>
      <c r="U91" s="11"/>
    </row>
    <row r="92" spans="1:30" x14ac:dyDescent="0.3">
      <c r="B92" s="11"/>
      <c r="C92" s="11"/>
      <c r="D92" s="11"/>
      <c r="E92" s="11"/>
      <c r="F92" s="11"/>
      <c r="G92" s="11"/>
      <c r="I92" s="11" t="str">
        <f t="shared" si="62"/>
        <v>Process, plant and machine operatives</v>
      </c>
      <c r="J92" s="11">
        <v>60.717259674321838</v>
      </c>
      <c r="K92" s="11">
        <v>72.576719041732957</v>
      </c>
      <c r="L92" s="11">
        <v>11.85945936741112</v>
      </c>
      <c r="M92" s="11">
        <v>34.429586472566712</v>
      </c>
      <c r="N92" s="11">
        <v>46.289045839977831</v>
      </c>
      <c r="P92" s="11"/>
      <c r="Q92" s="11"/>
      <c r="R92" s="11"/>
      <c r="S92" s="11"/>
      <c r="T92" s="11"/>
      <c r="U92" s="11"/>
    </row>
    <row r="93" spans="1:30" ht="24.9" x14ac:dyDescent="0.3">
      <c r="A93" s="201" t="str">
        <f>CONCATENATE(name!F6," (Constrained)")</f>
        <v>RQF6 First degree (Constrained)</v>
      </c>
      <c r="B93" s="74">
        <f t="shared" ref="B93:G93" si="67">B6</f>
        <v>2020</v>
      </c>
      <c r="C93" s="74">
        <f t="shared" si="67"/>
        <v>2035</v>
      </c>
      <c r="D93" s="87" t="str">
        <f t="shared" si="67"/>
        <v>Net Change</v>
      </c>
      <c r="E93" s="87" t="str">
        <f t="shared" si="67"/>
        <v>Replacement Demand level</v>
      </c>
      <c r="F93" s="87" t="str">
        <f t="shared" si="67"/>
        <v>Total Requirement</v>
      </c>
      <c r="G93" s="87" t="str">
        <f t="shared" si="67"/>
        <v>Replacement Demand rate</v>
      </c>
      <c r="I93" s="11" t="str">
        <f t="shared" si="62"/>
        <v>Elementary occupations</v>
      </c>
      <c r="J93" s="11">
        <v>104.48635723903863</v>
      </c>
      <c r="K93" s="11">
        <v>97.400853168649917</v>
      </c>
      <c r="L93" s="11">
        <v>-7.0855040703887031</v>
      </c>
      <c r="M93" s="11">
        <v>49.039893803101982</v>
      </c>
      <c r="N93" s="11">
        <v>41.954389732713274</v>
      </c>
      <c r="P93" s="11"/>
      <c r="Q93" s="11"/>
      <c r="R93" s="11"/>
      <c r="S93" s="11"/>
      <c r="T93" s="11"/>
      <c r="U93" s="11"/>
    </row>
    <row r="94" spans="1:30" x14ac:dyDescent="0.3">
      <c r="A94" t="str">
        <f t="shared" ref="A94:A120" si="68">A7</f>
        <v>11 Corporate managers and directors</v>
      </c>
      <c r="B94" s="11">
        <v>71.799136780098451</v>
      </c>
      <c r="C94" s="11">
        <v>83.417166062565656</v>
      </c>
      <c r="D94" s="11">
        <f>C94-B94</f>
        <v>11.618029282467205</v>
      </c>
      <c r="E94" s="11">
        <v>42.558206618552418</v>
      </c>
      <c r="F94" s="11">
        <f>SUM(D94:E94)</f>
        <v>54.176235901019623</v>
      </c>
      <c r="G94" s="200">
        <f>IF(B94&gt;0,(1+(E94/B94))^(1/($C$6-$B$6))-1,0)</f>
        <v>3.1516839764447857E-2</v>
      </c>
      <c r="I94" s="84"/>
      <c r="J94" s="73"/>
      <c r="K94" s="73"/>
      <c r="L94" s="71"/>
      <c r="M94" s="71"/>
      <c r="N94" s="71"/>
      <c r="P94" s="11"/>
      <c r="Q94" s="11"/>
      <c r="R94" s="11"/>
      <c r="S94" s="11"/>
      <c r="T94" s="11"/>
      <c r="U94" s="11"/>
    </row>
    <row r="95" spans="1:30" x14ac:dyDescent="0.3">
      <c r="A95" t="str">
        <f t="shared" si="68"/>
        <v>12 Other managers and proprietors</v>
      </c>
      <c r="B95" s="11">
        <v>24.761523352888531</v>
      </c>
      <c r="C95" s="11">
        <v>40.32656994512493</v>
      </c>
      <c r="D95" s="11">
        <f t="shared" ref="D95:D118" si="69">C95-B95</f>
        <v>15.565046592236399</v>
      </c>
      <c r="E95" s="11">
        <v>21.358441728361178</v>
      </c>
      <c r="F95" s="11">
        <f t="shared" ref="F95:F118" si="70">SUM(D95:E95)</f>
        <v>36.923488320597578</v>
      </c>
      <c r="G95" s="200">
        <f t="shared" ref="G95:G120" si="71">IF(B95&gt;0,(1+(E95/B95))^(1/($C$6-$B$6))-1,0)</f>
        <v>4.2335287396179755E-2</v>
      </c>
      <c r="I95" s="86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11"/>
      <c r="T95" s="11"/>
      <c r="U95" s="11"/>
    </row>
    <row r="96" spans="1:30" x14ac:dyDescent="0.3">
      <c r="A96" t="str">
        <f t="shared" si="68"/>
        <v>21 Science, research, engineering and technology professionals</v>
      </c>
      <c r="B96" s="11">
        <v>75.7176119564554</v>
      </c>
      <c r="C96" s="11">
        <v>87.461907663642094</v>
      </c>
      <c r="D96" s="11">
        <f t="shared" si="69"/>
        <v>11.744295707186694</v>
      </c>
      <c r="E96" s="11">
        <v>31.790738887914106</v>
      </c>
      <c r="F96" s="11">
        <f t="shared" si="70"/>
        <v>43.535034595100797</v>
      </c>
      <c r="G96" s="200">
        <f t="shared" si="71"/>
        <v>2.3645746337094709E-2</v>
      </c>
      <c r="I96" s="11" t="str">
        <f>I85</f>
        <v>Managers, directors and senior officials</v>
      </c>
      <c r="J96" s="11">
        <f t="array" ref="J96:J104">MMULT(aggregation!$B$38:$AA$46,B239:B264)</f>
        <v>40.224833817762786</v>
      </c>
      <c r="K96" s="11">
        <f t="array" ref="K96:K104">MMULT(aggregation!$B$38:$AA$46,C239:C264)</f>
        <v>31.949559640684512</v>
      </c>
      <c r="L96" s="11">
        <f t="array" ref="L96:L104">MMULT(aggregation!$B$38:$AA$46,D239:D264)</f>
        <v>-8.2752741770782734</v>
      </c>
      <c r="M96" s="11">
        <f t="array" ref="M96:M104">MMULT(aggregation!$B$38:$AA$46,E239:E264)</f>
        <v>16.527077045296078</v>
      </c>
      <c r="N96" s="11">
        <f t="array" ref="N96:N104">MMULT(aggregation!$B$38:$AA$46,F239:F264)</f>
        <v>8.2518028682178048</v>
      </c>
      <c r="P96" s="11"/>
      <c r="Q96" s="11"/>
      <c r="R96" s="11"/>
      <c r="S96" s="11"/>
      <c r="T96" s="11"/>
      <c r="U96" s="11"/>
    </row>
    <row r="97" spans="1:21" x14ac:dyDescent="0.3">
      <c r="A97" t="str">
        <f t="shared" si="68"/>
        <v>22 Health professionals</v>
      </c>
      <c r="B97" s="11">
        <v>46.154196635006116</v>
      </c>
      <c r="C97" s="11">
        <v>59.7351580854654</v>
      </c>
      <c r="D97" s="11">
        <f t="shared" si="69"/>
        <v>13.580961450459284</v>
      </c>
      <c r="E97" s="11">
        <v>30.371700453728696</v>
      </c>
      <c r="F97" s="11">
        <f t="shared" si="70"/>
        <v>43.952661904187977</v>
      </c>
      <c r="G97" s="200">
        <f t="shared" si="71"/>
        <v>3.4284021917308616E-2</v>
      </c>
      <c r="I97" s="11" t="str">
        <f>I86</f>
        <v>Professional occupations</v>
      </c>
      <c r="J97" s="11">
        <v>36.692964578951951</v>
      </c>
      <c r="K97" s="11">
        <v>26.796479177013673</v>
      </c>
      <c r="L97" s="11">
        <v>-9.896485401938282</v>
      </c>
      <c r="M97" s="11">
        <v>12.527051566419306</v>
      </c>
      <c r="N97" s="11">
        <v>2.630566164481023</v>
      </c>
      <c r="P97" s="11"/>
      <c r="Q97" s="11"/>
      <c r="R97" s="11"/>
      <c r="S97" s="11"/>
      <c r="T97" s="11"/>
      <c r="U97" s="11"/>
    </row>
    <row r="98" spans="1:21" x14ac:dyDescent="0.3">
      <c r="A98" t="str">
        <f t="shared" si="68"/>
        <v>23 Teaching and other educational professionals</v>
      </c>
      <c r="B98" s="11">
        <v>46.412990215117794</v>
      </c>
      <c r="C98" s="11">
        <v>32.662002918946463</v>
      </c>
      <c r="D98" s="11">
        <f t="shared" ref="D98" si="72">C98-B98</f>
        <v>-13.750987296171331</v>
      </c>
      <c r="E98" s="11">
        <v>19.467801731224021</v>
      </c>
      <c r="F98" s="11">
        <f t="shared" ref="F98" si="73">SUM(D98:E98)</f>
        <v>5.7168144350526902</v>
      </c>
      <c r="G98" s="200">
        <f t="shared" si="71"/>
        <v>2.3625942798256805E-2</v>
      </c>
      <c r="I98" s="11" t="str">
        <f>I87</f>
        <v>Associate professional occupations</v>
      </c>
      <c r="J98" s="11">
        <v>39.369323367743107</v>
      </c>
      <c r="K98" s="11">
        <v>25.919720786454278</v>
      </c>
      <c r="L98" s="11">
        <v>-13.449602581288827</v>
      </c>
      <c r="M98" s="11">
        <v>11.931895541820921</v>
      </c>
      <c r="N98" s="11">
        <v>-1.5177070394679046</v>
      </c>
      <c r="P98" s="11"/>
      <c r="Q98" s="11"/>
      <c r="R98" s="11"/>
      <c r="S98" s="11"/>
      <c r="T98" s="11"/>
      <c r="U98" s="11"/>
    </row>
    <row r="99" spans="1:21" x14ac:dyDescent="0.3">
      <c r="A99" t="str">
        <f t="shared" si="68"/>
        <v>24 Business, media and public service professionals</v>
      </c>
      <c r="B99" s="11">
        <v>82.14406506075602</v>
      </c>
      <c r="C99" s="11">
        <v>102.791159317199</v>
      </c>
      <c r="D99" s="11">
        <f t="shared" si="69"/>
        <v>20.647094256442983</v>
      </c>
      <c r="E99" s="11">
        <v>48.01894383183734</v>
      </c>
      <c r="F99" s="11">
        <f t="shared" si="70"/>
        <v>68.666038088280317</v>
      </c>
      <c r="G99" s="200">
        <f t="shared" si="71"/>
        <v>3.116324821640637E-2</v>
      </c>
      <c r="I99" s="11" t="str">
        <f>I88</f>
        <v>Administrative and secretarial occupations</v>
      </c>
      <c r="J99" s="11">
        <v>46.249021743344571</v>
      </c>
      <c r="K99" s="11">
        <v>11.426072455381769</v>
      </c>
      <c r="L99" s="11">
        <v>-34.8229492879628</v>
      </c>
      <c r="M99" s="11">
        <v>10.139601889333015</v>
      </c>
      <c r="N99" s="11">
        <v>-24.683347398629792</v>
      </c>
      <c r="P99" s="11"/>
      <c r="Q99" s="11"/>
      <c r="R99" s="11"/>
      <c r="S99" s="11"/>
      <c r="T99" s="11"/>
      <c r="U99" s="11"/>
    </row>
    <row r="100" spans="1:21" x14ac:dyDescent="0.3">
      <c r="A100" t="str">
        <f t="shared" si="68"/>
        <v>31 Science, engineering and technology associate professionals</v>
      </c>
      <c r="B100" s="11">
        <v>17.62942199688489</v>
      </c>
      <c r="C100" s="11">
        <v>18.567902899020396</v>
      </c>
      <c r="D100" s="11">
        <f t="shared" si="69"/>
        <v>0.93848090213550606</v>
      </c>
      <c r="E100" s="11">
        <v>7.6261198715070861</v>
      </c>
      <c r="F100" s="11">
        <f t="shared" si="70"/>
        <v>8.5646007736425922</v>
      </c>
      <c r="G100" s="200">
        <f t="shared" si="71"/>
        <v>2.4254564015776303E-2</v>
      </c>
      <c r="I100" s="11" t="str">
        <f t="shared" ref="I100:I104" si="74">I89</f>
        <v>Skilled trades occupations</v>
      </c>
      <c r="J100" s="11">
        <v>45.854287052123595</v>
      </c>
      <c r="K100" s="11">
        <v>38.048763806162363</v>
      </c>
      <c r="L100" s="11">
        <v>-7.8055232459612274</v>
      </c>
      <c r="M100" s="11">
        <v>17.194197097082718</v>
      </c>
      <c r="N100" s="11">
        <v>9.3886738511214904</v>
      </c>
      <c r="P100" s="11"/>
      <c r="Q100" s="11"/>
      <c r="R100" s="11"/>
      <c r="S100" s="11"/>
      <c r="T100" s="11"/>
      <c r="U100" s="11"/>
    </row>
    <row r="101" spans="1:21" x14ac:dyDescent="0.3">
      <c r="A101" t="str">
        <f t="shared" si="68"/>
        <v>32 Health and social care associate professionals</v>
      </c>
      <c r="B101" s="11">
        <v>16.262486648373788</v>
      </c>
      <c r="C101" s="11">
        <v>22.724888435242466</v>
      </c>
      <c r="D101" s="11">
        <f t="shared" si="69"/>
        <v>6.4624017868686785</v>
      </c>
      <c r="E101" s="11">
        <v>12.31712740576724</v>
      </c>
      <c r="F101" s="11">
        <f t="shared" si="70"/>
        <v>18.77952919263592</v>
      </c>
      <c r="G101" s="200">
        <f t="shared" si="71"/>
        <v>3.8304239084115954E-2</v>
      </c>
      <c r="I101" s="11" t="str">
        <f t="shared" si="74"/>
        <v>Caring, leisure and other service occupations</v>
      </c>
      <c r="J101" s="11">
        <v>23.139076535315983</v>
      </c>
      <c r="K101" s="11">
        <v>15.322306648196994</v>
      </c>
      <c r="L101" s="11">
        <v>-7.8167698871189888</v>
      </c>
      <c r="M101" s="11">
        <v>7.2218809941957041</v>
      </c>
      <c r="N101" s="11">
        <v>-0.59488889292328506</v>
      </c>
      <c r="P101" s="11"/>
      <c r="Q101" s="11"/>
      <c r="R101" s="11"/>
      <c r="S101" s="11"/>
      <c r="T101" s="11"/>
      <c r="U101" s="11"/>
    </row>
    <row r="102" spans="1:21" x14ac:dyDescent="0.3">
      <c r="A102" t="str">
        <f t="shared" si="68"/>
        <v>33 Protective service occupations</v>
      </c>
      <c r="B102" s="11">
        <v>7.97911078423191</v>
      </c>
      <c r="C102" s="11">
        <v>16.095663683799906</v>
      </c>
      <c r="D102" s="11">
        <f t="shared" si="69"/>
        <v>8.1165528995679956</v>
      </c>
      <c r="E102" s="11">
        <v>5.3378714137181138</v>
      </c>
      <c r="F102" s="11">
        <f t="shared" si="70"/>
        <v>13.454424313286109</v>
      </c>
      <c r="G102" s="200">
        <f t="shared" si="71"/>
        <v>3.4737260810479897E-2</v>
      </c>
      <c r="I102" s="11" t="str">
        <f t="shared" si="74"/>
        <v>Sales and customer service occupations</v>
      </c>
      <c r="J102" s="11">
        <v>41.387086240371147</v>
      </c>
      <c r="K102" s="11">
        <v>19.068481448551807</v>
      </c>
      <c r="L102" s="11">
        <v>-22.31860479181934</v>
      </c>
      <c r="M102" s="11">
        <v>10.701195324573909</v>
      </c>
      <c r="N102" s="11">
        <v>-11.61740946724543</v>
      </c>
      <c r="P102" s="11"/>
      <c r="Q102" s="11"/>
      <c r="R102" s="11"/>
      <c r="S102" s="11"/>
      <c r="T102" s="11"/>
      <c r="U102" s="11"/>
    </row>
    <row r="103" spans="1:21" x14ac:dyDescent="0.3">
      <c r="A103" t="str">
        <f t="shared" si="68"/>
        <v>34 Culture, media and sports occupations</v>
      </c>
      <c r="B103" s="11">
        <v>29.050386762143528</v>
      </c>
      <c r="C103" s="11">
        <v>30.608159657044595</v>
      </c>
      <c r="D103" s="11">
        <f t="shared" ref="D103:D104" si="75">C103-B103</f>
        <v>1.557772894901067</v>
      </c>
      <c r="E103" s="11">
        <v>13.878440630273793</v>
      </c>
      <c r="F103" s="11">
        <f t="shared" ref="F103:F104" si="76">SUM(D103:E103)</f>
        <v>15.43621352517486</v>
      </c>
      <c r="G103" s="200">
        <f t="shared" si="71"/>
        <v>2.6375965810554458E-2</v>
      </c>
      <c r="I103" s="11" t="str">
        <f t="shared" si="74"/>
        <v>Process, plant and machine operatives</v>
      </c>
      <c r="J103" s="11">
        <v>47.422232844667803</v>
      </c>
      <c r="K103" s="11">
        <v>34.915836225654346</v>
      </c>
      <c r="L103" s="11">
        <v>-12.506396619013453</v>
      </c>
      <c r="M103" s="11">
        <v>19.35155377823359</v>
      </c>
      <c r="N103" s="11">
        <v>6.845157159220137</v>
      </c>
      <c r="P103" s="11"/>
      <c r="Q103" s="11"/>
      <c r="R103" s="11"/>
      <c r="S103" s="11"/>
      <c r="T103" s="11"/>
      <c r="U103" s="11"/>
    </row>
    <row r="104" spans="1:21" x14ac:dyDescent="0.3">
      <c r="A104" t="str">
        <f t="shared" si="68"/>
        <v>35 Business and public service associate professionals</v>
      </c>
      <c r="B104" s="11">
        <v>54.717474751803181</v>
      </c>
      <c r="C104" s="11">
        <v>58.951371864875348</v>
      </c>
      <c r="D104" s="11">
        <f t="shared" si="75"/>
        <v>4.2338971130721674</v>
      </c>
      <c r="E104" s="11">
        <v>27.871818993254177</v>
      </c>
      <c r="F104" s="11">
        <f t="shared" si="76"/>
        <v>32.105716106326341</v>
      </c>
      <c r="G104" s="200">
        <f t="shared" si="71"/>
        <v>2.7826586042253298E-2</v>
      </c>
      <c r="I104" s="11" t="str">
        <f t="shared" si="74"/>
        <v>Elementary occupations</v>
      </c>
      <c r="J104" s="11">
        <v>100.63622739771947</v>
      </c>
      <c r="K104" s="11">
        <v>75.232534808359105</v>
      </c>
      <c r="L104" s="11">
        <v>-25.403692589360361</v>
      </c>
      <c r="M104" s="11">
        <v>37.359573521162702</v>
      </c>
      <c r="N104" s="11">
        <v>11.955880931802344</v>
      </c>
      <c r="P104" s="11"/>
      <c r="Q104" s="11"/>
      <c r="R104" s="11"/>
      <c r="S104" s="11"/>
      <c r="T104" s="11"/>
      <c r="U104" s="11"/>
    </row>
    <row r="105" spans="1:21" x14ac:dyDescent="0.3">
      <c r="A105" t="str">
        <f t="shared" si="68"/>
        <v>41 Administrative occupations</v>
      </c>
      <c r="B105" s="11">
        <v>52.241190284984533</v>
      </c>
      <c r="C105" s="11">
        <v>60.345808401370803</v>
      </c>
      <c r="D105" s="11">
        <f t="shared" si="69"/>
        <v>8.1046181163862698</v>
      </c>
      <c r="E105" s="11">
        <v>30.518692618198536</v>
      </c>
      <c r="F105" s="11">
        <f t="shared" si="70"/>
        <v>38.623310734584805</v>
      </c>
      <c r="G105" s="200">
        <f t="shared" si="71"/>
        <v>3.1146693747803988E-2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11"/>
      <c r="T105" s="11"/>
      <c r="U105" s="11"/>
    </row>
    <row r="106" spans="1:21" x14ac:dyDescent="0.3">
      <c r="A106" t="str">
        <f t="shared" si="68"/>
        <v>42 Secretarial and related occupations</v>
      </c>
      <c r="B106" s="11">
        <v>10.447507531900134</v>
      </c>
      <c r="C106" s="11">
        <v>17.055466719184711</v>
      </c>
      <c r="D106" s="11">
        <f t="shared" si="69"/>
        <v>6.6079591872845764</v>
      </c>
      <c r="E106" s="11">
        <v>9.0184794253586382</v>
      </c>
      <c r="F106" s="11">
        <f t="shared" si="70"/>
        <v>15.626438612643215</v>
      </c>
      <c r="G106" s="200">
        <f t="shared" si="71"/>
        <v>4.2359628301918084E-2</v>
      </c>
      <c r="I106" s="86" t="str">
        <f>name!F12</f>
        <v>No Qualification</v>
      </c>
      <c r="J106" s="11"/>
      <c r="K106" s="11"/>
      <c r="L106" s="11"/>
      <c r="M106" s="11"/>
      <c r="N106" s="11"/>
      <c r="O106" s="70"/>
      <c r="P106" s="11"/>
      <c r="Q106" s="11"/>
      <c r="R106" s="11"/>
      <c r="S106" s="11"/>
      <c r="T106" s="11"/>
      <c r="U106" s="11"/>
    </row>
    <row r="107" spans="1:21" x14ac:dyDescent="0.3">
      <c r="A107" t="str">
        <f t="shared" si="68"/>
        <v>51 Skilled agricultural and related trades</v>
      </c>
      <c r="B107" s="11">
        <v>4.2117242709387526</v>
      </c>
      <c r="C107" s="11">
        <v>6.5104896300482729</v>
      </c>
      <c r="D107" s="11">
        <f t="shared" si="69"/>
        <v>2.2987653591095203</v>
      </c>
      <c r="E107" s="11">
        <v>3.5691066894039021</v>
      </c>
      <c r="F107" s="11">
        <f t="shared" si="70"/>
        <v>5.8678720485134228</v>
      </c>
      <c r="G107" s="200">
        <f t="shared" si="71"/>
        <v>4.1768136367925868E-2</v>
      </c>
      <c r="I107" s="11" t="str">
        <f>I96</f>
        <v>Managers, directors and senior officials</v>
      </c>
      <c r="J107" s="11">
        <f t="array" ref="J107:J115">MMULT(aggregation!$B$38:$AA$46,B268:B293)</f>
        <v>8.3826671056364503</v>
      </c>
      <c r="K107" s="11">
        <f t="array" ref="K107:K115">MMULT(aggregation!$B$38:$AA$46,C268:C293)</f>
        <v>7.4322244418519059</v>
      </c>
      <c r="L107" s="11">
        <f t="array" ref="L107:L115">MMULT(aggregation!$B$38:$AA$46,D268:D293)</f>
        <v>-0.95044266378454356</v>
      </c>
      <c r="M107" s="11">
        <f t="array" ref="M107:M115">MMULT(aggregation!$B$38:$AA$46,E268:E293)</f>
        <v>2.5731946358312987</v>
      </c>
      <c r="N107" s="11">
        <f t="array" ref="N107:N115">MMULT(aggregation!$B$38:$AA$46,F268:F293)</f>
        <v>1.6227519720467554</v>
      </c>
      <c r="P107" s="11"/>
      <c r="Q107" s="11"/>
      <c r="R107" s="11"/>
      <c r="S107" s="11"/>
      <c r="T107" s="11"/>
      <c r="U107" s="11"/>
    </row>
    <row r="108" spans="1:21" x14ac:dyDescent="0.3">
      <c r="A108" t="str">
        <f t="shared" si="68"/>
        <v>52 Skilled metal, electrical and electronic trades</v>
      </c>
      <c r="B108" s="11">
        <v>5.3467162369815773</v>
      </c>
      <c r="C108" s="11">
        <v>8.4894372136283849</v>
      </c>
      <c r="D108" s="11">
        <f t="shared" si="69"/>
        <v>3.1427209766468076</v>
      </c>
      <c r="E108" s="11">
        <v>3.5480722529866768</v>
      </c>
      <c r="F108" s="11">
        <f t="shared" si="70"/>
        <v>6.6907932296334849</v>
      </c>
      <c r="G108" s="200">
        <f t="shared" si="71"/>
        <v>3.4514461326172974E-2</v>
      </c>
      <c r="I108" s="11" t="str">
        <f>I97</f>
        <v>Professional occupations</v>
      </c>
      <c r="J108" s="11">
        <v>6.7775539769694859</v>
      </c>
      <c r="K108" s="11">
        <v>6.9630756583821833</v>
      </c>
      <c r="L108" s="11">
        <v>0.18552168141269687</v>
      </c>
      <c r="M108" s="11">
        <v>2.212039149376634</v>
      </c>
      <c r="N108" s="11">
        <v>2.3975608307893306</v>
      </c>
      <c r="P108" s="84"/>
      <c r="Q108" s="73"/>
      <c r="R108" s="73"/>
      <c r="S108" s="71"/>
      <c r="T108" s="71"/>
      <c r="U108" s="71"/>
    </row>
    <row r="109" spans="1:21" x14ac:dyDescent="0.3">
      <c r="A109" t="str">
        <f t="shared" si="68"/>
        <v>53 Skilled construction and building trades</v>
      </c>
      <c r="B109" s="11">
        <v>2.9366163339697025</v>
      </c>
      <c r="C109" s="11">
        <v>4.4503579463150622</v>
      </c>
      <c r="D109" s="11">
        <f t="shared" ref="D109" si="77">C109-B109</f>
        <v>1.5137416123453598</v>
      </c>
      <c r="E109" s="11">
        <v>2.0539823096631529</v>
      </c>
      <c r="F109" s="11">
        <f t="shared" ref="F109" si="78">SUM(D109:E109)</f>
        <v>3.5677239220085126</v>
      </c>
      <c r="G109" s="200">
        <f t="shared" si="71"/>
        <v>3.5985544581269124E-2</v>
      </c>
      <c r="I109" s="11" t="str">
        <f>I98</f>
        <v>Associate professional occupations</v>
      </c>
      <c r="J109" s="11">
        <v>7.32397326504997</v>
      </c>
      <c r="K109" s="11">
        <v>6.7680704905020699</v>
      </c>
      <c r="L109" s="11">
        <v>-0.55590277454789971</v>
      </c>
      <c r="M109" s="11">
        <v>2.1013918381632837</v>
      </c>
      <c r="N109" s="11">
        <v>1.545489063615384</v>
      </c>
      <c r="P109" s="11"/>
      <c r="Q109" s="11"/>
      <c r="R109" s="11"/>
      <c r="S109" s="11"/>
      <c r="T109" s="11"/>
      <c r="U109" s="11"/>
    </row>
    <row r="110" spans="1:21" x14ac:dyDescent="0.3">
      <c r="A110" t="str">
        <f t="shared" si="68"/>
        <v>54 Textiles, printing and other skilled trades</v>
      </c>
      <c r="B110" s="11">
        <v>5.3849567412245927</v>
      </c>
      <c r="C110" s="11">
        <v>8.5343261916885105</v>
      </c>
      <c r="D110" s="11">
        <f t="shared" si="69"/>
        <v>3.1493694504639178</v>
      </c>
      <c r="E110" s="11">
        <v>3.941072877650142</v>
      </c>
      <c r="F110" s="11">
        <f t="shared" si="70"/>
        <v>7.0904423281140598</v>
      </c>
      <c r="G110" s="200">
        <f t="shared" si="71"/>
        <v>3.7291863804452152E-2</v>
      </c>
      <c r="I110" s="11" t="str">
        <f>I99</f>
        <v>Administrative and secretarial occupations</v>
      </c>
      <c r="J110" s="11">
        <v>10.0546578464749</v>
      </c>
      <c r="K110" s="11">
        <v>8.2666661135531569</v>
      </c>
      <c r="L110" s="11">
        <v>-1.7879917329217436</v>
      </c>
      <c r="M110" s="11">
        <v>2.7974911082015508</v>
      </c>
      <c r="N110" s="11">
        <v>1.0094993752798072</v>
      </c>
      <c r="P110" s="11"/>
      <c r="Q110" s="11"/>
      <c r="R110" s="11"/>
      <c r="S110" s="11"/>
      <c r="T110" s="11"/>
      <c r="U110" s="11"/>
    </row>
    <row r="111" spans="1:21" x14ac:dyDescent="0.3">
      <c r="A111" t="str">
        <f t="shared" si="68"/>
        <v>61 Caring personal service occupations</v>
      </c>
      <c r="B111" s="11">
        <v>29.483903744604984</v>
      </c>
      <c r="C111" s="11">
        <v>43.900133722076227</v>
      </c>
      <c r="D111" s="11">
        <f>C111-B111</f>
        <v>14.416229977471243</v>
      </c>
      <c r="E111" s="11">
        <v>23.592311092436564</v>
      </c>
      <c r="F111" s="11">
        <f>SUM(D111:E111)</f>
        <v>38.008541069907807</v>
      </c>
      <c r="G111" s="200">
        <f t="shared" si="71"/>
        <v>3.9970445036803914E-2</v>
      </c>
      <c r="I111" s="11" t="str">
        <f t="shared" ref="I111:I115" si="79">I100</f>
        <v>Skilled trades occupations</v>
      </c>
      <c r="J111" s="11">
        <v>15.842710196548966</v>
      </c>
      <c r="K111" s="11">
        <v>7.4946023130313026</v>
      </c>
      <c r="L111" s="11">
        <v>-8.3481078835176632</v>
      </c>
      <c r="M111" s="11">
        <v>3.4503864208208732</v>
      </c>
      <c r="N111" s="11">
        <v>-4.89772146269679</v>
      </c>
      <c r="P111" s="11"/>
      <c r="Q111" s="11"/>
      <c r="R111" s="11"/>
      <c r="S111" s="11"/>
      <c r="T111" s="11"/>
      <c r="U111" s="11"/>
    </row>
    <row r="112" spans="1:21" x14ac:dyDescent="0.3">
      <c r="A112" t="str">
        <f t="shared" si="68"/>
        <v>62 Leisure, travel and related personal service occupations</v>
      </c>
      <c r="B112" s="11">
        <v>8.6693184731400255</v>
      </c>
      <c r="C112" s="11">
        <v>14.804555003529018</v>
      </c>
      <c r="D112" s="11">
        <f t="shared" ref="D112:D113" si="80">C112-B112</f>
        <v>6.1352365303889922</v>
      </c>
      <c r="E112" s="11">
        <v>7.1018149578170462</v>
      </c>
      <c r="F112" s="11">
        <f t="shared" ref="F112:F113" si="81">SUM(D112:E112)</f>
        <v>13.237051488206038</v>
      </c>
      <c r="G112" s="200">
        <f t="shared" si="71"/>
        <v>4.0699142175544933E-2</v>
      </c>
      <c r="I112" s="11" t="str">
        <f t="shared" si="79"/>
        <v>Caring, leisure and other service occupations</v>
      </c>
      <c r="J112" s="11">
        <v>5.1307094297658029</v>
      </c>
      <c r="K112" s="11">
        <v>3.5591180731932082</v>
      </c>
      <c r="L112" s="11">
        <v>-1.5715913565725945</v>
      </c>
      <c r="M112" s="11">
        <v>1.1964731468536911</v>
      </c>
      <c r="N112" s="11">
        <v>-0.37511820971890347</v>
      </c>
      <c r="P112" s="11"/>
      <c r="Q112" s="11"/>
      <c r="R112" s="11"/>
      <c r="S112" s="11"/>
      <c r="T112" s="11"/>
      <c r="U112" s="11"/>
    </row>
    <row r="113" spans="1:21" x14ac:dyDescent="0.3">
      <c r="A113" t="str">
        <f t="shared" si="68"/>
        <v>63 Community and civil enforcement occupations</v>
      </c>
      <c r="B113" s="11">
        <v>0.534506826066796</v>
      </c>
      <c r="C113" s="11">
        <v>0.78002104327366595</v>
      </c>
      <c r="D113" s="11">
        <f t="shared" si="80"/>
        <v>0.24551421720686994</v>
      </c>
      <c r="E113" s="11">
        <v>0.42608471958053218</v>
      </c>
      <c r="F113" s="11">
        <f t="shared" si="81"/>
        <v>0.67159893678740212</v>
      </c>
      <c r="G113" s="200">
        <f t="shared" si="71"/>
        <v>3.985400045109877E-2</v>
      </c>
      <c r="I113" s="11" t="str">
        <f t="shared" si="79"/>
        <v>Sales and customer service occupations</v>
      </c>
      <c r="J113" s="11">
        <v>12.448462079775137</v>
      </c>
      <c r="K113" s="11">
        <v>7.4378526625736132</v>
      </c>
      <c r="L113" s="11">
        <v>-5.0106094172015228</v>
      </c>
      <c r="M113" s="11">
        <v>2.480385109690054</v>
      </c>
      <c r="N113" s="11">
        <v>-2.5302243075114683</v>
      </c>
      <c r="P113" s="11"/>
      <c r="Q113" s="11"/>
      <c r="R113" s="11"/>
      <c r="S113" s="11"/>
      <c r="T113" s="11"/>
      <c r="U113" s="11"/>
    </row>
    <row r="114" spans="1:21" x14ac:dyDescent="0.3">
      <c r="A114" t="str">
        <f t="shared" si="68"/>
        <v>71 Sales occupations</v>
      </c>
      <c r="B114" s="11">
        <v>26.592760573235427</v>
      </c>
      <c r="C114" s="11">
        <v>35.928932596697386</v>
      </c>
      <c r="D114" s="11">
        <f t="shared" si="69"/>
        <v>9.336172023461959</v>
      </c>
      <c r="E114" s="11">
        <v>16.314556423777166</v>
      </c>
      <c r="F114" s="11">
        <f t="shared" si="70"/>
        <v>25.650728447239125</v>
      </c>
      <c r="G114" s="200">
        <f t="shared" si="71"/>
        <v>3.2407606612309126E-2</v>
      </c>
      <c r="I114" s="11" t="str">
        <f t="shared" si="79"/>
        <v>Process, plant and machine operatives</v>
      </c>
      <c r="J114" s="11">
        <v>16.059361272892602</v>
      </c>
      <c r="K114" s="11">
        <v>7.100994160459237</v>
      </c>
      <c r="L114" s="11">
        <v>-8.9583671124333648</v>
      </c>
      <c r="M114" s="11">
        <v>3.7921280080325062</v>
      </c>
      <c r="N114" s="11">
        <v>-5.1662391044008587</v>
      </c>
      <c r="P114" s="11"/>
      <c r="Q114" s="11"/>
      <c r="R114" s="11"/>
      <c r="S114" s="11"/>
      <c r="T114" s="11"/>
      <c r="U114" s="11"/>
    </row>
    <row r="115" spans="1:21" x14ac:dyDescent="0.3">
      <c r="A115" t="str">
        <f t="shared" si="68"/>
        <v>72 Customer service occupations</v>
      </c>
      <c r="B115" s="11">
        <v>8.4880269857557131</v>
      </c>
      <c r="C115" s="11">
        <v>15.479171187140011</v>
      </c>
      <c r="D115" s="11">
        <f t="shared" si="69"/>
        <v>6.9911442013842979</v>
      </c>
      <c r="E115" s="11">
        <v>6.3974568653607662</v>
      </c>
      <c r="F115" s="11">
        <f t="shared" si="70"/>
        <v>13.388601066745064</v>
      </c>
      <c r="G115" s="200">
        <f t="shared" si="71"/>
        <v>3.8158697982102252E-2</v>
      </c>
      <c r="I115" s="11" t="str">
        <f t="shared" si="79"/>
        <v>Elementary occupations</v>
      </c>
      <c r="J115" s="11">
        <v>31.566798978513614</v>
      </c>
      <c r="K115" s="11">
        <v>11.618054112753281</v>
      </c>
      <c r="L115" s="11">
        <v>-19.948744865760332</v>
      </c>
      <c r="M115" s="11">
        <v>5.1254248179931672</v>
      </c>
      <c r="N115" s="11">
        <v>-14.823320047767165</v>
      </c>
      <c r="P115" s="11"/>
      <c r="Q115" s="11"/>
      <c r="R115" s="11"/>
      <c r="S115" s="11"/>
      <c r="T115" s="11"/>
      <c r="U115" s="11"/>
    </row>
    <row r="116" spans="1:21" x14ac:dyDescent="0.3">
      <c r="A116" t="str">
        <f t="shared" si="68"/>
        <v>81 Process, plant and machine operatives</v>
      </c>
      <c r="B116" s="11">
        <v>2.9175661122356549</v>
      </c>
      <c r="C116" s="11">
        <v>7.7108289305894591</v>
      </c>
      <c r="D116" s="11">
        <f t="shared" ref="D116:D117" si="82">C116-B116</f>
        <v>4.7932628183538046</v>
      </c>
      <c r="E116" s="11">
        <v>2.7576683220369973</v>
      </c>
      <c r="F116" s="11">
        <f t="shared" ref="F116:F117" si="83">SUM(D116:E116)</f>
        <v>7.5509311403908015</v>
      </c>
      <c r="G116" s="200">
        <f t="shared" si="71"/>
        <v>4.5355976872691661E-2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11"/>
      <c r="T116" s="11"/>
      <c r="U116" s="11"/>
    </row>
    <row r="117" spans="1:21" x14ac:dyDescent="0.3">
      <c r="A117" t="str">
        <f t="shared" si="68"/>
        <v>82 Transport and mobile machine drivers and operatives</v>
      </c>
      <c r="B117" s="11">
        <v>5.7916401383203926</v>
      </c>
      <c r="C117" s="11">
        <v>10.008142190584522</v>
      </c>
      <c r="D117" s="11">
        <f t="shared" si="82"/>
        <v>4.2165020522641292</v>
      </c>
      <c r="E117" s="11">
        <v>5.4001369952742033</v>
      </c>
      <c r="F117" s="11">
        <f t="shared" si="83"/>
        <v>9.6166390475383317</v>
      </c>
      <c r="G117" s="200">
        <f t="shared" si="71"/>
        <v>4.4896238084499052E-2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11"/>
      <c r="T117" s="11"/>
      <c r="U117" s="11"/>
    </row>
    <row r="118" spans="1:21" x14ac:dyDescent="0.3">
      <c r="A118" t="str">
        <f t="shared" si="68"/>
        <v>91 Elementary trades and related occupations</v>
      </c>
      <c r="B118" s="11">
        <v>1.7590007413417508</v>
      </c>
      <c r="C118" s="11">
        <v>1.9511239943116661</v>
      </c>
      <c r="D118" s="11">
        <f t="shared" si="69"/>
        <v>0.19212325296991528</v>
      </c>
      <c r="E118" s="11">
        <v>1.0219572623004596</v>
      </c>
      <c r="F118" s="11">
        <f t="shared" si="70"/>
        <v>1.2140805152703749</v>
      </c>
      <c r="G118" s="200">
        <f t="shared" si="71"/>
        <v>3.1007664567190618E-2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11"/>
      <c r="T118" s="11"/>
      <c r="U118" s="11"/>
    </row>
    <row r="119" spans="1:21" x14ac:dyDescent="0.3">
      <c r="A119" t="str">
        <f t="shared" si="68"/>
        <v>92 Elementary administration and service occupations</v>
      </c>
      <c r="B119" s="11">
        <v>23.235175971667861</v>
      </c>
      <c r="C119" s="11">
        <v>36.669554202374414</v>
      </c>
      <c r="D119" s="11">
        <f t="shared" ref="D119" si="84">C119-B119</f>
        <v>13.434378230706553</v>
      </c>
      <c r="E119" s="11">
        <v>19.137659700067779</v>
      </c>
      <c r="F119" s="11">
        <f t="shared" ref="F119" si="85">SUM(D119:E119)</f>
        <v>32.572037930774329</v>
      </c>
      <c r="G119" s="200">
        <f t="shared" ref="G119" si="86">IF(B119&gt;0,(1+(E119/B119))^(1/($C$6-$B$6))-1,0)</f>
        <v>4.0869071826215242E-2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11"/>
      <c r="T119" s="11"/>
      <c r="U119" s="11"/>
    </row>
    <row r="120" spans="1:21" x14ac:dyDescent="0.3">
      <c r="A120" t="str">
        <f t="shared" si="68"/>
        <v>All occupations</v>
      </c>
      <c r="B120" s="11">
        <f>SUM(B94:B119)</f>
        <v>660.66901591012765</v>
      </c>
      <c r="C120" s="11">
        <f t="shared" ref="C120:F120" si="87">SUM(C94:C119)</f>
        <v>825.96029950573836</v>
      </c>
      <c r="D120" s="11">
        <f t="shared" si="87"/>
        <v>165.29128359561088</v>
      </c>
      <c r="E120" s="11">
        <f t="shared" si="87"/>
        <v>395.39626407805071</v>
      </c>
      <c r="F120" s="11">
        <f t="shared" si="87"/>
        <v>560.68754767366158</v>
      </c>
      <c r="G120" s="200">
        <f t="shared" si="71"/>
        <v>3.1764200670314269E-2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11"/>
      <c r="T120" s="11"/>
      <c r="U120" s="11"/>
    </row>
    <row r="121" spans="1:21" x14ac:dyDescent="0.3">
      <c r="I121" s="11"/>
      <c r="J121" s="11"/>
      <c r="K121" s="11"/>
      <c r="L121" s="11"/>
      <c r="M121" s="11"/>
      <c r="N121" s="11"/>
      <c r="P121" s="11"/>
      <c r="Q121" s="11"/>
      <c r="R121" s="11"/>
      <c r="S121" s="11"/>
      <c r="T121" s="11"/>
      <c r="U121" s="11"/>
    </row>
    <row r="122" spans="1:21" ht="24.9" x14ac:dyDescent="0.3">
      <c r="A122" s="201" t="str">
        <f>CONCATENATE(name!F7," (Constrained)")</f>
        <v>RQF5 Foundation degree;Nursing;Teaching (Constrained)</v>
      </c>
      <c r="B122" s="74">
        <f t="shared" ref="B122:G122" si="88">B35</f>
        <v>2020</v>
      </c>
      <c r="C122" s="74">
        <f t="shared" si="88"/>
        <v>2035</v>
      </c>
      <c r="D122" s="87" t="str">
        <f t="shared" si="88"/>
        <v>Net Change</v>
      </c>
      <c r="E122" s="87" t="str">
        <f t="shared" si="88"/>
        <v>Replacement Demand level</v>
      </c>
      <c r="F122" s="87" t="str">
        <f t="shared" si="88"/>
        <v>Total Requirement</v>
      </c>
      <c r="G122" s="87" t="str">
        <f t="shared" si="88"/>
        <v>Replacement Demand rate</v>
      </c>
      <c r="I122" s="84"/>
      <c r="J122" s="73"/>
      <c r="K122" s="73"/>
      <c r="L122" s="71"/>
      <c r="M122" s="71"/>
      <c r="N122" s="71"/>
      <c r="P122" s="11"/>
      <c r="Q122" s="11"/>
      <c r="R122" s="11"/>
      <c r="S122" s="11"/>
      <c r="T122" s="11"/>
      <c r="U122" s="11"/>
    </row>
    <row r="123" spans="1:21" x14ac:dyDescent="0.3">
      <c r="A123" t="str">
        <f t="shared" ref="A123:A149" si="89">A36</f>
        <v>11 Corporate managers and directors</v>
      </c>
      <c r="B123" s="11">
        <v>13.638266358889565</v>
      </c>
      <c r="C123" s="11">
        <v>14.16513300855069</v>
      </c>
      <c r="D123" s="11">
        <f>C123-B123</f>
        <v>0.52686664966112495</v>
      </c>
      <c r="E123" s="11">
        <v>6.9455312456625808</v>
      </c>
      <c r="F123" s="11">
        <f>SUM(D123:E123)</f>
        <v>7.4723978953237058</v>
      </c>
      <c r="G123" s="200">
        <f>IF(B123&gt;0,(1+(E123/B123))^(1/($C$6-$B$6))-1,0)</f>
        <v>2.7821636382710624E-2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11"/>
      <c r="T123" s="11"/>
      <c r="U123" s="11"/>
    </row>
    <row r="124" spans="1:21" x14ac:dyDescent="0.3">
      <c r="A124" t="str">
        <f t="shared" si="89"/>
        <v>12 Other managers and proprietors</v>
      </c>
      <c r="B124" s="11">
        <v>7.9087874812888046</v>
      </c>
      <c r="C124" s="11">
        <v>12.289130481754635</v>
      </c>
      <c r="D124" s="11">
        <f t="shared" ref="D124:D139" si="90">C124-B124</f>
        <v>4.3803430004658299</v>
      </c>
      <c r="E124" s="11">
        <v>6.6726469117717828</v>
      </c>
      <c r="F124" s="11">
        <f t="shared" ref="F124:F131" si="91">SUM(D124:E124)</f>
        <v>11.052989912237614</v>
      </c>
      <c r="G124" s="200">
        <f t="shared" ref="G124:G149" si="92">IF(B124&gt;0,(1+(E124/B124))^(1/($C$6-$B$6))-1,0)</f>
        <v>4.1628105166579887E-2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11"/>
      <c r="T124" s="11"/>
      <c r="U124" s="11"/>
    </row>
    <row r="125" spans="1:21" x14ac:dyDescent="0.3">
      <c r="A125" t="str">
        <f t="shared" si="89"/>
        <v>21 Science, research, engineering and technology professionals</v>
      </c>
      <c r="B125" s="11">
        <v>7.7734476815118105</v>
      </c>
      <c r="C125" s="11">
        <v>9.4654536427587423</v>
      </c>
      <c r="D125" s="11">
        <f t="shared" si="90"/>
        <v>1.6920059612469318</v>
      </c>
      <c r="E125" s="11">
        <v>3.2174959538130761</v>
      </c>
      <c r="F125" s="11">
        <f t="shared" si="91"/>
        <v>4.9095019150600079</v>
      </c>
      <c r="G125" s="200">
        <f t="shared" si="92"/>
        <v>2.3359172882910118E-2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11"/>
      <c r="T125" s="11"/>
      <c r="U125" s="11"/>
    </row>
    <row r="126" spans="1:21" x14ac:dyDescent="0.3">
      <c r="A126" t="str">
        <f t="shared" si="89"/>
        <v>22 Health professionals</v>
      </c>
      <c r="B126" s="11">
        <v>14.68535845839935</v>
      </c>
      <c r="C126" s="11">
        <v>4.0822858055226172</v>
      </c>
      <c r="D126" s="11">
        <f t="shared" si="90"/>
        <v>-10.603072652876733</v>
      </c>
      <c r="E126" s="11">
        <v>3.0646272819684821</v>
      </c>
      <c r="F126" s="11">
        <f t="shared" si="91"/>
        <v>-7.5384453709082511</v>
      </c>
      <c r="G126" s="200">
        <f t="shared" si="92"/>
        <v>1.2715748825006701E-2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11"/>
      <c r="T126" s="11"/>
      <c r="U126" s="11"/>
    </row>
    <row r="127" spans="1:21" x14ac:dyDescent="0.3">
      <c r="A127" t="str">
        <f t="shared" si="89"/>
        <v>23 Teaching and other educational professionals</v>
      </c>
      <c r="B127" s="11">
        <v>3.4904566895086226</v>
      </c>
      <c r="C127" s="11">
        <v>2.2238204770994678</v>
      </c>
      <c r="D127" s="11">
        <f t="shared" si="90"/>
        <v>-1.2666362124091548</v>
      </c>
      <c r="E127" s="11">
        <v>0.71489291755682416</v>
      </c>
      <c r="F127" s="11">
        <f t="shared" si="91"/>
        <v>-0.55174329485233065</v>
      </c>
      <c r="G127" s="200">
        <f>IF(B127&gt;0,(1+(E127/B127))^(1/($C$6-$B$6))-1,0)</f>
        <v>1.2499125642152054E-2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11"/>
      <c r="T127" s="11"/>
      <c r="U127" s="11"/>
    </row>
    <row r="128" spans="1:21" x14ac:dyDescent="0.3">
      <c r="A128" t="str">
        <f t="shared" si="89"/>
        <v>24 Business, media and public service professionals</v>
      </c>
      <c r="B128" s="11">
        <v>7.8082398335148255</v>
      </c>
      <c r="C128" s="11">
        <v>8.5251516679023478</v>
      </c>
      <c r="D128" s="11">
        <f t="shared" si="90"/>
        <v>0.71691183438752226</v>
      </c>
      <c r="E128" s="11">
        <v>2.9514188874931957</v>
      </c>
      <c r="F128" s="11">
        <f t="shared" si="91"/>
        <v>3.668330721880718</v>
      </c>
      <c r="G128" s="200">
        <f t="shared" si="92"/>
        <v>2.160503212710907E-2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11"/>
      <c r="T128" s="11"/>
      <c r="U128" s="11"/>
    </row>
    <row r="129" spans="1:21" x14ac:dyDescent="0.3">
      <c r="A129" t="str">
        <f t="shared" si="89"/>
        <v>31 Science, engineering and technology associate professionals</v>
      </c>
      <c r="B129" s="11">
        <v>3.1868105872526664</v>
      </c>
      <c r="C129" s="11">
        <v>4.2888541235448168</v>
      </c>
      <c r="D129" s="11">
        <f t="shared" si="90"/>
        <v>1.1020435362921503</v>
      </c>
      <c r="E129" s="11">
        <v>1.6548960915144899</v>
      </c>
      <c r="F129" s="11">
        <f t="shared" si="91"/>
        <v>2.7569396278066405</v>
      </c>
      <c r="G129" s="200">
        <f t="shared" si="92"/>
        <v>2.8275484154479003E-2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11"/>
      <c r="T129" s="11"/>
      <c r="U129" s="11"/>
    </row>
    <row r="130" spans="1:21" x14ac:dyDescent="0.3">
      <c r="A130" t="str">
        <f t="shared" si="89"/>
        <v>32 Health and social care associate professionals</v>
      </c>
      <c r="B130" s="11">
        <v>7.7432399124550848</v>
      </c>
      <c r="C130" s="11">
        <v>3.2801665556303834</v>
      </c>
      <c r="D130" s="11">
        <f t="shared" si="90"/>
        <v>-4.463073356824701</v>
      </c>
      <c r="E130" s="11">
        <v>2.1356986508860429</v>
      </c>
      <c r="F130" s="11">
        <f t="shared" si="91"/>
        <v>-2.327374705938658</v>
      </c>
      <c r="G130" s="200">
        <f t="shared" si="92"/>
        <v>1.6371561038934779E-2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11"/>
      <c r="T130" s="11"/>
      <c r="U130" s="11"/>
    </row>
    <row r="131" spans="1:21" x14ac:dyDescent="0.3">
      <c r="A131" t="str">
        <f t="shared" si="89"/>
        <v>33 Protective service occupations</v>
      </c>
      <c r="B131" s="11">
        <v>2.0391927470453699</v>
      </c>
      <c r="C131" s="11">
        <v>3.853574185904296</v>
      </c>
      <c r="D131" s="11">
        <f t="shared" si="90"/>
        <v>1.8143814388589261</v>
      </c>
      <c r="E131" s="11">
        <v>1.153032105566631</v>
      </c>
      <c r="F131" s="11">
        <f t="shared" si="91"/>
        <v>2.9674135444255572</v>
      </c>
      <c r="G131" s="200">
        <f t="shared" si="92"/>
        <v>3.0328421067222777E-2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11"/>
      <c r="T131" s="11"/>
      <c r="U131" s="11"/>
    </row>
    <row r="132" spans="1:21" x14ac:dyDescent="0.3">
      <c r="A132" t="str">
        <f t="shared" si="89"/>
        <v>34 Culture, media and sports occupations</v>
      </c>
      <c r="B132" s="11">
        <v>3.6919902598103538</v>
      </c>
      <c r="C132" s="11">
        <v>4.4315776815697951</v>
      </c>
      <c r="D132" s="11">
        <f t="shared" si="90"/>
        <v>0.73958742175944137</v>
      </c>
      <c r="E132" s="11">
        <v>1.7487259646768065</v>
      </c>
      <c r="F132" s="11">
        <f t="shared" ref="F132:F133" si="93">SUM(D132:E132)</f>
        <v>2.4883133864362481</v>
      </c>
      <c r="G132" s="200">
        <f t="shared" si="92"/>
        <v>2.6186669049370837E-2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11"/>
      <c r="T132" s="11"/>
      <c r="U132" s="11"/>
    </row>
    <row r="133" spans="1:21" x14ac:dyDescent="0.3">
      <c r="A133" t="str">
        <f t="shared" si="89"/>
        <v>35 Business and public service associate professionals</v>
      </c>
      <c r="B133" s="11">
        <v>14.976590704227821</v>
      </c>
      <c r="C133" s="11">
        <v>17.316551026603658</v>
      </c>
      <c r="D133" s="11">
        <f t="shared" si="90"/>
        <v>2.3399603223758376</v>
      </c>
      <c r="E133" s="11">
        <v>7.5706105411821873</v>
      </c>
      <c r="F133" s="11">
        <f t="shared" si="93"/>
        <v>9.910570863558025</v>
      </c>
      <c r="G133" s="200">
        <f t="shared" si="92"/>
        <v>2.7650202144841485E-2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11"/>
      <c r="T133" s="11"/>
      <c r="U133" s="11"/>
    </row>
    <row r="134" spans="1:21" x14ac:dyDescent="0.3">
      <c r="A134" t="str">
        <f t="shared" si="89"/>
        <v>41 Administrative occupations</v>
      </c>
      <c r="B134" s="11">
        <v>21.181612216291242</v>
      </c>
      <c r="C134" s="11">
        <v>23.950995643009819</v>
      </c>
      <c r="D134" s="11">
        <f t="shared" si="90"/>
        <v>2.7693834267185764</v>
      </c>
      <c r="E134" s="11">
        <v>12.74994760285723</v>
      </c>
      <c r="F134" s="11">
        <f t="shared" ref="F134:F137" si="94">SUM(D134:E134)</f>
        <v>15.519331029575806</v>
      </c>
      <c r="G134" s="200">
        <f t="shared" si="92"/>
        <v>3.1912771238187032E-2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11"/>
      <c r="T134" s="11"/>
      <c r="U134" s="11"/>
    </row>
    <row r="135" spans="1:21" x14ac:dyDescent="0.3">
      <c r="A135" t="str">
        <f t="shared" si="89"/>
        <v>42 Secretarial and related occupations</v>
      </c>
      <c r="B135" s="11">
        <v>5.3914544747458821</v>
      </c>
      <c r="C135" s="11">
        <v>7.1977593433845914</v>
      </c>
      <c r="D135" s="11">
        <f t="shared" si="90"/>
        <v>1.8063048686387093</v>
      </c>
      <c r="E135" s="11">
        <v>4.0871784461030911</v>
      </c>
      <c r="F135" s="11">
        <f t="shared" si="94"/>
        <v>5.8934833147418004</v>
      </c>
      <c r="G135" s="200">
        <f t="shared" si="92"/>
        <v>3.8331391667503656E-2</v>
      </c>
      <c r="I135" s="11"/>
      <c r="J135" s="11"/>
      <c r="K135" s="11"/>
      <c r="L135" s="11"/>
      <c r="M135" s="11"/>
      <c r="N135" s="11"/>
    </row>
    <row r="136" spans="1:21" x14ac:dyDescent="0.3">
      <c r="A136" t="str">
        <f t="shared" si="89"/>
        <v>51 Skilled agricultural and related trades</v>
      </c>
      <c r="B136" s="11">
        <v>1.6752286233303719</v>
      </c>
      <c r="C136" s="11">
        <v>2.6008146354857389</v>
      </c>
      <c r="D136" s="11">
        <f t="shared" si="90"/>
        <v>0.92558601215536696</v>
      </c>
      <c r="E136" s="11">
        <v>1.5234185512232872</v>
      </c>
      <c r="F136" s="11">
        <f t="shared" si="94"/>
        <v>2.4490045633786544</v>
      </c>
      <c r="G136" s="200">
        <f t="shared" si="92"/>
        <v>4.4061665545829465E-2</v>
      </c>
      <c r="I136" s="11"/>
      <c r="J136" s="11"/>
      <c r="K136" s="11"/>
      <c r="L136" s="11"/>
      <c r="M136" s="11"/>
      <c r="N136" s="11"/>
      <c r="O136" s="70"/>
    </row>
    <row r="137" spans="1:21" x14ac:dyDescent="0.3">
      <c r="A137" t="str">
        <f t="shared" si="89"/>
        <v>52 Skilled metal, electrical and electronic trades</v>
      </c>
      <c r="B137" s="11">
        <v>2.0802261753089084</v>
      </c>
      <c r="C137" s="11">
        <v>3.0063285875358887</v>
      </c>
      <c r="D137" s="11">
        <f t="shared" si="90"/>
        <v>0.92610241222698031</v>
      </c>
      <c r="E137" s="11">
        <v>1.1313395521104177</v>
      </c>
      <c r="F137" s="11">
        <f t="shared" si="94"/>
        <v>2.0574419643373982</v>
      </c>
      <c r="G137" s="200">
        <f t="shared" si="92"/>
        <v>2.9375317637497789E-2</v>
      </c>
      <c r="I137" s="11"/>
      <c r="J137" s="11"/>
      <c r="K137" s="11"/>
      <c r="L137" s="11"/>
      <c r="M137" s="11"/>
      <c r="N137" s="11"/>
    </row>
    <row r="138" spans="1:21" x14ac:dyDescent="0.3">
      <c r="A138" t="str">
        <f t="shared" si="89"/>
        <v>53 Skilled construction and building trades</v>
      </c>
      <c r="B138" s="11">
        <v>2.0394557006546585</v>
      </c>
      <c r="C138" s="11">
        <v>2.9970879489931157</v>
      </c>
      <c r="D138" s="11">
        <f t="shared" si="90"/>
        <v>0.95763224833845717</v>
      </c>
      <c r="E138" s="11">
        <v>1.4784845194383118</v>
      </c>
      <c r="F138" s="11">
        <f t="shared" ref="F138" si="95">SUM(D138:E138)</f>
        <v>2.436116767776769</v>
      </c>
      <c r="G138" s="200">
        <f t="shared" si="92"/>
        <v>3.7014777771934071E-2</v>
      </c>
      <c r="I138" s="11"/>
      <c r="J138" s="11"/>
      <c r="K138" s="11"/>
      <c r="L138" s="11"/>
      <c r="M138" s="11"/>
      <c r="N138" s="11"/>
      <c r="P138" s="84"/>
      <c r="Q138" s="73"/>
      <c r="R138" s="73"/>
      <c r="S138" s="71"/>
      <c r="T138" s="71"/>
      <c r="U138" s="71"/>
    </row>
    <row r="139" spans="1:21" x14ac:dyDescent="0.3">
      <c r="A139" t="str">
        <f t="shared" si="89"/>
        <v>54 Textiles, printing and other skilled trades</v>
      </c>
      <c r="B139" s="11">
        <v>2.2489843005908194</v>
      </c>
      <c r="C139" s="11">
        <v>3.0262367299417732</v>
      </c>
      <c r="D139" s="11">
        <f t="shared" si="90"/>
        <v>0.77725242935095373</v>
      </c>
      <c r="E139" s="11">
        <v>1.4382736167546846</v>
      </c>
      <c r="F139" s="11">
        <f t="shared" ref="F139" si="96">SUM(D139:E139)</f>
        <v>2.2155260461056381</v>
      </c>
      <c r="G139" s="200">
        <f t="shared" si="92"/>
        <v>3.3509499668852527E-2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11"/>
      <c r="T139" s="11"/>
      <c r="U139" s="11"/>
    </row>
    <row r="140" spans="1:21" x14ac:dyDescent="0.3">
      <c r="A140" t="str">
        <f t="shared" si="89"/>
        <v>61 Caring personal service occupations</v>
      </c>
      <c r="B140" s="11">
        <v>24.755803208836621</v>
      </c>
      <c r="C140" s="11">
        <v>28.121673502204835</v>
      </c>
      <c r="D140" s="11">
        <f>C140-B140</f>
        <v>3.3658702933682143</v>
      </c>
      <c r="E140" s="11">
        <v>15.161639409285204</v>
      </c>
      <c r="F140" s="11">
        <f>SUM(D140:E140)</f>
        <v>18.527509702653418</v>
      </c>
      <c r="G140" s="200">
        <f t="shared" si="92"/>
        <v>3.2362876882829905E-2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11"/>
      <c r="T140" s="11"/>
      <c r="U140" s="11"/>
    </row>
    <row r="141" spans="1:21" x14ac:dyDescent="0.3">
      <c r="A141" t="str">
        <f t="shared" si="89"/>
        <v>62 Leisure, travel and related personal service occupations</v>
      </c>
      <c r="B141" s="11">
        <v>4.9202395070344913</v>
      </c>
      <c r="C141" s="11">
        <v>7.1175839739238027</v>
      </c>
      <c r="D141" s="11">
        <f t="shared" ref="D141:D147" si="97">C141-B141</f>
        <v>2.1973444668893114</v>
      </c>
      <c r="E141" s="11">
        <v>3.5645687914883695</v>
      </c>
      <c r="F141" s="11">
        <f t="shared" ref="F141:F142" si="98">SUM(D141:E141)</f>
        <v>5.7619132583776809</v>
      </c>
      <c r="G141" s="200">
        <f t="shared" si="92"/>
        <v>3.699593200383533E-2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11"/>
      <c r="T141" s="11"/>
      <c r="U141" s="11"/>
    </row>
    <row r="142" spans="1:21" x14ac:dyDescent="0.3">
      <c r="A142" t="str">
        <f t="shared" si="89"/>
        <v>63 Community and civil enforcement occupations</v>
      </c>
      <c r="B142" s="11">
        <v>0.16486491414108079</v>
      </c>
      <c r="C142" s="11">
        <v>0.1832994523586757</v>
      </c>
      <c r="D142" s="11">
        <f t="shared" si="97"/>
        <v>1.8434538217594915E-2</v>
      </c>
      <c r="E142" s="11">
        <v>9.4233021901030029E-2</v>
      </c>
      <c r="F142" s="11">
        <f t="shared" si="98"/>
        <v>0.11266756011862494</v>
      </c>
      <c r="G142" s="200">
        <f t="shared" si="92"/>
        <v>3.059741193147536E-2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11"/>
      <c r="T142" s="11"/>
      <c r="U142" s="11"/>
    </row>
    <row r="143" spans="1:21" x14ac:dyDescent="0.3">
      <c r="A143" t="str">
        <f t="shared" si="89"/>
        <v>71 Sales occupations</v>
      </c>
      <c r="B143" s="11">
        <v>8.5401064304209697</v>
      </c>
      <c r="C143" s="11">
        <v>9.9839520909365476</v>
      </c>
      <c r="D143" s="11">
        <f t="shared" si="97"/>
        <v>1.4438456605155778</v>
      </c>
      <c r="E143" s="11">
        <v>4.7624712839972334</v>
      </c>
      <c r="F143" s="11">
        <f t="shared" ref="F143:F144" si="99">SUM(D143:E143)</f>
        <v>6.2063169445128112</v>
      </c>
      <c r="G143" s="200">
        <f t="shared" si="92"/>
        <v>2.9986426449912118E-2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11"/>
      <c r="T143" s="11"/>
      <c r="U143" s="11"/>
    </row>
    <row r="144" spans="1:21" x14ac:dyDescent="0.3">
      <c r="A144" t="str">
        <f t="shared" si="89"/>
        <v>72 Customer service occupations</v>
      </c>
      <c r="B144" s="11">
        <v>2.912626996680229</v>
      </c>
      <c r="C144" s="11">
        <v>5.3507506599114523</v>
      </c>
      <c r="D144" s="11">
        <f t="shared" si="97"/>
        <v>2.4381236632312233</v>
      </c>
      <c r="E144" s="11">
        <v>2.3029261300117754</v>
      </c>
      <c r="F144" s="11">
        <f t="shared" si="99"/>
        <v>4.7410497932429987</v>
      </c>
      <c r="G144" s="200">
        <f t="shared" si="92"/>
        <v>3.9603421582960374E-2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11"/>
      <c r="T144" s="11"/>
      <c r="U144" s="11"/>
    </row>
    <row r="145" spans="1:21" x14ac:dyDescent="0.3">
      <c r="A145" t="str">
        <f t="shared" si="89"/>
        <v>81 Process, plant and machine operatives</v>
      </c>
      <c r="B145" s="11">
        <v>1.20923423981106</v>
      </c>
      <c r="C145" s="11">
        <v>2.4716054912236327</v>
      </c>
      <c r="D145" s="11">
        <f t="shared" si="97"/>
        <v>1.2623712514125727</v>
      </c>
      <c r="E145" s="11">
        <v>0.91073511342410651</v>
      </c>
      <c r="F145" s="11">
        <f t="shared" ref="F145:F146" si="100">SUM(D145:E145)</f>
        <v>2.1731063648366793</v>
      </c>
      <c r="G145" s="200">
        <f t="shared" si="92"/>
        <v>3.8136856297385391E-2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11"/>
      <c r="T145" s="11"/>
      <c r="U145" s="11"/>
    </row>
    <row r="146" spans="1:21" x14ac:dyDescent="0.3">
      <c r="A146" t="str">
        <f t="shared" si="89"/>
        <v>82 Transport and mobile machine drivers and operatives</v>
      </c>
      <c r="B146" s="11">
        <v>2.7702398202935083</v>
      </c>
      <c r="C146" s="11">
        <v>4.6126811068794771</v>
      </c>
      <c r="D146" s="11">
        <f t="shared" si="97"/>
        <v>1.8424412865859687</v>
      </c>
      <c r="E146" s="11">
        <v>2.5552791673412565</v>
      </c>
      <c r="F146" s="11">
        <f t="shared" si="100"/>
        <v>4.3977204539272252</v>
      </c>
      <c r="G146" s="200">
        <f t="shared" si="92"/>
        <v>4.4534938755659947E-2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11"/>
      <c r="T146" s="11"/>
      <c r="U146" s="11"/>
    </row>
    <row r="147" spans="1:21" x14ac:dyDescent="0.3">
      <c r="A147" t="str">
        <f t="shared" si="89"/>
        <v>91 Elementary trades and related occupations</v>
      </c>
      <c r="B147" s="11">
        <v>1.3538111967896715</v>
      </c>
      <c r="C147" s="11">
        <v>1.8499893252481754</v>
      </c>
      <c r="D147" s="11">
        <f t="shared" si="97"/>
        <v>0.49617812845850384</v>
      </c>
      <c r="E147" s="11">
        <v>0.88445215446600445</v>
      </c>
      <c r="F147" s="11">
        <f t="shared" ref="F147" si="101">SUM(D147:E147)</f>
        <v>1.3806302829245083</v>
      </c>
      <c r="G147" s="200">
        <f t="shared" si="92"/>
        <v>3.4086508787049663E-2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11"/>
      <c r="T147" s="11"/>
      <c r="U147" s="11"/>
    </row>
    <row r="148" spans="1:21" x14ac:dyDescent="0.3">
      <c r="A148" t="str">
        <f t="shared" si="89"/>
        <v>92 Elementary administration and service occupations</v>
      </c>
      <c r="B148" s="11">
        <v>12.152601547016019</v>
      </c>
      <c r="C148" s="11">
        <v>19.604488451765626</v>
      </c>
      <c r="D148" s="11">
        <f t="shared" ref="D148" si="102">C148-B148</f>
        <v>7.4518869047496068</v>
      </c>
      <c r="E148" s="11">
        <v>9.625651969722659</v>
      </c>
      <c r="F148" s="11">
        <f t="shared" ref="F148" si="103">SUM(D148:E148)</f>
        <v>17.077538874472268</v>
      </c>
      <c r="G148" s="200">
        <f t="shared" ref="G148" si="104">IF(B148&gt;0,(1+(E148/B148))^(1/($C$6-$B$6))-1,0)</f>
        <v>3.9657408579246045E-2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11"/>
      <c r="T148" s="11"/>
      <c r="U148" s="11"/>
    </row>
    <row r="149" spans="1:21" x14ac:dyDescent="0.3">
      <c r="A149" t="str">
        <f t="shared" si="89"/>
        <v>All occupations</v>
      </c>
      <c r="B149" s="11">
        <f>SUM(B123:B148)</f>
        <v>180.33887006584979</v>
      </c>
      <c r="C149" s="11">
        <f t="shared" ref="C149:F149" si="105">SUM(C123:C148)</f>
        <v>205.99694559964462</v>
      </c>
      <c r="D149" s="11">
        <f t="shared" si="105"/>
        <v>25.65807553379479</v>
      </c>
      <c r="E149" s="11">
        <f t="shared" si="105"/>
        <v>100.10017588221676</v>
      </c>
      <c r="F149" s="11">
        <f t="shared" si="105"/>
        <v>125.75825141601155</v>
      </c>
      <c r="G149" s="200">
        <f t="shared" si="92"/>
        <v>2.9872059304011822E-2</v>
      </c>
      <c r="P149" s="11"/>
      <c r="Q149" s="11"/>
      <c r="R149" s="11"/>
      <c r="S149" s="11"/>
      <c r="T149" s="11"/>
      <c r="U149" s="11"/>
    </row>
    <row r="150" spans="1:21" x14ac:dyDescent="0.3">
      <c r="B150" s="11"/>
      <c r="C150" s="11"/>
      <c r="D150" s="11"/>
      <c r="E150" s="11"/>
      <c r="F150" s="11"/>
      <c r="G150" s="11"/>
      <c r="P150" s="11"/>
      <c r="Q150" s="11"/>
      <c r="R150" s="11"/>
      <c r="S150" s="11"/>
      <c r="T150" s="11"/>
      <c r="U150" s="11"/>
    </row>
    <row r="151" spans="1:21" ht="24.9" x14ac:dyDescent="0.3">
      <c r="A151" s="201" t="str">
        <f>CONCATENATE(name!F8," (Constrained)")</f>
        <v>RQF4 HE below degree level (Constrained)</v>
      </c>
      <c r="B151" s="74">
        <f t="shared" ref="B151:G151" si="106">B64</f>
        <v>2020</v>
      </c>
      <c r="C151" s="74">
        <f t="shared" si="106"/>
        <v>2035</v>
      </c>
      <c r="D151" s="87" t="str">
        <f t="shared" si="106"/>
        <v>Net Change</v>
      </c>
      <c r="E151" s="87" t="str">
        <f t="shared" si="106"/>
        <v>Replacement Demand level</v>
      </c>
      <c r="F151" s="87" t="str">
        <f t="shared" si="106"/>
        <v>Total Requirement</v>
      </c>
      <c r="G151" s="87" t="str">
        <f t="shared" si="106"/>
        <v>Replacement Demand rate</v>
      </c>
      <c r="P151" s="11"/>
      <c r="Q151" s="11"/>
      <c r="R151" s="11"/>
      <c r="S151" s="11"/>
      <c r="T151" s="11"/>
      <c r="U151" s="11"/>
    </row>
    <row r="152" spans="1:21" x14ac:dyDescent="0.3">
      <c r="A152" t="str">
        <f t="shared" ref="A152:A178" si="107">A65</f>
        <v>11 Corporate managers and directors</v>
      </c>
      <c r="B152" s="11">
        <v>20.965137881834394</v>
      </c>
      <c r="C152" s="11">
        <v>22.255111968643106</v>
      </c>
      <c r="D152" s="11">
        <f>C152-B152</f>
        <v>1.2899740868087122</v>
      </c>
      <c r="E152" s="11">
        <v>10.836943532618779</v>
      </c>
      <c r="F152" s="11">
        <f>SUM(D152:E152)</f>
        <v>12.126917619427491</v>
      </c>
      <c r="G152" s="200">
        <f>IF(B152&gt;0,(1+(E152/B152))^(1/($C$6-$B$6))-1,0)</f>
        <v>2.81674596283914E-2</v>
      </c>
      <c r="I152" s="84"/>
      <c r="J152" s="73"/>
      <c r="K152" s="73"/>
      <c r="L152" s="71"/>
      <c r="M152" s="71"/>
      <c r="N152" s="71"/>
      <c r="P152" s="11"/>
      <c r="Q152" s="11"/>
      <c r="R152" s="11"/>
      <c r="S152" s="11"/>
      <c r="T152" s="11"/>
      <c r="U152" s="11"/>
    </row>
    <row r="153" spans="1:21" x14ac:dyDescent="0.3">
      <c r="A153" t="str">
        <f t="shared" si="107"/>
        <v>12 Other managers and proprietors</v>
      </c>
      <c r="B153" s="11">
        <v>7.9620684645663982</v>
      </c>
      <c r="C153" s="11">
        <v>12.673612183752898</v>
      </c>
      <c r="D153" s="11">
        <f t="shared" ref="D153:D168" si="108">C153-B153</f>
        <v>4.7115437191864995</v>
      </c>
      <c r="E153" s="11">
        <v>6.4163159113034709</v>
      </c>
      <c r="F153" s="11">
        <f t="shared" ref="F153:F160" si="109">SUM(D153:E153)</f>
        <v>11.12785963048997</v>
      </c>
      <c r="G153" s="200">
        <f t="shared" ref="G153:G155" si="110">IF(B153&gt;0,(1+(E153/B153))^(1/($C$6-$B$6))-1,0)</f>
        <v>4.0189052646543155E-2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11"/>
      <c r="T153" s="11"/>
      <c r="U153" s="11"/>
    </row>
    <row r="154" spans="1:21" x14ac:dyDescent="0.3">
      <c r="A154" t="str">
        <f t="shared" si="107"/>
        <v>21 Science, research, engineering and technology professionals</v>
      </c>
      <c r="B154" s="11">
        <v>18.385571849551265</v>
      </c>
      <c r="C154" s="11">
        <v>17.898494885612084</v>
      </c>
      <c r="D154" s="11">
        <f t="shared" si="108"/>
        <v>-0.48707696393918098</v>
      </c>
      <c r="E154" s="11">
        <v>6.2577535807940494</v>
      </c>
      <c r="F154" s="11">
        <f t="shared" si="109"/>
        <v>5.7706766168548684</v>
      </c>
      <c r="G154" s="200">
        <f t="shared" si="110"/>
        <v>1.9721269530898367E-2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11"/>
      <c r="T154" s="11"/>
      <c r="U154" s="11"/>
    </row>
    <row r="155" spans="1:21" x14ac:dyDescent="0.3">
      <c r="A155" t="str">
        <f t="shared" si="107"/>
        <v>22 Health professionals</v>
      </c>
      <c r="B155" s="11">
        <v>3.9302103933050905</v>
      </c>
      <c r="C155" s="11">
        <v>4.8069826672837985</v>
      </c>
      <c r="D155" s="11">
        <f t="shared" si="108"/>
        <v>0.87677227397870805</v>
      </c>
      <c r="E155" s="11">
        <v>2.2383633700391057</v>
      </c>
      <c r="F155" s="11">
        <f t="shared" si="109"/>
        <v>3.1151356440178137</v>
      </c>
      <c r="G155" s="200">
        <f t="shared" si="110"/>
        <v>3.0507754518329877E-2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11"/>
      <c r="T155" s="11"/>
      <c r="U155" s="11"/>
    </row>
    <row r="156" spans="1:21" x14ac:dyDescent="0.3">
      <c r="A156" t="str">
        <f t="shared" si="107"/>
        <v>23 Teaching and other educational professionals</v>
      </c>
      <c r="B156" s="11">
        <v>1.6446493745941557</v>
      </c>
      <c r="C156" s="11">
        <v>1.2102870626477644</v>
      </c>
      <c r="D156" s="11">
        <f t="shared" si="108"/>
        <v>-0.4343623119463913</v>
      </c>
      <c r="E156" s="11">
        <v>0.63229104834439032</v>
      </c>
      <c r="F156" s="11">
        <f t="shared" si="109"/>
        <v>0.19792873639799902</v>
      </c>
      <c r="G156" s="200">
        <f>IF(B156&gt;0,(1+(E156/B156))^(1/($C$6-$B$6))-1,0)</f>
        <v>2.1923899940278879E-2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11"/>
      <c r="T156" s="11"/>
      <c r="U156" s="11"/>
    </row>
    <row r="157" spans="1:21" x14ac:dyDescent="0.3">
      <c r="A157" t="str">
        <f t="shared" si="107"/>
        <v>24 Business, media and public service professionals</v>
      </c>
      <c r="B157" s="11">
        <v>13.289509516695169</v>
      </c>
      <c r="C157" s="11">
        <v>17.238913801241356</v>
      </c>
      <c r="D157" s="11">
        <f t="shared" si="108"/>
        <v>3.949404284546187</v>
      </c>
      <c r="E157" s="11">
        <v>7.4622127227817296</v>
      </c>
      <c r="F157" s="11">
        <f t="shared" si="109"/>
        <v>11.411617007327916</v>
      </c>
      <c r="G157" s="200">
        <f t="shared" ref="G157:G178" si="111">IF(B157&gt;0,(1+(E157/B157))^(1/($C$6-$B$6))-1,0)</f>
        <v>3.0156039188238282E-2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11"/>
      <c r="T157" s="11"/>
      <c r="U157" s="11"/>
    </row>
    <row r="158" spans="1:21" x14ac:dyDescent="0.3">
      <c r="A158" t="str">
        <f t="shared" si="107"/>
        <v>31 Science, engineering and technology associate professionals</v>
      </c>
      <c r="B158" s="11">
        <v>7.4221426407156148</v>
      </c>
      <c r="C158" s="11">
        <v>6.2712493839878896</v>
      </c>
      <c r="D158" s="11">
        <f t="shared" si="108"/>
        <v>-1.1508932567277252</v>
      </c>
      <c r="E158" s="11">
        <v>2.445825536613321</v>
      </c>
      <c r="F158" s="11">
        <f t="shared" si="109"/>
        <v>1.2949322798855958</v>
      </c>
      <c r="G158" s="200">
        <f t="shared" si="111"/>
        <v>1.9169839274327583E-2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11"/>
      <c r="T158" s="11"/>
      <c r="U158" s="11"/>
    </row>
    <row r="159" spans="1:21" x14ac:dyDescent="0.3">
      <c r="A159" t="str">
        <f t="shared" si="107"/>
        <v>32 Health and social care associate professionals</v>
      </c>
      <c r="B159" s="11">
        <v>2.80899838782807</v>
      </c>
      <c r="C159" s="11">
        <v>3.0580346395453635</v>
      </c>
      <c r="D159" s="11">
        <f t="shared" si="108"/>
        <v>0.24903625171729349</v>
      </c>
      <c r="E159" s="11">
        <v>1.6343807948778739</v>
      </c>
      <c r="F159" s="11">
        <f t="shared" si="109"/>
        <v>1.8834170465951674</v>
      </c>
      <c r="G159" s="200">
        <f t="shared" si="111"/>
        <v>3.1044616764851485E-2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11"/>
      <c r="T159" s="11"/>
      <c r="U159" s="11"/>
    </row>
    <row r="160" spans="1:21" x14ac:dyDescent="0.3">
      <c r="A160" t="str">
        <f t="shared" si="107"/>
        <v>33 Protective service occupations</v>
      </c>
      <c r="B160" s="11">
        <v>1.6510993863428607</v>
      </c>
      <c r="C160" s="11">
        <v>2.4267658821771998</v>
      </c>
      <c r="D160" s="11">
        <f t="shared" si="108"/>
        <v>0.77566649583433911</v>
      </c>
      <c r="E160" s="11">
        <v>0.78045111328218209</v>
      </c>
      <c r="F160" s="11">
        <f t="shared" si="109"/>
        <v>1.5561176091165212</v>
      </c>
      <c r="G160" s="200">
        <f t="shared" si="111"/>
        <v>2.6141704320863157E-2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11"/>
      <c r="T160" s="11"/>
      <c r="U160" s="11"/>
    </row>
    <row r="161" spans="1:21" x14ac:dyDescent="0.3">
      <c r="A161" t="str">
        <f t="shared" si="107"/>
        <v>34 Culture, media and sports occupations</v>
      </c>
      <c r="B161" s="11">
        <v>3.9858671851394782</v>
      </c>
      <c r="C161" s="11">
        <v>3.3697133961616736</v>
      </c>
      <c r="D161" s="11">
        <f t="shared" si="108"/>
        <v>-0.6161537889778046</v>
      </c>
      <c r="E161" s="11">
        <v>1.5281372191315321</v>
      </c>
      <c r="F161" s="11">
        <f t="shared" ref="F161:F162" si="112">SUM(D161:E161)</f>
        <v>0.91198343015372751</v>
      </c>
      <c r="G161" s="200">
        <f t="shared" si="111"/>
        <v>2.1871497283733499E-2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11"/>
      <c r="T161" s="11"/>
      <c r="U161" s="11"/>
    </row>
    <row r="162" spans="1:21" x14ac:dyDescent="0.3">
      <c r="A162" t="str">
        <f t="shared" si="107"/>
        <v>35 Business and public service associate professionals</v>
      </c>
      <c r="B162" s="11">
        <v>13.280890673245711</v>
      </c>
      <c r="C162" s="11">
        <v>14.540270770596223</v>
      </c>
      <c r="D162" s="11">
        <f t="shared" si="108"/>
        <v>1.2593800973505118</v>
      </c>
      <c r="E162" s="11">
        <v>6.3670156231224233</v>
      </c>
      <c r="F162" s="11">
        <f t="shared" si="112"/>
        <v>7.6263957204729351</v>
      </c>
      <c r="G162" s="200">
        <f t="shared" si="111"/>
        <v>2.6453480766303494E-2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11"/>
      <c r="T162" s="11"/>
      <c r="U162" s="11"/>
    </row>
    <row r="163" spans="1:21" x14ac:dyDescent="0.3">
      <c r="A163" t="str">
        <f t="shared" si="107"/>
        <v>41 Administrative occupations</v>
      </c>
      <c r="B163" s="11">
        <v>18.301882492778784</v>
      </c>
      <c r="C163" s="11">
        <v>20.230898754982697</v>
      </c>
      <c r="D163" s="11">
        <f t="shared" si="108"/>
        <v>1.9290162622039126</v>
      </c>
      <c r="E163" s="11">
        <v>10.223698481630908</v>
      </c>
      <c r="F163" s="11">
        <f t="shared" ref="F163:F166" si="113">SUM(D163:E163)</f>
        <v>12.152714743834821</v>
      </c>
      <c r="G163" s="200">
        <f t="shared" si="111"/>
        <v>3.0028518080595257E-2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11"/>
      <c r="T163" s="11"/>
      <c r="U163" s="11"/>
    </row>
    <row r="164" spans="1:21" x14ac:dyDescent="0.3">
      <c r="A164" t="str">
        <f t="shared" si="107"/>
        <v>42 Secretarial and related occupations</v>
      </c>
      <c r="B164" s="11">
        <v>4.1334812401332446</v>
      </c>
      <c r="C164" s="11">
        <v>3.9339377815814998</v>
      </c>
      <c r="D164" s="11">
        <f t="shared" si="108"/>
        <v>-0.19954345855174482</v>
      </c>
      <c r="E164" s="11">
        <v>2.531013541881348</v>
      </c>
      <c r="F164" s="11">
        <f t="shared" si="113"/>
        <v>2.3314700833296031</v>
      </c>
      <c r="G164" s="200">
        <f t="shared" si="111"/>
        <v>3.2357421189737501E-2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11"/>
      <c r="T164" s="11"/>
      <c r="U164" s="11"/>
    </row>
    <row r="165" spans="1:21" x14ac:dyDescent="0.3">
      <c r="A165" t="str">
        <f t="shared" si="107"/>
        <v>51 Skilled agricultural and related trades</v>
      </c>
      <c r="B165" s="11">
        <v>2.5900785163916886</v>
      </c>
      <c r="C165" s="11">
        <v>4.1761982688698671</v>
      </c>
      <c r="D165" s="11">
        <f t="shared" si="108"/>
        <v>1.5861197524781785</v>
      </c>
      <c r="E165" s="11">
        <v>2.162303556305825</v>
      </c>
      <c r="F165" s="11">
        <f t="shared" si="113"/>
        <v>3.7484233087840035</v>
      </c>
      <c r="G165" s="200">
        <f t="shared" si="111"/>
        <v>4.1293669093316554E-2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11"/>
      <c r="T165" s="11"/>
      <c r="U165" s="11"/>
    </row>
    <row r="166" spans="1:21" x14ac:dyDescent="0.3">
      <c r="A166" t="str">
        <f t="shared" si="107"/>
        <v>52 Skilled metal, electrical and electronic trades</v>
      </c>
      <c r="B166" s="11">
        <v>8.0146576430492065</v>
      </c>
      <c r="C166" s="11">
        <v>10.707191933397066</v>
      </c>
      <c r="D166" s="11">
        <f t="shared" si="108"/>
        <v>2.6925342903478597</v>
      </c>
      <c r="E166" s="11">
        <v>4.1850039996531043</v>
      </c>
      <c r="F166" s="11">
        <f t="shared" si="113"/>
        <v>6.8775382900009641</v>
      </c>
      <c r="G166" s="200">
        <f t="shared" si="111"/>
        <v>2.8405018630696333E-2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11"/>
      <c r="T166" s="11"/>
      <c r="U166" s="11"/>
    </row>
    <row r="167" spans="1:21" x14ac:dyDescent="0.3">
      <c r="A167" t="str">
        <f t="shared" si="107"/>
        <v>53 Skilled construction and building trades</v>
      </c>
      <c r="B167" s="11">
        <v>2.9156649664981789</v>
      </c>
      <c r="C167" s="11">
        <v>4.3087494885200339</v>
      </c>
      <c r="D167" s="11">
        <f t="shared" si="108"/>
        <v>1.3930845220218551</v>
      </c>
      <c r="E167" s="11">
        <v>2.141843905815533</v>
      </c>
      <c r="F167" s="11">
        <f t="shared" ref="F167" si="114">SUM(D167:E167)</f>
        <v>3.534928427837388</v>
      </c>
      <c r="G167" s="200">
        <f t="shared" si="111"/>
        <v>3.740085673123783E-2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11"/>
      <c r="T167" s="11"/>
      <c r="U167" s="11"/>
    </row>
    <row r="168" spans="1:21" x14ac:dyDescent="0.3">
      <c r="A168" t="str">
        <f t="shared" si="107"/>
        <v>54 Textiles, printing and other skilled trades</v>
      </c>
      <c r="B168" s="11">
        <v>2.4734845242703316</v>
      </c>
      <c r="C168" s="11">
        <v>3.368061024270415</v>
      </c>
      <c r="D168" s="11">
        <f t="shared" si="108"/>
        <v>0.89457650000008337</v>
      </c>
      <c r="E168" s="11">
        <v>1.5654196391554402</v>
      </c>
      <c r="F168" s="11">
        <f t="shared" ref="F168" si="115">SUM(D168:E168)</f>
        <v>2.4599961391555238</v>
      </c>
      <c r="G168" s="200">
        <f t="shared" si="111"/>
        <v>3.3229879188437117E-2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11"/>
      <c r="T168" s="11"/>
      <c r="U168" s="11"/>
    </row>
    <row r="169" spans="1:21" x14ac:dyDescent="0.3">
      <c r="A169" t="str">
        <f t="shared" si="107"/>
        <v>61 Caring personal service occupations</v>
      </c>
      <c r="B169" s="11">
        <v>14.178751529234212</v>
      </c>
      <c r="C169" s="11">
        <v>17.442801208874968</v>
      </c>
      <c r="D169" s="11">
        <f>C169-B169</f>
        <v>3.2640496796407561</v>
      </c>
      <c r="E169" s="11">
        <v>9.2372821636293594</v>
      </c>
      <c r="F169" s="11">
        <f>SUM(D169:E169)</f>
        <v>12.501331843270115</v>
      </c>
      <c r="G169" s="200">
        <f t="shared" si="111"/>
        <v>3.401067605217678E-2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11"/>
      <c r="T169" s="11"/>
      <c r="U169" s="11"/>
    </row>
    <row r="170" spans="1:21" x14ac:dyDescent="0.3">
      <c r="A170" t="str">
        <f t="shared" si="107"/>
        <v>62 Leisure, travel and related personal service occupations</v>
      </c>
      <c r="B170" s="11">
        <v>6.3083263903620272</v>
      </c>
      <c r="C170" s="11">
        <v>10.189144381128756</v>
      </c>
      <c r="D170" s="11">
        <f t="shared" ref="D170:D176" si="116">C170-B170</f>
        <v>3.8808179907667286</v>
      </c>
      <c r="E170" s="11">
        <v>5.0013758062394382</v>
      </c>
      <c r="F170" s="11">
        <f t="shared" ref="F170:F171" si="117">SUM(D170:E170)</f>
        <v>8.8821937970061668</v>
      </c>
      <c r="G170" s="200">
        <f t="shared" si="111"/>
        <v>3.9686650249093569E-2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11"/>
      <c r="T170" s="11"/>
      <c r="U170" s="11"/>
    </row>
    <row r="171" spans="1:21" x14ac:dyDescent="0.3">
      <c r="A171" t="str">
        <f t="shared" si="107"/>
        <v>63 Community and civil enforcement occupations</v>
      </c>
      <c r="B171" s="11">
        <v>0.14495383122289429</v>
      </c>
      <c r="C171" s="11">
        <v>0.14151520017657765</v>
      </c>
      <c r="D171" s="11">
        <f t="shared" si="116"/>
        <v>-3.4386310463166425E-3</v>
      </c>
      <c r="E171" s="11">
        <v>7.9231851540749576E-2</v>
      </c>
      <c r="F171" s="11">
        <f t="shared" si="117"/>
        <v>7.5793220494432934E-2</v>
      </c>
      <c r="G171" s="200">
        <f t="shared" si="111"/>
        <v>2.949729933248002E-2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11"/>
      <c r="T171" s="11"/>
      <c r="U171" s="11"/>
    </row>
    <row r="172" spans="1:21" x14ac:dyDescent="0.3">
      <c r="A172" t="str">
        <f t="shared" si="107"/>
        <v>71 Sales occupations</v>
      </c>
      <c r="B172" s="11">
        <v>6.9471758442137848</v>
      </c>
      <c r="C172" s="11">
        <v>7.7476253386633189</v>
      </c>
      <c r="D172" s="11">
        <f t="shared" si="116"/>
        <v>0.80044949444953417</v>
      </c>
      <c r="E172" s="11">
        <v>3.2412176203312462</v>
      </c>
      <c r="F172" s="11">
        <f t="shared" ref="F172:F173" si="118">SUM(D172:E172)</f>
        <v>4.0416671147807808</v>
      </c>
      <c r="G172" s="200">
        <f t="shared" si="111"/>
        <v>2.5856216305259139E-2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11"/>
      <c r="T172" s="11"/>
      <c r="U172" s="11"/>
    </row>
    <row r="173" spans="1:21" x14ac:dyDescent="0.3">
      <c r="A173" t="str">
        <f t="shared" si="107"/>
        <v>72 Customer service occupations</v>
      </c>
      <c r="B173" s="11">
        <v>3.1381019575791442</v>
      </c>
      <c r="C173" s="11">
        <v>4.9197529222608631</v>
      </c>
      <c r="D173" s="11">
        <f t="shared" si="116"/>
        <v>1.7816509646817189</v>
      </c>
      <c r="E173" s="11">
        <v>2.0676887207821455</v>
      </c>
      <c r="F173" s="11">
        <f t="shared" si="118"/>
        <v>3.8493396854638644</v>
      </c>
      <c r="G173" s="200">
        <f t="shared" si="111"/>
        <v>3.4319335517823957E-2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11"/>
      <c r="T173" s="11"/>
      <c r="U173" s="11"/>
    </row>
    <row r="174" spans="1:21" x14ac:dyDescent="0.3">
      <c r="A174" t="str">
        <f t="shared" si="107"/>
        <v>81 Process, plant and machine operatives</v>
      </c>
      <c r="B174" s="11">
        <v>2.4955913553021078</v>
      </c>
      <c r="C174" s="11">
        <v>5.0991801238573551</v>
      </c>
      <c r="D174" s="11">
        <f t="shared" si="116"/>
        <v>2.6035887685552472</v>
      </c>
      <c r="E174" s="11">
        <v>1.9079086052212721</v>
      </c>
      <c r="F174" s="11">
        <f t="shared" ref="F174:F175" si="119">SUM(D174:E174)</f>
        <v>4.5114973737765194</v>
      </c>
      <c r="G174" s="200">
        <f t="shared" si="111"/>
        <v>3.8584017218680433E-2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11"/>
      <c r="T174" s="11"/>
      <c r="U174" s="11"/>
    </row>
    <row r="175" spans="1:21" x14ac:dyDescent="0.3">
      <c r="A175" t="str">
        <f t="shared" si="107"/>
        <v>82 Transport and mobile machine drivers and operatives</v>
      </c>
      <c r="B175" s="11">
        <v>4.231892386537127</v>
      </c>
      <c r="C175" s="11">
        <v>6.7633323923779276</v>
      </c>
      <c r="D175" s="11">
        <f t="shared" si="116"/>
        <v>2.5314400058408006</v>
      </c>
      <c r="E175" s="11">
        <v>3.8393023030549647</v>
      </c>
      <c r="F175" s="11">
        <f t="shared" si="119"/>
        <v>6.3707423088957658</v>
      </c>
      <c r="G175" s="200">
        <f t="shared" si="111"/>
        <v>4.3983289489663679E-2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11"/>
      <c r="T175" s="11"/>
      <c r="U175" s="11"/>
    </row>
    <row r="176" spans="1:21" x14ac:dyDescent="0.3">
      <c r="A176" t="str">
        <f t="shared" si="107"/>
        <v>91 Elementary trades and related occupations</v>
      </c>
      <c r="B176" s="11">
        <v>1.6378787828585293</v>
      </c>
      <c r="C176" s="11">
        <v>1.8811675954858622</v>
      </c>
      <c r="D176" s="11">
        <f t="shared" si="116"/>
        <v>0.24328881262733293</v>
      </c>
      <c r="E176" s="11">
        <v>0.84444650238253405</v>
      </c>
      <c r="F176" s="11">
        <f t="shared" ref="F176" si="120">SUM(D176:E176)</f>
        <v>1.087735315009867</v>
      </c>
      <c r="G176" s="200">
        <f t="shared" si="111"/>
        <v>2.8107345996451816E-2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11"/>
      <c r="T176" s="11"/>
      <c r="U176" s="11"/>
    </row>
    <row r="177" spans="1:21" x14ac:dyDescent="0.3">
      <c r="A177" t="str">
        <f t="shared" si="107"/>
        <v>92 Elementary administration and service occupations</v>
      </c>
      <c r="B177" s="11">
        <v>10.688040708542054</v>
      </c>
      <c r="C177" s="11">
        <v>16.81816548449812</v>
      </c>
      <c r="D177" s="11">
        <f t="shared" ref="D177" si="121">C177-B177</f>
        <v>6.130124775956066</v>
      </c>
      <c r="E177" s="11">
        <v>8.2160648947245054</v>
      </c>
      <c r="F177" s="11">
        <f t="shared" ref="F177" si="122">SUM(D177:E177)</f>
        <v>14.346189670680571</v>
      </c>
      <c r="G177" s="200">
        <f t="shared" ref="G177" si="123">IF(B177&gt;0,(1+(E177/B177))^(1/($C$6-$B$6))-1,0)</f>
        <v>3.8748801473842853E-2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11"/>
      <c r="T177" s="11"/>
      <c r="U177" s="11"/>
    </row>
    <row r="178" spans="1:21" x14ac:dyDescent="0.3">
      <c r="A178" t="str">
        <f t="shared" si="107"/>
        <v>All occupations</v>
      </c>
      <c r="B178" s="11">
        <f>SUM(B152:B177)</f>
        <v>183.52610792279154</v>
      </c>
      <c r="C178" s="11">
        <f t="shared" ref="C178:F178" si="124">SUM(C152:C177)</f>
        <v>223.47715854059464</v>
      </c>
      <c r="D178" s="11">
        <f t="shared" si="124"/>
        <v>39.951050617803162</v>
      </c>
      <c r="E178" s="11">
        <f t="shared" si="124"/>
        <v>103.84349204525722</v>
      </c>
      <c r="F178" s="11">
        <f t="shared" si="124"/>
        <v>143.79454266306035</v>
      </c>
      <c r="G178" s="200">
        <f t="shared" si="111"/>
        <v>3.034546660367976E-2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11"/>
      <c r="T178" s="11"/>
      <c r="U178" s="11"/>
    </row>
    <row r="179" spans="1:21" x14ac:dyDescent="0.3">
      <c r="I179" s="11"/>
      <c r="J179" s="11"/>
      <c r="K179" s="11"/>
      <c r="L179" s="11"/>
      <c r="M179" s="11"/>
      <c r="N179" s="11"/>
      <c r="P179" s="11"/>
      <c r="Q179" s="11"/>
      <c r="R179" s="11"/>
      <c r="S179" s="11"/>
      <c r="T179" s="11"/>
      <c r="U179" s="11"/>
    </row>
    <row r="180" spans="1:21" ht="24.9" x14ac:dyDescent="0.3">
      <c r="A180" s="201" t="str">
        <f>CONCATENATE(name!F9," (Constrained)")</f>
        <v>RQF3 A level &amp; equivalent (Constrained)</v>
      </c>
      <c r="B180" s="74">
        <f t="shared" ref="B180:G180" si="125">B93</f>
        <v>2020</v>
      </c>
      <c r="C180" s="74">
        <f t="shared" si="125"/>
        <v>2035</v>
      </c>
      <c r="D180" s="87" t="str">
        <f t="shared" si="125"/>
        <v>Net Change</v>
      </c>
      <c r="E180" s="87" t="str">
        <f t="shared" si="125"/>
        <v>Replacement Demand level</v>
      </c>
      <c r="F180" s="87" t="str">
        <f t="shared" si="125"/>
        <v>Total Requirement</v>
      </c>
      <c r="G180" s="87" t="str">
        <f t="shared" si="125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11"/>
      <c r="T180" s="11"/>
      <c r="U180" s="11"/>
    </row>
    <row r="181" spans="1:21" x14ac:dyDescent="0.3">
      <c r="A181" t="str">
        <f t="shared" ref="A181:A207" si="126">A94</f>
        <v>11 Corporate managers and directors</v>
      </c>
      <c r="B181" s="11">
        <v>46.459644332484118</v>
      </c>
      <c r="C181" s="11">
        <v>49.067230663606971</v>
      </c>
      <c r="D181" s="11">
        <f>C181-B181</f>
        <v>2.6075863311228531</v>
      </c>
      <c r="E181" s="11">
        <v>20.56555732231736</v>
      </c>
      <c r="F181" s="11">
        <f>SUM(D181:E181)</f>
        <v>23.173143653440214</v>
      </c>
      <c r="G181" s="200">
        <f>IF(B181&gt;0,(1+(E181/B181))^(1/($C$6-$B$6))-1,0)</f>
        <v>2.4733222573009028E-2</v>
      </c>
      <c r="I181" s="11"/>
      <c r="J181" s="11"/>
      <c r="K181" s="11"/>
      <c r="L181" s="11"/>
      <c r="M181" s="11"/>
      <c r="N181" s="11"/>
      <c r="P181" s="81"/>
      <c r="Q181" s="72"/>
    </row>
    <row r="182" spans="1:21" x14ac:dyDescent="0.3">
      <c r="A182" t="str">
        <f t="shared" si="126"/>
        <v>12 Other managers and proprietors</v>
      </c>
      <c r="B182" s="11">
        <v>18.82818058482712</v>
      </c>
      <c r="C182" s="11">
        <v>26.605495430586679</v>
      </c>
      <c r="D182" s="11">
        <f t="shared" ref="D182:D197" si="127">C182-B182</f>
        <v>7.7773148457595589</v>
      </c>
      <c r="E182" s="11">
        <v>11.864767311181131</v>
      </c>
      <c r="F182" s="11">
        <f t="shared" ref="F182:F189" si="128">SUM(D182:E182)</f>
        <v>19.642082156940688</v>
      </c>
      <c r="G182" s="200">
        <f t="shared" ref="G182:G184" si="129">IF(B182&gt;0,(1+(E182/B182))^(1/($C$6-$B$6))-1,0)</f>
        <v>3.3115037919597246E-2</v>
      </c>
      <c r="I182" s="11"/>
      <c r="J182" s="11"/>
      <c r="K182" s="11"/>
      <c r="L182" s="11"/>
      <c r="M182" s="11"/>
      <c r="N182" s="11"/>
    </row>
    <row r="183" spans="1:21" x14ac:dyDescent="0.3">
      <c r="A183" t="str">
        <f t="shared" si="126"/>
        <v>21 Science, research, engineering and technology professionals</v>
      </c>
      <c r="B183" s="11">
        <v>27.107161415701832</v>
      </c>
      <c r="C183" s="11">
        <v>28.274408845199574</v>
      </c>
      <c r="D183" s="11">
        <f t="shared" si="127"/>
        <v>1.167247429497742</v>
      </c>
      <c r="E183" s="11">
        <v>8.1412180458307724</v>
      </c>
      <c r="F183" s="11">
        <f t="shared" si="128"/>
        <v>9.3084654753285143</v>
      </c>
      <c r="G183" s="200">
        <f t="shared" si="129"/>
        <v>1.7662272211845353E-2</v>
      </c>
      <c r="I183" s="11"/>
      <c r="J183" s="11"/>
      <c r="K183" s="11"/>
      <c r="L183" s="11"/>
      <c r="M183" s="11"/>
      <c r="N183" s="11"/>
    </row>
    <row r="184" spans="1:21" x14ac:dyDescent="0.3">
      <c r="A184" t="str">
        <f t="shared" si="126"/>
        <v>22 Health professionals</v>
      </c>
      <c r="B184" s="11">
        <v>12.056025049283438</v>
      </c>
      <c r="C184" s="11">
        <v>15.270435965968309</v>
      </c>
      <c r="D184" s="11">
        <f t="shared" si="127"/>
        <v>3.2144109166848711</v>
      </c>
      <c r="E184" s="11">
        <v>8.2775696853786389</v>
      </c>
      <c r="F184" s="11">
        <f t="shared" si="128"/>
        <v>11.49198060206351</v>
      </c>
      <c r="G184" s="200">
        <f t="shared" si="129"/>
        <v>3.5461608814466583E-2</v>
      </c>
      <c r="I184" s="11"/>
      <c r="J184" s="11"/>
      <c r="K184" s="11"/>
      <c r="L184" s="11"/>
      <c r="M184" s="11"/>
      <c r="N184" s="11"/>
    </row>
    <row r="185" spans="1:21" x14ac:dyDescent="0.3">
      <c r="A185" t="str">
        <f t="shared" si="126"/>
        <v>23 Teaching and other educational professionals</v>
      </c>
      <c r="B185" s="11">
        <v>6.2228142998143916</v>
      </c>
      <c r="C185" s="11">
        <v>8.4430090997503964</v>
      </c>
      <c r="D185" s="11">
        <f t="shared" si="127"/>
        <v>2.2201947999360048</v>
      </c>
      <c r="E185" s="11">
        <v>3.0351042572318851</v>
      </c>
      <c r="F185" s="11">
        <f t="shared" si="128"/>
        <v>5.2552990571678899</v>
      </c>
      <c r="G185" s="200">
        <f>IF(B185&gt;0,(1+(E185/B185))^(1/($C$6-$B$6))-1,0)</f>
        <v>2.6837611079940871E-2</v>
      </c>
      <c r="I185" s="11"/>
      <c r="J185" s="11"/>
      <c r="K185" s="11"/>
      <c r="L185" s="11"/>
      <c r="M185" s="11"/>
      <c r="N185" s="11"/>
    </row>
    <row r="186" spans="1:21" x14ac:dyDescent="0.3">
      <c r="A186" t="str">
        <f t="shared" si="126"/>
        <v>24 Business, media and public service professionals</v>
      </c>
      <c r="B186" s="11">
        <v>28.376406435269647</v>
      </c>
      <c r="C186" s="11">
        <v>37.720379768957919</v>
      </c>
      <c r="D186" s="11">
        <f t="shared" si="127"/>
        <v>9.3439733336882718</v>
      </c>
      <c r="E186" s="11">
        <v>14.430282893528132</v>
      </c>
      <c r="F186" s="11">
        <f t="shared" si="128"/>
        <v>23.774256227216405</v>
      </c>
      <c r="G186" s="200">
        <f t="shared" ref="G186:G207" si="130">IF(B186&gt;0,(1+(E186/B186))^(1/($C$6-$B$6))-1,0)</f>
        <v>2.7788174125208176E-2</v>
      </c>
      <c r="I186" s="11"/>
      <c r="J186" s="11"/>
      <c r="K186" s="11"/>
      <c r="L186" s="11"/>
      <c r="M186" s="11"/>
      <c r="N186" s="11"/>
    </row>
    <row r="187" spans="1:21" x14ac:dyDescent="0.3">
      <c r="A187" t="str">
        <f t="shared" si="126"/>
        <v>31 Science, engineering and technology associate professionals</v>
      </c>
      <c r="B187" s="11">
        <v>10.800018425661415</v>
      </c>
      <c r="C187" s="11">
        <v>7.2130787242714547</v>
      </c>
      <c r="D187" s="11">
        <f t="shared" si="127"/>
        <v>-3.5869397013899604</v>
      </c>
      <c r="E187" s="11">
        <v>3.0237381812745312</v>
      </c>
      <c r="F187" s="11">
        <f t="shared" si="128"/>
        <v>-0.56320152011542923</v>
      </c>
      <c r="G187" s="200">
        <f t="shared" si="130"/>
        <v>1.6592197603240377E-2</v>
      </c>
      <c r="I187" s="11"/>
      <c r="J187" s="11"/>
      <c r="K187" s="11"/>
      <c r="L187" s="11"/>
      <c r="M187" s="11"/>
      <c r="N187" s="11"/>
    </row>
    <row r="188" spans="1:21" x14ac:dyDescent="0.3">
      <c r="A188" t="str">
        <f t="shared" si="126"/>
        <v>32 Health and social care associate professionals</v>
      </c>
      <c r="B188" s="11">
        <v>9.6709893796944808</v>
      </c>
      <c r="C188" s="11">
        <v>12.073373274254953</v>
      </c>
      <c r="D188" s="11">
        <f t="shared" si="127"/>
        <v>2.4023838945604723</v>
      </c>
      <c r="E188" s="11">
        <v>6.8627585105521485</v>
      </c>
      <c r="F188" s="11">
        <f t="shared" si="128"/>
        <v>9.2651424051126199</v>
      </c>
      <c r="G188" s="200">
        <f t="shared" si="130"/>
        <v>3.6398304077455368E-2</v>
      </c>
      <c r="I188" s="11"/>
      <c r="J188" s="11"/>
      <c r="K188" s="11"/>
      <c r="L188" s="11"/>
      <c r="M188" s="11"/>
      <c r="N188" s="11"/>
    </row>
    <row r="189" spans="1:21" x14ac:dyDescent="0.3">
      <c r="A189" t="str">
        <f t="shared" si="126"/>
        <v>33 Protective service occupations</v>
      </c>
      <c r="B189" s="11">
        <v>5.7490938348596581</v>
      </c>
      <c r="C189" s="11">
        <v>7.88617232208889</v>
      </c>
      <c r="D189" s="11">
        <f t="shared" si="127"/>
        <v>2.1370784872292319</v>
      </c>
      <c r="E189" s="11">
        <v>1.9113265137086457</v>
      </c>
      <c r="F189" s="11">
        <f t="shared" si="128"/>
        <v>4.048405000937878</v>
      </c>
      <c r="G189" s="200">
        <f t="shared" si="130"/>
        <v>1.9319220897283218E-2</v>
      </c>
      <c r="I189" s="11"/>
      <c r="J189" s="11"/>
      <c r="K189" s="11"/>
      <c r="L189" s="11"/>
      <c r="M189" s="11"/>
      <c r="N189" s="11"/>
    </row>
    <row r="190" spans="1:21" x14ac:dyDescent="0.3">
      <c r="A190" t="str">
        <f t="shared" si="126"/>
        <v>34 Culture, media and sports occupations</v>
      </c>
      <c r="B190" s="11">
        <v>10.363670848500623</v>
      </c>
      <c r="C190" s="11">
        <v>9.9461699888887054</v>
      </c>
      <c r="D190" s="11">
        <f t="shared" si="127"/>
        <v>-0.41750085961191807</v>
      </c>
      <c r="E190" s="11">
        <v>3.6394018825012129</v>
      </c>
      <c r="F190" s="11">
        <f t="shared" ref="F190:F191" si="131">SUM(D190:E190)</f>
        <v>3.2219010228892948</v>
      </c>
      <c r="G190" s="200">
        <f t="shared" si="130"/>
        <v>2.0267334445369212E-2</v>
      </c>
      <c r="I190" s="11"/>
      <c r="J190" s="11"/>
      <c r="K190" s="11"/>
      <c r="L190" s="11"/>
      <c r="M190" s="11"/>
      <c r="N190" s="11"/>
    </row>
    <row r="191" spans="1:21" x14ac:dyDescent="0.3">
      <c r="A191" t="str">
        <f t="shared" si="126"/>
        <v>35 Business and public service associate professionals</v>
      </c>
      <c r="B191" s="11">
        <v>35.694597325302986</v>
      </c>
      <c r="C191" s="11">
        <v>34.328996251304311</v>
      </c>
      <c r="D191" s="11">
        <f t="shared" si="127"/>
        <v>-1.3656010739986755</v>
      </c>
      <c r="E191" s="11">
        <v>15.227068176345265</v>
      </c>
      <c r="F191" s="11">
        <f t="shared" si="131"/>
        <v>13.861467102346589</v>
      </c>
      <c r="G191" s="200">
        <f t="shared" si="130"/>
        <v>2.3968682475816738E-2</v>
      </c>
      <c r="I191" s="11"/>
      <c r="J191" s="11"/>
      <c r="K191" s="11"/>
      <c r="L191" s="11"/>
      <c r="M191" s="11"/>
      <c r="N191" s="11"/>
    </row>
    <row r="192" spans="1:21" x14ac:dyDescent="0.3">
      <c r="A192" t="str">
        <f t="shared" si="126"/>
        <v>41 Administrative occupations</v>
      </c>
      <c r="B192" s="11">
        <v>51.364349121008757</v>
      </c>
      <c r="C192" s="11">
        <v>42.800089836410372</v>
      </c>
      <c r="D192" s="11">
        <f t="shared" si="127"/>
        <v>-8.5642592845983856</v>
      </c>
      <c r="E192" s="11">
        <v>23.666527925842928</v>
      </c>
      <c r="F192" s="11">
        <f t="shared" ref="F192:F195" si="132">SUM(D192:E192)</f>
        <v>15.102268641244542</v>
      </c>
      <c r="G192" s="200">
        <f t="shared" si="130"/>
        <v>2.5585524104376978E-2</v>
      </c>
      <c r="I192" s="11"/>
      <c r="J192" s="11"/>
      <c r="K192" s="11"/>
      <c r="L192" s="11"/>
      <c r="M192" s="11"/>
      <c r="N192" s="11"/>
    </row>
    <row r="193" spans="1:14" x14ac:dyDescent="0.3">
      <c r="A193" t="str">
        <f t="shared" si="126"/>
        <v>42 Secretarial and related occupations</v>
      </c>
      <c r="B193" s="11">
        <v>12.62308671036627</v>
      </c>
      <c r="C193" s="11">
        <v>9.541794691691404</v>
      </c>
      <c r="D193" s="11">
        <f t="shared" si="127"/>
        <v>-3.0812920186748656</v>
      </c>
      <c r="E193" s="11">
        <v>7.1726516426755271</v>
      </c>
      <c r="F193" s="11">
        <f t="shared" si="132"/>
        <v>4.0913596240006616</v>
      </c>
      <c r="G193" s="200">
        <f t="shared" si="130"/>
        <v>3.0450361572978313E-2</v>
      </c>
      <c r="I193" s="11"/>
      <c r="J193" s="11"/>
      <c r="K193" s="11"/>
      <c r="L193" s="11"/>
      <c r="M193" s="11"/>
      <c r="N193" s="11"/>
    </row>
    <row r="194" spans="1:14" x14ac:dyDescent="0.3">
      <c r="A194" t="str">
        <f t="shared" si="126"/>
        <v>51 Skilled agricultural and related trades</v>
      </c>
      <c r="B194" s="11">
        <v>3.5728215344385874</v>
      </c>
      <c r="C194" s="11">
        <v>4.3221584471791079</v>
      </c>
      <c r="D194" s="11">
        <f t="shared" si="127"/>
        <v>0.7493369127405205</v>
      </c>
      <c r="E194" s="11">
        <v>2.1019753335944613</v>
      </c>
      <c r="F194" s="11">
        <f t="shared" si="132"/>
        <v>2.8513122463349818</v>
      </c>
      <c r="G194" s="200">
        <f t="shared" si="130"/>
        <v>3.1325920609854618E-2</v>
      </c>
      <c r="I194" s="11"/>
      <c r="J194" s="11"/>
      <c r="K194" s="11"/>
      <c r="L194" s="11"/>
      <c r="M194" s="11"/>
      <c r="N194" s="11"/>
    </row>
    <row r="195" spans="1:14" x14ac:dyDescent="0.3">
      <c r="A195" t="str">
        <f t="shared" si="126"/>
        <v>52 Skilled metal, electrical and electronic trades</v>
      </c>
      <c r="B195" s="11">
        <v>39.017479064227125</v>
      </c>
      <c r="C195" s="11">
        <v>41.715514131284621</v>
      </c>
      <c r="D195" s="11">
        <f t="shared" si="127"/>
        <v>2.6980350670574964</v>
      </c>
      <c r="E195" s="11">
        <v>14.356088151168487</v>
      </c>
      <c r="F195" s="11">
        <f t="shared" si="132"/>
        <v>17.054123218225982</v>
      </c>
      <c r="G195" s="200">
        <f t="shared" si="130"/>
        <v>2.1106721371890735E-2</v>
      </c>
      <c r="I195" s="81"/>
      <c r="J195" s="72"/>
    </row>
    <row r="196" spans="1:14" x14ac:dyDescent="0.3">
      <c r="A196" t="str">
        <f t="shared" si="126"/>
        <v>53 Skilled construction and building trades</v>
      </c>
      <c r="B196" s="11">
        <v>25.34532098683303</v>
      </c>
      <c r="C196" s="11">
        <v>24.52116192495367</v>
      </c>
      <c r="D196" s="11">
        <f t="shared" si="127"/>
        <v>-0.82415906187936017</v>
      </c>
      <c r="E196" s="11">
        <v>9.8849644786940445</v>
      </c>
      <c r="F196" s="11">
        <f t="shared" ref="F196" si="133">SUM(D196:E196)</f>
        <v>9.0608054168146843</v>
      </c>
      <c r="G196" s="200">
        <f t="shared" si="130"/>
        <v>2.2196895815375539E-2</v>
      </c>
    </row>
    <row r="197" spans="1:14" x14ac:dyDescent="0.3">
      <c r="A197" t="str">
        <f t="shared" si="126"/>
        <v>54 Textiles, printing and other skilled trades</v>
      </c>
      <c r="B197" s="11">
        <v>14.390901756978971</v>
      </c>
      <c r="C197" s="11">
        <v>18.198807381296803</v>
      </c>
      <c r="D197" s="11">
        <f t="shared" si="127"/>
        <v>3.8079056243178311</v>
      </c>
      <c r="E197" s="11">
        <v>7.1883175763063933</v>
      </c>
      <c r="F197" s="11">
        <f t="shared" ref="F197" si="134">SUM(D197:E197)</f>
        <v>10.996223200624225</v>
      </c>
      <c r="G197" s="200">
        <f t="shared" si="130"/>
        <v>2.7377021666292523E-2</v>
      </c>
    </row>
    <row r="198" spans="1:14" x14ac:dyDescent="0.3">
      <c r="A198" t="str">
        <f t="shared" si="126"/>
        <v>61 Caring personal service occupations</v>
      </c>
      <c r="B198" s="11">
        <v>77.106740000547887</v>
      </c>
      <c r="C198" s="11">
        <v>103.98812431338921</v>
      </c>
      <c r="D198" s="11">
        <f>C198-B198</f>
        <v>26.88138431284132</v>
      </c>
      <c r="E198" s="11">
        <v>55.700069025007359</v>
      </c>
      <c r="F198" s="11">
        <f>SUM(D198:E198)</f>
        <v>82.581453337848671</v>
      </c>
      <c r="G198" s="200">
        <f t="shared" si="130"/>
        <v>3.6911919170911078E-2</v>
      </c>
    </row>
    <row r="199" spans="1:14" x14ac:dyDescent="0.3">
      <c r="A199" t="str">
        <f t="shared" si="126"/>
        <v>62 Leisure, travel and related personal service occupations</v>
      </c>
      <c r="B199" s="11">
        <v>17.661963615722669</v>
      </c>
      <c r="C199" s="11">
        <v>17.447754924190829</v>
      </c>
      <c r="D199" s="11">
        <f t="shared" ref="D199:D205" si="135">C199-B199</f>
        <v>-0.21420869153184086</v>
      </c>
      <c r="E199" s="11">
        <v>8.5618374531176169</v>
      </c>
      <c r="F199" s="11">
        <f t="shared" ref="F199:F200" si="136">SUM(D199:E199)</f>
        <v>8.347628761585776</v>
      </c>
      <c r="G199" s="200">
        <f t="shared" si="130"/>
        <v>2.6700508372311083E-2</v>
      </c>
    </row>
    <row r="200" spans="1:14" x14ac:dyDescent="0.3">
      <c r="A200" t="str">
        <f t="shared" si="126"/>
        <v>63 Community and civil enforcement occupations</v>
      </c>
      <c r="B200" s="11">
        <v>0.52363456486071225</v>
      </c>
      <c r="C200" s="11">
        <v>0.42226620004102633</v>
      </c>
      <c r="D200" s="11">
        <f t="shared" si="135"/>
        <v>-0.10136836481968592</v>
      </c>
      <c r="E200" s="11">
        <v>0.15302132782809025</v>
      </c>
      <c r="F200" s="11">
        <f t="shared" si="136"/>
        <v>5.1652963008404329E-2</v>
      </c>
      <c r="G200" s="200">
        <f t="shared" si="130"/>
        <v>1.7238145504655744E-2</v>
      </c>
    </row>
    <row r="201" spans="1:14" x14ac:dyDescent="0.3">
      <c r="A201" t="str">
        <f t="shared" si="126"/>
        <v>71 Sales occupations</v>
      </c>
      <c r="B201" s="11">
        <v>49.278899496044701</v>
      </c>
      <c r="C201" s="11">
        <v>53.195908919679646</v>
      </c>
      <c r="D201" s="11">
        <f t="shared" si="135"/>
        <v>3.9170094236349442</v>
      </c>
      <c r="E201" s="11">
        <v>23.533730765614649</v>
      </c>
      <c r="F201" s="11">
        <f t="shared" ref="F201:F202" si="137">SUM(D201:E201)</f>
        <v>27.450740189249593</v>
      </c>
      <c r="G201" s="200">
        <f t="shared" si="130"/>
        <v>2.6367869437492031E-2</v>
      </c>
    </row>
    <row r="202" spans="1:14" x14ac:dyDescent="0.3">
      <c r="A202" t="str">
        <f t="shared" si="126"/>
        <v>72 Customer service occupations</v>
      </c>
      <c r="B202" s="11">
        <v>11.510443866440717</v>
      </c>
      <c r="C202" s="11">
        <v>16.525093710149065</v>
      </c>
      <c r="D202" s="11">
        <f t="shared" si="135"/>
        <v>5.014649843708348</v>
      </c>
      <c r="E202" s="11">
        <v>6.883016256721568</v>
      </c>
      <c r="F202" s="11">
        <f t="shared" si="137"/>
        <v>11.897666100429916</v>
      </c>
      <c r="G202" s="200">
        <f t="shared" si="130"/>
        <v>3.1742746344924466E-2</v>
      </c>
    </row>
    <row r="203" spans="1:14" x14ac:dyDescent="0.3">
      <c r="A203" t="str">
        <f t="shared" si="126"/>
        <v>81 Process, plant and machine operatives</v>
      </c>
      <c r="B203" s="11">
        <v>13.984828249420941</v>
      </c>
      <c r="C203" s="11">
        <v>24.615489091944593</v>
      </c>
      <c r="D203" s="11">
        <f t="shared" si="135"/>
        <v>10.630660842523652</v>
      </c>
      <c r="E203" s="11">
        <v>7.6361688192005337</v>
      </c>
      <c r="F203" s="11">
        <f t="shared" ref="F203:F204" si="138">SUM(D203:E203)</f>
        <v>18.266829661724184</v>
      </c>
      <c r="G203" s="200">
        <f t="shared" si="130"/>
        <v>2.9472078363578458E-2</v>
      </c>
    </row>
    <row r="204" spans="1:14" x14ac:dyDescent="0.3">
      <c r="A204" t="str">
        <f t="shared" si="126"/>
        <v>82 Transport and mobile machine drivers and operatives</v>
      </c>
      <c r="B204" s="11">
        <v>21.077424320423781</v>
      </c>
      <c r="C204" s="11">
        <v>31.685172482271014</v>
      </c>
      <c r="D204" s="11">
        <f t="shared" si="135"/>
        <v>10.607748161847233</v>
      </c>
      <c r="E204" s="11">
        <v>13.997245123781735</v>
      </c>
      <c r="F204" s="11">
        <f t="shared" si="138"/>
        <v>24.604993285628968</v>
      </c>
      <c r="G204" s="200">
        <f t="shared" si="130"/>
        <v>3.4534718289880972E-2</v>
      </c>
    </row>
    <row r="205" spans="1:14" x14ac:dyDescent="0.3">
      <c r="A205" t="str">
        <f t="shared" si="126"/>
        <v>91 Elementary trades and related occupations</v>
      </c>
      <c r="B205" s="11">
        <v>7.1754059133005219</v>
      </c>
      <c r="C205" s="11">
        <v>10.281799293340869</v>
      </c>
      <c r="D205" s="11">
        <f t="shared" si="135"/>
        <v>3.1063933800403474</v>
      </c>
      <c r="E205" s="11">
        <v>2.9911971866082503</v>
      </c>
      <c r="F205" s="11">
        <f t="shared" ref="F205" si="139">SUM(D205:E205)</f>
        <v>6.0975905666485977</v>
      </c>
      <c r="G205" s="200">
        <f t="shared" si="130"/>
        <v>2.3501836661605546E-2</v>
      </c>
    </row>
    <row r="206" spans="1:14" x14ac:dyDescent="0.3">
      <c r="A206" t="str">
        <f t="shared" si="126"/>
        <v>92 Elementary administration and service occupations</v>
      </c>
      <c r="B206" s="11">
        <v>50.64093592899102</v>
      </c>
      <c r="C206" s="11">
        <v>53.135756464510017</v>
      </c>
      <c r="D206" s="11">
        <f t="shared" ref="D206" si="140">C206-B206</f>
        <v>2.494820535518997</v>
      </c>
      <c r="E206" s="11">
        <v>27.949211097269078</v>
      </c>
      <c r="F206" s="11">
        <f t="shared" ref="F206" si="141">SUM(D206:E206)</f>
        <v>30.444031632788075</v>
      </c>
      <c r="G206" s="200">
        <f t="shared" ref="G206" si="142">IF(B206&gt;0,(1+(E206/B206))^(1/($C$6-$B$6))-1,0)</f>
        <v>2.9732512315555848E-2</v>
      </c>
    </row>
    <row r="207" spans="1:14" x14ac:dyDescent="0.3">
      <c r="A207" t="str">
        <f t="shared" si="126"/>
        <v>All occupations</v>
      </c>
      <c r="B207" s="11">
        <f>SUM(B181:B206)</f>
        <v>606.6028370610054</v>
      </c>
      <c r="C207" s="11">
        <f t="shared" ref="C207:F207" si="143">SUM(C181:C206)</f>
        <v>689.22564214721035</v>
      </c>
      <c r="D207" s="11">
        <f t="shared" si="143"/>
        <v>82.622805086204991</v>
      </c>
      <c r="E207" s="11">
        <f t="shared" si="143"/>
        <v>308.75481494328051</v>
      </c>
      <c r="F207" s="11">
        <f t="shared" si="143"/>
        <v>391.3776200294854</v>
      </c>
      <c r="G207" s="200">
        <f t="shared" si="130"/>
        <v>2.7809021351207219E-2</v>
      </c>
    </row>
    <row r="209" spans="1:7" ht="24.9" x14ac:dyDescent="0.3">
      <c r="A209" s="201" t="str">
        <f>CONCATENATE(name!F10," (Constrained)")</f>
        <v>RQF2 GCSE(A-C) &amp; equivalent (Constrained)</v>
      </c>
      <c r="B209" s="74">
        <f t="shared" ref="B209:G209" si="144">B122</f>
        <v>2020</v>
      </c>
      <c r="C209" s="74">
        <f t="shared" si="144"/>
        <v>2035</v>
      </c>
      <c r="D209" s="87" t="str">
        <f t="shared" si="144"/>
        <v>Net Change</v>
      </c>
      <c r="E209" s="87" t="str">
        <f t="shared" si="144"/>
        <v>Replacement Demand level</v>
      </c>
      <c r="F209" s="87" t="str">
        <f t="shared" si="144"/>
        <v>Total Requirement</v>
      </c>
      <c r="G209" s="87" t="str">
        <f t="shared" si="144"/>
        <v>Replacement Demand rate</v>
      </c>
    </row>
    <row r="210" spans="1:7" x14ac:dyDescent="0.3">
      <c r="A210" t="str">
        <f t="shared" ref="A210:A236" si="145">A123</f>
        <v>11 Corporate managers and directors</v>
      </c>
      <c r="B210" s="11">
        <v>40.061581601925873</v>
      </c>
      <c r="C210" s="11">
        <v>27.507068549837534</v>
      </c>
      <c r="D210" s="11">
        <f>C210-B210</f>
        <v>-12.554513052088339</v>
      </c>
      <c r="E210" s="11">
        <v>14.818991024978097</v>
      </c>
      <c r="F210" s="11">
        <f>SUM(D210:E210)</f>
        <v>2.2644779728897575</v>
      </c>
      <c r="G210" s="200">
        <f>IF(B210&gt;0,(1+(E210/B210))^(1/($C$6-$B$6))-1,0)</f>
        <v>2.1204460030194161E-2</v>
      </c>
    </row>
    <row r="211" spans="1:7" x14ac:dyDescent="0.3">
      <c r="A211" t="str">
        <f t="shared" si="145"/>
        <v>12 Other managers and proprietors</v>
      </c>
      <c r="B211" s="11">
        <v>21.045752294136875</v>
      </c>
      <c r="C211" s="11">
        <v>24.240439577661213</v>
      </c>
      <c r="D211" s="11">
        <f t="shared" ref="D211:D226" si="146">C211-B211</f>
        <v>3.1946872835243383</v>
      </c>
      <c r="E211" s="11">
        <v>13.399645051609298</v>
      </c>
      <c r="F211" s="11">
        <f t="shared" ref="F211:F218" si="147">SUM(D211:E211)</f>
        <v>16.594332335133636</v>
      </c>
      <c r="G211" s="200">
        <f t="shared" ref="G211:G213" si="148">IF(B211&gt;0,(1+(E211/B211))^(1/($C$6-$B$6))-1,0)</f>
        <v>3.3390464039557255E-2</v>
      </c>
    </row>
    <row r="212" spans="1:7" x14ac:dyDescent="0.3">
      <c r="A212" t="str">
        <f t="shared" si="145"/>
        <v>21 Science, research, engineering and technology professionals</v>
      </c>
      <c r="B212" s="11">
        <v>23.995466080894801</v>
      </c>
      <c r="C212" s="11">
        <v>21.008478838631159</v>
      </c>
      <c r="D212" s="11">
        <f t="shared" si="146"/>
        <v>-2.9869872422636412</v>
      </c>
      <c r="E212" s="11">
        <v>7.609183268718402</v>
      </c>
      <c r="F212" s="11">
        <f t="shared" si="147"/>
        <v>4.6221960264547608</v>
      </c>
      <c r="G212" s="200">
        <f t="shared" si="148"/>
        <v>1.8532252441012087E-2</v>
      </c>
    </row>
    <row r="213" spans="1:7" x14ac:dyDescent="0.3">
      <c r="A213" t="str">
        <f t="shared" si="145"/>
        <v>22 Health professionals</v>
      </c>
      <c r="B213" s="11">
        <v>9.6813388639198941</v>
      </c>
      <c r="C213" s="11">
        <v>9.0551599606145334</v>
      </c>
      <c r="D213" s="11">
        <f t="shared" si="146"/>
        <v>-0.62617890330536063</v>
      </c>
      <c r="E213" s="11">
        <v>4.7999845131757644</v>
      </c>
      <c r="F213" s="11">
        <f t="shared" si="147"/>
        <v>4.1738056098704037</v>
      </c>
      <c r="G213" s="200">
        <f t="shared" si="148"/>
        <v>2.7207516584816016E-2</v>
      </c>
    </row>
    <row r="214" spans="1:7" x14ac:dyDescent="0.3">
      <c r="A214" t="str">
        <f t="shared" si="145"/>
        <v>23 Teaching and other educational professionals</v>
      </c>
      <c r="B214" s="11">
        <v>5.4712638777646596</v>
      </c>
      <c r="C214" s="11">
        <v>4.9321931238517847</v>
      </c>
      <c r="D214" s="11">
        <f t="shared" si="146"/>
        <v>-0.53907075391287496</v>
      </c>
      <c r="E214" s="11">
        <v>2.4277708110591236</v>
      </c>
      <c r="F214" s="11">
        <f t="shared" si="147"/>
        <v>1.8887000571462487</v>
      </c>
      <c r="G214" s="200">
        <f>IF(B214&gt;0,(1+(E214/B214))^(1/($C$6-$B$6))-1,0)</f>
        <v>2.4784207318616858E-2</v>
      </c>
    </row>
    <row r="215" spans="1:7" x14ac:dyDescent="0.3">
      <c r="A215" t="str">
        <f t="shared" si="145"/>
        <v>24 Business, media and public service professionals</v>
      </c>
      <c r="B215" s="11">
        <v>21.949335971479368</v>
      </c>
      <c r="C215" s="11">
        <v>19.261488302600082</v>
      </c>
      <c r="D215" s="11">
        <f t="shared" si="146"/>
        <v>-2.6878476688792858</v>
      </c>
      <c r="E215" s="11">
        <v>8.5907849629481294</v>
      </c>
      <c r="F215" s="11">
        <f t="shared" si="147"/>
        <v>5.9029372940688436</v>
      </c>
      <c r="G215" s="200">
        <f t="shared" ref="G215:G236" si="149">IF(B215&gt;0,(1+(E215/B215))^(1/($C$6-$B$6))-1,0)</f>
        <v>2.2264527537768641E-2</v>
      </c>
    </row>
    <row r="216" spans="1:7" x14ac:dyDescent="0.3">
      <c r="A216" t="str">
        <f t="shared" si="145"/>
        <v>31 Science, engineering and technology associate professionals</v>
      </c>
      <c r="B216" s="11">
        <v>9.5952141322477829</v>
      </c>
      <c r="C216" s="11">
        <v>7.6179416001140758</v>
      </c>
      <c r="D216" s="11">
        <f t="shared" si="146"/>
        <v>-1.977272532133707</v>
      </c>
      <c r="E216" s="11">
        <v>3.0288341351305701</v>
      </c>
      <c r="F216" s="11">
        <f t="shared" si="147"/>
        <v>1.0515616029968631</v>
      </c>
      <c r="G216" s="200">
        <f t="shared" si="149"/>
        <v>1.8457549194292877E-2</v>
      </c>
    </row>
    <row r="217" spans="1:7" x14ac:dyDescent="0.3">
      <c r="A217" t="str">
        <f t="shared" si="145"/>
        <v>32 Health and social care associate professionals</v>
      </c>
      <c r="B217" s="11">
        <v>7.7249466422043982</v>
      </c>
      <c r="C217" s="11">
        <v>6.8588327775216715</v>
      </c>
      <c r="D217" s="11">
        <f t="shared" si="146"/>
        <v>-0.86611386468272666</v>
      </c>
      <c r="E217" s="11">
        <v>4.0363478939185091</v>
      </c>
      <c r="F217" s="11">
        <f t="shared" si="147"/>
        <v>3.1702340292357825</v>
      </c>
      <c r="G217" s="200">
        <f t="shared" si="149"/>
        <v>2.8420304537093433E-2</v>
      </c>
    </row>
    <row r="218" spans="1:7" x14ac:dyDescent="0.3">
      <c r="A218" t="str">
        <f t="shared" si="145"/>
        <v>33 Protective service occupations</v>
      </c>
      <c r="B218" s="11">
        <v>7.7647870328001201</v>
      </c>
      <c r="C218" s="11">
        <v>8.0708897200659191</v>
      </c>
      <c r="D218" s="11">
        <f t="shared" si="146"/>
        <v>0.30610268726579903</v>
      </c>
      <c r="E218" s="11">
        <v>2.6075142554408268</v>
      </c>
      <c r="F218" s="11">
        <f t="shared" si="147"/>
        <v>2.9136169427066259</v>
      </c>
      <c r="G218" s="200">
        <f t="shared" si="149"/>
        <v>1.9490159855875211E-2</v>
      </c>
    </row>
    <row r="219" spans="1:7" x14ac:dyDescent="0.3">
      <c r="A219" t="str">
        <f t="shared" si="145"/>
        <v>34 Culture, media and sports occupations</v>
      </c>
      <c r="B219" s="11">
        <v>5.6796539456635164</v>
      </c>
      <c r="C219" s="11">
        <v>2.6849529137976913</v>
      </c>
      <c r="D219" s="11">
        <f t="shared" si="146"/>
        <v>-2.9947010318658251</v>
      </c>
      <c r="E219" s="11">
        <v>1.4696515190358401</v>
      </c>
      <c r="F219" s="11">
        <f t="shared" ref="F219:F220" si="150">SUM(D219:E219)</f>
        <v>-1.525049512829985</v>
      </c>
      <c r="G219" s="200">
        <f t="shared" si="149"/>
        <v>1.5459947966318444E-2</v>
      </c>
    </row>
    <row r="220" spans="1:7" x14ac:dyDescent="0.3">
      <c r="A220" t="str">
        <f t="shared" si="145"/>
        <v>35 Business and public service associate professionals</v>
      </c>
      <c r="B220" s="11">
        <v>33.420164227229407</v>
      </c>
      <c r="C220" s="11">
        <v>24.58499829151587</v>
      </c>
      <c r="D220" s="11">
        <f t="shared" si="146"/>
        <v>-8.8351659357135368</v>
      </c>
      <c r="E220" s="11">
        <v>11.280813773132859</v>
      </c>
      <c r="F220" s="11">
        <f t="shared" si="150"/>
        <v>2.4456478374193225</v>
      </c>
      <c r="G220" s="200">
        <f t="shared" si="149"/>
        <v>1.9578251524326795E-2</v>
      </c>
    </row>
    <row r="221" spans="1:7" x14ac:dyDescent="0.3">
      <c r="A221" t="str">
        <f t="shared" si="145"/>
        <v>41 Administrative occupations</v>
      </c>
      <c r="B221" s="11">
        <v>63.393458380975083</v>
      </c>
      <c r="C221" s="11">
        <v>37.854650120393906</v>
      </c>
      <c r="D221" s="11">
        <f t="shared" si="146"/>
        <v>-25.538808260581177</v>
      </c>
      <c r="E221" s="11">
        <v>21.891759935832841</v>
      </c>
      <c r="F221" s="11">
        <f t="shared" ref="F221:F224" si="151">SUM(D221:E221)</f>
        <v>-3.6470483247483365</v>
      </c>
      <c r="G221" s="200">
        <f t="shared" si="149"/>
        <v>1.9972872677916698E-2</v>
      </c>
    </row>
    <row r="222" spans="1:7" x14ac:dyDescent="0.3">
      <c r="A222" t="str">
        <f t="shared" si="145"/>
        <v>42 Secretarial and related occupations</v>
      </c>
      <c r="B222" s="11">
        <v>15.915230110772669</v>
      </c>
      <c r="C222" s="11">
        <v>3.5345851184978354</v>
      </c>
      <c r="D222" s="11">
        <f t="shared" si="146"/>
        <v>-12.380644992274833</v>
      </c>
      <c r="E222" s="11">
        <v>4.8851709712443956</v>
      </c>
      <c r="F222" s="11">
        <f t="shared" si="151"/>
        <v>-7.4954740210304376</v>
      </c>
      <c r="G222" s="200">
        <f t="shared" si="149"/>
        <v>1.8006581596289095E-2</v>
      </c>
    </row>
    <row r="223" spans="1:7" x14ac:dyDescent="0.3">
      <c r="A223" t="str">
        <f t="shared" si="145"/>
        <v>51 Skilled agricultural and related trades</v>
      </c>
      <c r="B223" s="11">
        <v>7.362298329096947</v>
      </c>
      <c r="C223" s="11">
        <v>7.7072570972265826</v>
      </c>
      <c r="D223" s="11">
        <f t="shared" si="146"/>
        <v>0.34495876812963555</v>
      </c>
      <c r="E223" s="11">
        <v>4.0430204059087593</v>
      </c>
      <c r="F223" s="11">
        <f t="shared" si="151"/>
        <v>4.3879791740383949</v>
      </c>
      <c r="G223" s="200">
        <f t="shared" si="149"/>
        <v>2.9610432360489769E-2</v>
      </c>
    </row>
    <row r="224" spans="1:7" x14ac:dyDescent="0.3">
      <c r="A224" t="str">
        <f t="shared" si="145"/>
        <v>52 Skilled metal, electrical and electronic trades</v>
      </c>
      <c r="B224" s="11">
        <v>27.741149298938613</v>
      </c>
      <c r="C224" s="11">
        <v>21.606942202394169</v>
      </c>
      <c r="D224" s="11">
        <f t="shared" si="146"/>
        <v>-6.1342070965444435</v>
      </c>
      <c r="E224" s="11">
        <v>8.9929030977682398</v>
      </c>
      <c r="F224" s="11">
        <f t="shared" si="151"/>
        <v>2.8586960012237963</v>
      </c>
      <c r="G224" s="200">
        <f t="shared" si="149"/>
        <v>1.8895457616644684E-2</v>
      </c>
    </row>
    <row r="225" spans="1:7" x14ac:dyDescent="0.3">
      <c r="A225" t="str">
        <f t="shared" si="145"/>
        <v>53 Skilled construction and building trades</v>
      </c>
      <c r="B225" s="11">
        <v>29.497040546041202</v>
      </c>
      <c r="C225" s="11">
        <v>29.224149847841304</v>
      </c>
      <c r="D225" s="11">
        <f t="shared" si="146"/>
        <v>-0.2728906981998982</v>
      </c>
      <c r="E225" s="11">
        <v>13.408515290674616</v>
      </c>
      <c r="F225" s="11">
        <f t="shared" ref="F225" si="152">SUM(D225:E225)</f>
        <v>13.135624592474718</v>
      </c>
      <c r="G225" s="200">
        <f t="shared" si="149"/>
        <v>2.5295392721128129E-2</v>
      </c>
    </row>
    <row r="226" spans="1:7" x14ac:dyDescent="0.3">
      <c r="A226" t="str">
        <f t="shared" si="145"/>
        <v>54 Textiles, printing and other skilled trades</v>
      </c>
      <c r="B226" s="11">
        <v>15.921779183639231</v>
      </c>
      <c r="C226" s="11">
        <v>12.403310306001593</v>
      </c>
      <c r="D226" s="11">
        <f t="shared" si="146"/>
        <v>-3.5184688776376376</v>
      </c>
      <c r="E226" s="11">
        <v>5.5236344730319589</v>
      </c>
      <c r="F226" s="11">
        <f t="shared" ref="F226" si="153">SUM(D226:E226)</f>
        <v>2.0051655953943213</v>
      </c>
      <c r="G226" s="200">
        <f t="shared" si="149"/>
        <v>2.0053277051577112E-2</v>
      </c>
    </row>
    <row r="227" spans="1:7" x14ac:dyDescent="0.3">
      <c r="A227" t="str">
        <f t="shared" si="145"/>
        <v>61 Caring personal service occupations</v>
      </c>
      <c r="B227" s="11">
        <v>57.604267990996874</v>
      </c>
      <c r="C227" s="11">
        <v>54.913814987412394</v>
      </c>
      <c r="D227" s="11">
        <f>C227-B227</f>
        <v>-2.69045300358448</v>
      </c>
      <c r="E227" s="11">
        <v>29.296453824984599</v>
      </c>
      <c r="F227" s="11">
        <f>SUM(D227:E227)</f>
        <v>26.606000821400119</v>
      </c>
      <c r="G227" s="200">
        <f t="shared" si="149"/>
        <v>2.7790458144862695E-2</v>
      </c>
    </row>
    <row r="228" spans="1:7" x14ac:dyDescent="0.3">
      <c r="A228" t="str">
        <f t="shared" si="145"/>
        <v>62 Leisure, travel and related personal service occupations</v>
      </c>
      <c r="B228" s="11">
        <v>18.27411787799743</v>
      </c>
      <c r="C228" s="11">
        <v>13.175227679919571</v>
      </c>
      <c r="D228" s="11">
        <f t="shared" ref="D228:D234" si="154">C228-B228</f>
        <v>-5.0988901980778589</v>
      </c>
      <c r="E228" s="11">
        <v>7.4224925083109889</v>
      </c>
      <c r="F228" s="11">
        <f t="shared" ref="F228:F229" si="155">SUM(D228:E228)</f>
        <v>2.32360231023313</v>
      </c>
      <c r="G228" s="200">
        <f t="shared" si="149"/>
        <v>2.2985067851016172E-2</v>
      </c>
    </row>
    <row r="229" spans="1:7" x14ac:dyDescent="0.3">
      <c r="A229" t="str">
        <f t="shared" si="145"/>
        <v>63 Community and civil enforcement occupations</v>
      </c>
      <c r="B229" s="11">
        <v>0.92883117463422538</v>
      </c>
      <c r="C229" s="11">
        <v>0.66857958873108514</v>
      </c>
      <c r="D229" s="11">
        <f t="shared" si="154"/>
        <v>-0.26025158590314024</v>
      </c>
      <c r="E229" s="11">
        <v>0.30133210880889993</v>
      </c>
      <c r="F229" s="11">
        <f t="shared" si="155"/>
        <v>4.1080522905759698E-2</v>
      </c>
      <c r="G229" s="200">
        <f t="shared" si="149"/>
        <v>1.8908218216286521E-2</v>
      </c>
    </row>
    <row r="230" spans="1:7" x14ac:dyDescent="0.3">
      <c r="A230" t="str">
        <f t="shared" si="145"/>
        <v>71 Sales occupations</v>
      </c>
      <c r="B230" s="11">
        <v>51.476437653169555</v>
      </c>
      <c r="C230" s="11">
        <v>36.80771176860106</v>
      </c>
      <c r="D230" s="11">
        <f t="shared" si="154"/>
        <v>-14.668725884568495</v>
      </c>
      <c r="E230" s="11">
        <v>19.856153790254247</v>
      </c>
      <c r="F230" s="11">
        <f t="shared" ref="F230:F231" si="156">SUM(D230:E230)</f>
        <v>5.1874279056857517</v>
      </c>
      <c r="G230" s="200">
        <f t="shared" si="149"/>
        <v>2.1986834515503428E-2</v>
      </c>
    </row>
    <row r="231" spans="1:7" x14ac:dyDescent="0.3">
      <c r="A231" t="str">
        <f t="shared" si="145"/>
        <v>72 Customer service occupations</v>
      </c>
      <c r="B231" s="11">
        <v>13.404079667325293</v>
      </c>
      <c r="C231" s="11">
        <v>16.876552406151188</v>
      </c>
      <c r="D231" s="11">
        <f t="shared" si="154"/>
        <v>3.4724727388258945</v>
      </c>
      <c r="E231" s="11">
        <v>8.0005352947483495</v>
      </c>
      <c r="F231" s="11">
        <f t="shared" si="156"/>
        <v>11.473008033574244</v>
      </c>
      <c r="G231" s="200">
        <f t="shared" si="149"/>
        <v>3.1695084369944171E-2</v>
      </c>
    </row>
    <row r="232" spans="1:7" x14ac:dyDescent="0.3">
      <c r="A232" t="str">
        <f t="shared" si="145"/>
        <v>81 Process, plant and machine operatives</v>
      </c>
      <c r="B232" s="11">
        <v>22.776618718430697</v>
      </c>
      <c r="C232" s="11">
        <v>29.814021980693653</v>
      </c>
      <c r="D232" s="11">
        <f t="shared" si="154"/>
        <v>7.0374032622629556</v>
      </c>
      <c r="E232" s="11">
        <v>11.431900069144994</v>
      </c>
      <c r="F232" s="11">
        <f t="shared" ref="F232:F233" si="157">SUM(D232:E232)</f>
        <v>18.46930333140795</v>
      </c>
      <c r="G232" s="200">
        <f t="shared" si="149"/>
        <v>2.7486997042959871E-2</v>
      </c>
    </row>
    <row r="233" spans="1:7" x14ac:dyDescent="0.3">
      <c r="A233" t="str">
        <f t="shared" si="145"/>
        <v>82 Transport and mobile machine drivers and operatives</v>
      </c>
      <c r="B233" s="11">
        <v>37.940640955891141</v>
      </c>
      <c r="C233" s="11">
        <v>42.762697061039304</v>
      </c>
      <c r="D233" s="11">
        <f t="shared" si="154"/>
        <v>4.8220561051481639</v>
      </c>
      <c r="E233" s="11">
        <v>22.997686403421717</v>
      </c>
      <c r="F233" s="11">
        <f t="shared" si="157"/>
        <v>27.819742508569881</v>
      </c>
      <c r="G233" s="200">
        <f t="shared" si="149"/>
        <v>3.209353520036351E-2</v>
      </c>
    </row>
    <row r="234" spans="1:7" x14ac:dyDescent="0.3">
      <c r="A234" t="str">
        <f t="shared" si="145"/>
        <v>91 Elementary trades and related occupations</v>
      </c>
      <c r="B234" s="11">
        <v>12.166527329900912</v>
      </c>
      <c r="C234" s="11">
        <v>9.9010750713211326</v>
      </c>
      <c r="D234" s="11">
        <f t="shared" si="154"/>
        <v>-2.2654522585797796</v>
      </c>
      <c r="E234" s="11">
        <v>3.7663324988957041</v>
      </c>
      <c r="F234" s="11">
        <f t="shared" ref="F234" si="158">SUM(D234:E234)</f>
        <v>1.5008802403159245</v>
      </c>
      <c r="G234" s="200">
        <f t="shared" si="149"/>
        <v>1.814228162389675E-2</v>
      </c>
    </row>
    <row r="235" spans="1:7" x14ac:dyDescent="0.3">
      <c r="A235" t="str">
        <f t="shared" si="145"/>
        <v>92 Elementary administration and service occupations</v>
      </c>
      <c r="B235" s="11">
        <v>92.319829909137709</v>
      </c>
      <c r="C235" s="11">
        <v>87.499778097328786</v>
      </c>
      <c r="D235" s="11">
        <f t="shared" ref="D235" si="159">C235-B235</f>
        <v>-4.8200518118089235</v>
      </c>
      <c r="E235" s="11">
        <v>45.273561304206275</v>
      </c>
      <c r="F235" s="11">
        <f t="shared" ref="F235" si="160">SUM(D235:E235)</f>
        <v>40.453509492397352</v>
      </c>
      <c r="G235" s="200">
        <f t="shared" ref="G235" si="161">IF(B235&gt;0,(1+(E235/B235))^(1/($C$6-$B$6))-1,0)</f>
        <v>2.6959945783515682E-2</v>
      </c>
    </row>
    <row r="236" spans="1:7" x14ac:dyDescent="0.3">
      <c r="A236" t="str">
        <f t="shared" si="145"/>
        <v>All occupations</v>
      </c>
      <c r="B236" s="11">
        <f>SUM(B210:B235)</f>
        <v>653.11181179721439</v>
      </c>
      <c r="C236" s="11">
        <f t="shared" ref="C236:F236" si="162">SUM(C210:C235)</f>
        <v>560.57279698976504</v>
      </c>
      <c r="D236" s="11">
        <f t="shared" si="162"/>
        <v>-92.539014807449178</v>
      </c>
      <c r="E236" s="11">
        <f t="shared" si="162"/>
        <v>281.16097318638401</v>
      </c>
      <c r="F236" s="11">
        <f t="shared" si="162"/>
        <v>188.62195837893481</v>
      </c>
      <c r="G236" s="200">
        <f t="shared" si="149"/>
        <v>2.41551282831034E-2</v>
      </c>
    </row>
    <row r="238" spans="1:7" ht="24.9" x14ac:dyDescent="0.3">
      <c r="A238" s="201" t="str">
        <f>CONCATENATE(name!F11," (Constrained)")</f>
        <v>RQF1 GCSE(below grade C) &amp; equivalent (Constrained)</v>
      </c>
      <c r="B238" s="74">
        <f t="shared" ref="B238:G238" si="163">B151</f>
        <v>2020</v>
      </c>
      <c r="C238" s="74">
        <f t="shared" si="163"/>
        <v>2035</v>
      </c>
      <c r="D238" s="87" t="str">
        <f t="shared" si="163"/>
        <v>Net Change</v>
      </c>
      <c r="E238" s="87" t="str">
        <f t="shared" si="163"/>
        <v>Replacement Demand level</v>
      </c>
      <c r="F238" s="87" t="str">
        <f t="shared" si="163"/>
        <v>Total Requirement</v>
      </c>
      <c r="G238" s="87" t="str">
        <f t="shared" si="163"/>
        <v>Replacement Demand rate</v>
      </c>
    </row>
    <row r="239" spans="1:7" x14ac:dyDescent="0.3">
      <c r="A239" t="str">
        <f t="shared" ref="A239:A265" si="164">A152</f>
        <v>11 Corporate managers and directors</v>
      </c>
      <c r="B239" s="11">
        <v>27.641370471428797</v>
      </c>
      <c r="C239" s="11">
        <v>20.357706325335851</v>
      </c>
      <c r="D239" s="11">
        <f>C239-B239</f>
        <v>-7.2836641460929457</v>
      </c>
      <c r="E239" s="11">
        <v>10.541541681973305</v>
      </c>
      <c r="F239" s="11">
        <f>SUM(D239:E239)</f>
        <v>3.2578775358803593</v>
      </c>
      <c r="G239" s="200">
        <f>IF(B239&gt;0,(1+(E239/B239))^(1/($C$6-$B$6))-1,0)</f>
        <v>2.1771924074728499E-2</v>
      </c>
    </row>
    <row r="240" spans="1:7" x14ac:dyDescent="0.3">
      <c r="A240" t="str">
        <f t="shared" si="164"/>
        <v>12 Other managers and proprietors</v>
      </c>
      <c r="B240" s="11">
        <v>12.583463346333987</v>
      </c>
      <c r="C240" s="11">
        <v>11.59185331534866</v>
      </c>
      <c r="D240" s="11">
        <f t="shared" ref="D240:D255" si="165">C240-B240</f>
        <v>-0.99161003098532774</v>
      </c>
      <c r="E240" s="11">
        <v>5.9855353633227724</v>
      </c>
      <c r="F240" s="11">
        <f t="shared" ref="F240:F247" si="166">SUM(D240:E240)</f>
        <v>4.9939253323374446</v>
      </c>
      <c r="G240" s="200">
        <f t="shared" ref="G240:G242" si="167">IF(B240&gt;0,(1+(E240/B240))^(1/($C$6-$B$6))-1,0)</f>
        <v>2.6280049602953159E-2</v>
      </c>
    </row>
    <row r="241" spans="1:7" x14ac:dyDescent="0.3">
      <c r="A241" t="str">
        <f t="shared" si="164"/>
        <v>21 Science, research, engineering and technology professionals</v>
      </c>
      <c r="B241" s="11">
        <v>12.969878225520642</v>
      </c>
      <c r="C241" s="11">
        <v>8.8495358667854696</v>
      </c>
      <c r="D241" s="11">
        <f t="shared" si="165"/>
        <v>-4.1203423587351722</v>
      </c>
      <c r="E241" s="11">
        <v>3.5262898717080371</v>
      </c>
      <c r="F241" s="11">
        <f t="shared" si="166"/>
        <v>-0.59405248702713509</v>
      </c>
      <c r="G241" s="200">
        <f t="shared" si="167"/>
        <v>1.6162455856157942E-2</v>
      </c>
    </row>
    <row r="242" spans="1:7" x14ac:dyDescent="0.3">
      <c r="A242" t="str">
        <f t="shared" si="164"/>
        <v>22 Health professionals</v>
      </c>
      <c r="B242" s="11">
        <v>5.6316978744010582</v>
      </c>
      <c r="C242" s="11">
        <v>3.8441723555049796</v>
      </c>
      <c r="D242" s="11">
        <f t="shared" si="165"/>
        <v>-1.7875255188960786</v>
      </c>
      <c r="E242" s="11">
        <v>2.211667446223593</v>
      </c>
      <c r="F242" s="11">
        <f t="shared" si="166"/>
        <v>0.42414192732751443</v>
      </c>
      <c r="G242" s="200">
        <f t="shared" si="167"/>
        <v>2.2329453410104838E-2</v>
      </c>
    </row>
    <row r="243" spans="1:7" x14ac:dyDescent="0.3">
      <c r="A243" t="str">
        <f t="shared" si="164"/>
        <v>23 Teaching and other educational professionals</v>
      </c>
      <c r="B243" s="11">
        <v>4.1934765223742341</v>
      </c>
      <c r="C243" s="11">
        <v>3.52130427372474</v>
      </c>
      <c r="D243" s="11">
        <f t="shared" si="165"/>
        <v>-0.6721722486494941</v>
      </c>
      <c r="E243" s="11">
        <v>1.7058650864431835</v>
      </c>
      <c r="F243" s="11">
        <f t="shared" si="166"/>
        <v>1.0336928377936894</v>
      </c>
      <c r="G243" s="200">
        <f>IF(B243&gt;0,(1+(E243/B243))^(1/($C$6-$B$6))-1,0)</f>
        <v>2.3014890866732252E-2</v>
      </c>
    </row>
    <row r="244" spans="1:7" x14ac:dyDescent="0.3">
      <c r="A244" t="str">
        <f t="shared" si="164"/>
        <v>24 Business, media and public service professionals</v>
      </c>
      <c r="B244" s="11">
        <v>13.897911956656017</v>
      </c>
      <c r="C244" s="11">
        <v>10.58146668099848</v>
      </c>
      <c r="D244" s="11">
        <f t="shared" si="165"/>
        <v>-3.3164452756575376</v>
      </c>
      <c r="E244" s="11">
        <v>5.0832291620444918</v>
      </c>
      <c r="F244" s="11">
        <f t="shared" si="166"/>
        <v>1.7667838863869543</v>
      </c>
      <c r="G244" s="200">
        <f t="shared" ref="G244:G265" si="168">IF(B244&gt;0,(1+(E244/B244))^(1/($C$6-$B$6))-1,0)</f>
        <v>2.0997904630737363E-2</v>
      </c>
    </row>
    <row r="245" spans="1:7" x14ac:dyDescent="0.3">
      <c r="A245" t="str">
        <f t="shared" si="164"/>
        <v>31 Science, engineering and technology associate professionals</v>
      </c>
      <c r="B245" s="11">
        <v>8.0234491055135386</v>
      </c>
      <c r="C245" s="11">
        <v>5.9646512330729768</v>
      </c>
      <c r="D245" s="11">
        <f t="shared" si="165"/>
        <v>-2.0587978724405618</v>
      </c>
      <c r="E245" s="11">
        <v>2.4041418299973918</v>
      </c>
      <c r="F245" s="11">
        <f t="shared" si="166"/>
        <v>0.34534395755683001</v>
      </c>
      <c r="G245" s="200">
        <f>IF(B245&gt;0,(1+(E245/B245))^(1/($C$6-$B$6))-1,0)</f>
        <v>1.7625994671319978E-2</v>
      </c>
    </row>
    <row r="246" spans="1:7" x14ac:dyDescent="0.3">
      <c r="A246" t="str">
        <f t="shared" si="164"/>
        <v>32 Health and social care associate professionals</v>
      </c>
      <c r="B246" s="11">
        <v>2.5949520707463209</v>
      </c>
      <c r="C246" s="11">
        <v>1.4940507172084871</v>
      </c>
      <c r="D246" s="11">
        <f t="shared" si="165"/>
        <v>-1.1009013535378338</v>
      </c>
      <c r="E246" s="11">
        <v>0.91474695688425078</v>
      </c>
      <c r="F246" s="11">
        <f t="shared" si="166"/>
        <v>-0.18615439665358302</v>
      </c>
      <c r="G246" s="200">
        <f t="shared" si="168"/>
        <v>2.0334807420847589E-2</v>
      </c>
    </row>
    <row r="247" spans="1:7" x14ac:dyDescent="0.3">
      <c r="A247" t="str">
        <f t="shared" si="164"/>
        <v>33 Protective service occupations</v>
      </c>
      <c r="B247" s="11">
        <v>4.3587636666747249</v>
      </c>
      <c r="C247" s="11">
        <v>4.0538328064880842</v>
      </c>
      <c r="D247" s="11">
        <f t="shared" si="165"/>
        <v>-0.30493086018664073</v>
      </c>
      <c r="E247" s="11">
        <v>1.6636037723051689</v>
      </c>
      <c r="F247" s="11">
        <f t="shared" si="166"/>
        <v>1.3586729121185281</v>
      </c>
      <c r="G247" s="200">
        <f t="shared" si="168"/>
        <v>2.1786738561013319E-2</v>
      </c>
    </row>
    <row r="248" spans="1:7" x14ac:dyDescent="0.3">
      <c r="A248" t="str">
        <f t="shared" si="164"/>
        <v>34 Culture, media and sports occupations</v>
      </c>
      <c r="B248" s="11">
        <v>4.4548837825178511</v>
      </c>
      <c r="C248" s="11">
        <v>2.2255257373133301</v>
      </c>
      <c r="D248" s="11">
        <f t="shared" si="165"/>
        <v>-2.229358045204521</v>
      </c>
      <c r="E248" s="11">
        <v>1.1598270595687787</v>
      </c>
      <c r="F248" s="11">
        <f t="shared" ref="F248:F249" si="169">SUM(D248:E248)</f>
        <v>-1.0695309856357422</v>
      </c>
      <c r="G248" s="200">
        <f t="shared" si="168"/>
        <v>1.554553504445999E-2</v>
      </c>
    </row>
    <row r="249" spans="1:7" x14ac:dyDescent="0.3">
      <c r="A249" t="str">
        <f t="shared" si="164"/>
        <v>35 Business and public service associate professionals</v>
      </c>
      <c r="B249" s="11">
        <v>19.937274742290672</v>
      </c>
      <c r="C249" s="11">
        <v>12.181660292371403</v>
      </c>
      <c r="D249" s="11">
        <f t="shared" si="165"/>
        <v>-7.7556144499192694</v>
      </c>
      <c r="E249" s="11">
        <v>5.7895759230653319</v>
      </c>
      <c r="F249" s="11">
        <f t="shared" si="169"/>
        <v>-1.9660385268539375</v>
      </c>
      <c r="G249" s="200">
        <f t="shared" si="168"/>
        <v>1.7141534292424154E-2</v>
      </c>
    </row>
    <row r="250" spans="1:7" x14ac:dyDescent="0.3">
      <c r="A250" t="str">
        <f t="shared" si="164"/>
        <v>41 Administrative occupations</v>
      </c>
      <c r="B250" s="11">
        <v>32.007050911869413</v>
      </c>
      <c r="C250" s="11">
        <v>9.8132288751231105</v>
      </c>
      <c r="D250" s="11">
        <f t="shared" si="165"/>
        <v>-22.193822036746305</v>
      </c>
      <c r="E250" s="11">
        <v>7.3584388173999624</v>
      </c>
      <c r="F250" s="11">
        <f t="shared" ref="F250:F253" si="170">SUM(D250:E250)</f>
        <v>-14.835383219346342</v>
      </c>
      <c r="G250" s="200">
        <f t="shared" si="168"/>
        <v>1.3891152281976682E-2</v>
      </c>
    </row>
    <row r="251" spans="1:7" x14ac:dyDescent="0.3">
      <c r="A251" t="str">
        <f t="shared" si="164"/>
        <v>42 Secretarial and related occupations</v>
      </c>
      <c r="B251" s="11">
        <v>14.241970831475157</v>
      </c>
      <c r="C251" s="11">
        <v>1.6128435802586585</v>
      </c>
      <c r="D251" s="11">
        <f t="shared" si="165"/>
        <v>-12.629127251216499</v>
      </c>
      <c r="E251" s="11">
        <v>2.7811630719330518</v>
      </c>
      <c r="F251" s="11">
        <f t="shared" si="170"/>
        <v>-9.8479641792834478</v>
      </c>
      <c r="G251" s="200">
        <f t="shared" si="168"/>
        <v>1.1962986868443437E-2</v>
      </c>
    </row>
    <row r="252" spans="1:7" x14ac:dyDescent="0.3">
      <c r="A252" t="str">
        <f t="shared" si="164"/>
        <v>51 Skilled agricultural and related trades</v>
      </c>
      <c r="B252" s="11">
        <v>5.4748059128580344</v>
      </c>
      <c r="C252" s="11">
        <v>6.7932259009697633</v>
      </c>
      <c r="D252" s="11">
        <f t="shared" si="165"/>
        <v>1.3184199881117289</v>
      </c>
      <c r="E252" s="11">
        <v>2.7200195992335674</v>
      </c>
      <c r="F252" s="11">
        <f t="shared" si="170"/>
        <v>4.0384395873452963</v>
      </c>
      <c r="G252" s="200">
        <f t="shared" si="168"/>
        <v>2.7254531064854648E-2</v>
      </c>
    </row>
    <row r="253" spans="1:7" x14ac:dyDescent="0.3">
      <c r="A253" t="str">
        <f t="shared" si="164"/>
        <v>52 Skilled metal, electrical and electronic trades</v>
      </c>
      <c r="B253" s="11">
        <v>12.66569711894835</v>
      </c>
      <c r="C253" s="11">
        <v>7.1562168695081327</v>
      </c>
      <c r="D253" s="11">
        <f t="shared" si="165"/>
        <v>-5.5094802494402169</v>
      </c>
      <c r="E253" s="11">
        <v>4.009115891816295</v>
      </c>
      <c r="F253" s="11">
        <f t="shared" si="170"/>
        <v>-1.5003643576239218</v>
      </c>
      <c r="G253" s="200">
        <f t="shared" si="168"/>
        <v>1.8502560025573933E-2</v>
      </c>
    </row>
    <row r="254" spans="1:7" x14ac:dyDescent="0.3">
      <c r="A254" t="str">
        <f t="shared" si="164"/>
        <v>53 Skilled construction and building trades</v>
      </c>
      <c r="B254" s="11">
        <v>13.816253201230335</v>
      </c>
      <c r="C254" s="11">
        <v>12.785108605935122</v>
      </c>
      <c r="D254" s="11">
        <f t="shared" si="165"/>
        <v>-1.0311445952952134</v>
      </c>
      <c r="E254" s="11">
        <v>5.6696296958181147</v>
      </c>
      <c r="F254" s="11">
        <f t="shared" ref="F254" si="171">SUM(D254:E254)</f>
        <v>4.6384851005229013</v>
      </c>
      <c r="G254" s="200">
        <f t="shared" si="168"/>
        <v>2.3187722547481249E-2</v>
      </c>
    </row>
    <row r="255" spans="1:7" x14ac:dyDescent="0.3">
      <c r="A255" t="str">
        <f t="shared" si="164"/>
        <v>54 Textiles, printing and other skilled trades</v>
      </c>
      <c r="B255" s="11">
        <v>13.897530819086874</v>
      </c>
      <c r="C255" s="11">
        <v>11.314212429749348</v>
      </c>
      <c r="D255" s="11">
        <f t="shared" si="165"/>
        <v>-2.583318389337526</v>
      </c>
      <c r="E255" s="11">
        <v>4.7954319102147407</v>
      </c>
      <c r="F255" s="11">
        <f t="shared" ref="F255" si="172">SUM(D255:E255)</f>
        <v>2.2121135208772147</v>
      </c>
      <c r="G255" s="200">
        <f t="shared" si="168"/>
        <v>1.9958965104214021E-2</v>
      </c>
    </row>
    <row r="256" spans="1:7" x14ac:dyDescent="0.3">
      <c r="A256" t="str">
        <f t="shared" si="164"/>
        <v>61 Caring personal service occupations</v>
      </c>
      <c r="B256" s="11">
        <v>10.343575548906736</v>
      </c>
      <c r="C256" s="11">
        <v>6.2720069764685773</v>
      </c>
      <c r="D256" s="11">
        <f>C256-B256</f>
        <v>-4.0715685724381592</v>
      </c>
      <c r="E256" s="11">
        <v>2.4897075477911503</v>
      </c>
      <c r="F256" s="11">
        <f>SUM(D256:E256)</f>
        <v>-1.5818610246470088</v>
      </c>
      <c r="G256" s="200">
        <f t="shared" si="168"/>
        <v>1.4482295556762725E-2</v>
      </c>
    </row>
    <row r="257" spans="1:7" x14ac:dyDescent="0.3">
      <c r="A257" t="str">
        <f t="shared" si="164"/>
        <v>62 Leisure, travel and related personal service occupations</v>
      </c>
      <c r="B257" s="11">
        <v>11.979368209538839</v>
      </c>
      <c r="C257" s="11">
        <v>8.4893944686572294</v>
      </c>
      <c r="D257" s="11">
        <f t="shared" ref="D257:D263" si="173">C257-B257</f>
        <v>-3.4899737408816094</v>
      </c>
      <c r="E257" s="11">
        <v>4.4770758882521049</v>
      </c>
      <c r="F257" s="11">
        <f t="shared" ref="F257:F258" si="174">SUM(D257:E257)</f>
        <v>0.98710214737049551</v>
      </c>
      <c r="G257" s="200">
        <f t="shared" si="168"/>
        <v>2.1394399767806771E-2</v>
      </c>
    </row>
    <row r="258" spans="1:7" x14ac:dyDescent="0.3">
      <c r="A258" t="str">
        <f t="shared" si="164"/>
        <v>63 Community and civil enforcement occupations</v>
      </c>
      <c r="B258" s="11">
        <v>0.8161327768704093</v>
      </c>
      <c r="C258" s="11">
        <v>0.56090520307118896</v>
      </c>
      <c r="D258" s="11">
        <f t="shared" si="173"/>
        <v>-0.25522757379922034</v>
      </c>
      <c r="E258" s="11">
        <v>0.25509755815244861</v>
      </c>
      <c r="F258" s="11">
        <f t="shared" si="174"/>
        <v>-1.3001564677173061E-4</v>
      </c>
      <c r="G258" s="200">
        <f t="shared" si="168"/>
        <v>1.829779377349805E-2</v>
      </c>
    </row>
    <row r="259" spans="1:7" x14ac:dyDescent="0.3">
      <c r="A259" t="str">
        <f t="shared" si="164"/>
        <v>71 Sales occupations</v>
      </c>
      <c r="B259" s="11">
        <v>34.991738367784357</v>
      </c>
      <c r="C259" s="11">
        <v>12.720115933962836</v>
      </c>
      <c r="D259" s="11">
        <f t="shared" si="173"/>
        <v>-22.27162243382152</v>
      </c>
      <c r="E259" s="11">
        <v>8.4313402067080574</v>
      </c>
      <c r="F259" s="11">
        <f t="shared" ref="F259:F260" si="175">SUM(D259:E259)</f>
        <v>-13.840282227113462</v>
      </c>
      <c r="G259" s="200">
        <f t="shared" si="168"/>
        <v>1.4496001045811502E-2</v>
      </c>
    </row>
    <row r="260" spans="1:7" x14ac:dyDescent="0.3">
      <c r="A260" t="str">
        <f t="shared" si="164"/>
        <v>72 Customer service occupations</v>
      </c>
      <c r="B260" s="11">
        <v>6.3953478725867923</v>
      </c>
      <c r="C260" s="11">
        <v>6.3483655145889735</v>
      </c>
      <c r="D260" s="11">
        <f t="shared" si="173"/>
        <v>-4.6982357997818802E-2</v>
      </c>
      <c r="E260" s="11">
        <v>2.2698551178658519</v>
      </c>
      <c r="F260" s="11">
        <f t="shared" si="175"/>
        <v>2.2228727598680331</v>
      </c>
      <c r="G260" s="200">
        <f t="shared" si="168"/>
        <v>2.0456049318786418E-2</v>
      </c>
    </row>
    <row r="261" spans="1:7" x14ac:dyDescent="0.3">
      <c r="A261" t="str">
        <f t="shared" si="164"/>
        <v>81 Process, plant and machine operatives</v>
      </c>
      <c r="B261" s="11">
        <v>17.008397163502487</v>
      </c>
      <c r="C261" s="11">
        <v>8.3976064451504637</v>
      </c>
      <c r="D261" s="11">
        <f t="shared" si="173"/>
        <v>-8.6107907183520229</v>
      </c>
      <c r="E261" s="11">
        <v>5.5759065689899669</v>
      </c>
      <c r="F261" s="11">
        <f t="shared" ref="F261:F262" si="176">SUM(D261:E261)</f>
        <v>-3.034884149362056</v>
      </c>
      <c r="G261" s="200">
        <f t="shared" si="168"/>
        <v>1.9082994365046346E-2</v>
      </c>
    </row>
    <row r="262" spans="1:7" x14ac:dyDescent="0.3">
      <c r="A262" t="str">
        <f t="shared" si="164"/>
        <v>82 Transport and mobile machine drivers and operatives</v>
      </c>
      <c r="B262" s="11">
        <v>30.413835681165313</v>
      </c>
      <c r="C262" s="11">
        <v>26.518229780503884</v>
      </c>
      <c r="D262" s="11">
        <f t="shared" si="173"/>
        <v>-3.8956059006614296</v>
      </c>
      <c r="E262" s="11">
        <v>13.775647209243623</v>
      </c>
      <c r="F262" s="11">
        <f t="shared" si="176"/>
        <v>9.880041308582193</v>
      </c>
      <c r="G262" s="200">
        <f t="shared" si="168"/>
        <v>2.5218690149432899E-2</v>
      </c>
    </row>
    <row r="263" spans="1:7" x14ac:dyDescent="0.3">
      <c r="A263" t="str">
        <f t="shared" si="164"/>
        <v>91 Elementary trades and related occupations</v>
      </c>
      <c r="B263" s="11">
        <v>14.295687929495818</v>
      </c>
      <c r="C263" s="11">
        <v>9.5105255895243701</v>
      </c>
      <c r="D263" s="11">
        <f t="shared" si="173"/>
        <v>-4.785162339971448</v>
      </c>
      <c r="E263" s="11">
        <v>4.1654510227885035</v>
      </c>
      <c r="F263" s="11">
        <f t="shared" ref="F263" si="177">SUM(D263:E263)</f>
        <v>-0.61971131718294448</v>
      </c>
      <c r="G263" s="200">
        <f t="shared" si="168"/>
        <v>1.7193466794505285E-2</v>
      </c>
    </row>
    <row r="264" spans="1:7" x14ac:dyDescent="0.3">
      <c r="A264" t="str">
        <f t="shared" si="164"/>
        <v>92 Elementary administration and service occupations</v>
      </c>
      <c r="B264" s="11">
        <v>86.340539468223653</v>
      </c>
      <c r="C264" s="11">
        <v>65.722009218834742</v>
      </c>
      <c r="D264" s="11">
        <f t="shared" ref="D264" si="178">C264-B264</f>
        <v>-20.618530249388911</v>
      </c>
      <c r="E264" s="11">
        <v>33.194122498374199</v>
      </c>
      <c r="F264" s="11">
        <f t="shared" ref="F264" si="179">SUM(D264:E264)</f>
        <v>12.575592248985288</v>
      </c>
      <c r="G264" s="200">
        <f t="shared" ref="G264" si="180">IF(B264&gt;0,(1+(E264/B264))^(1/($C$6-$B$6))-1,0)</f>
        <v>2.1924018664123412E-2</v>
      </c>
    </row>
    <row r="265" spans="1:7" x14ac:dyDescent="0.3">
      <c r="A265" t="str">
        <f t="shared" si="164"/>
        <v>All occupations</v>
      </c>
      <c r="B265" s="11">
        <f>SUM(B239:B264)</f>
        <v>420.97505357800043</v>
      </c>
      <c r="C265" s="11">
        <f t="shared" ref="C265:F265" si="181">SUM(C239:C264)</f>
        <v>278.67975499645888</v>
      </c>
      <c r="D265" s="11">
        <f t="shared" si="181"/>
        <v>-142.29529858154154</v>
      </c>
      <c r="E265" s="11">
        <f t="shared" si="181"/>
        <v>142.95402675811792</v>
      </c>
      <c r="F265" s="11">
        <f t="shared" si="181"/>
        <v>0.65872817657638905</v>
      </c>
      <c r="G265" s="200">
        <f t="shared" si="168"/>
        <v>1.9681504639655456E-2</v>
      </c>
    </row>
    <row r="267" spans="1:7" ht="24.9" x14ac:dyDescent="0.3">
      <c r="A267" s="201" t="str">
        <f>CONCATENATE(name!F12," (Constrained)")</f>
        <v>No Qualification (Constrained)</v>
      </c>
      <c r="B267" s="74">
        <f t="shared" ref="B267:G267" si="182">B180</f>
        <v>2020</v>
      </c>
      <c r="C267" s="74">
        <f t="shared" si="182"/>
        <v>2035</v>
      </c>
      <c r="D267" s="87" t="str">
        <f t="shared" si="182"/>
        <v>Net Change</v>
      </c>
      <c r="E267" s="87" t="str">
        <f t="shared" si="182"/>
        <v>Replacement Demand level</v>
      </c>
      <c r="F267" s="87" t="str">
        <f t="shared" si="182"/>
        <v>Total Requirement</v>
      </c>
      <c r="G267" s="87" t="str">
        <f t="shared" si="182"/>
        <v>Replacement Demand rate</v>
      </c>
    </row>
    <row r="268" spans="1:7" x14ac:dyDescent="0.3">
      <c r="A268" t="str">
        <f t="shared" ref="A268:A294" si="183">A181</f>
        <v>11 Corporate managers and directors</v>
      </c>
      <c r="B268" s="11">
        <v>4.5923158904543309</v>
      </c>
      <c r="C268" s="11">
        <v>3.3116640995294859</v>
      </c>
      <c r="D268" s="11">
        <f>C268-B268</f>
        <v>-1.2806517909248449</v>
      </c>
      <c r="E268" s="11">
        <v>1.0941094056571237</v>
      </c>
      <c r="F268" s="11">
        <f>SUM(D268:E268)</f>
        <v>-0.18654238526772127</v>
      </c>
      <c r="G268" s="200">
        <f>IF(B268&gt;0,(1+(E268/B268))^(1/($C$6-$B$6))-1,0)</f>
        <v>1.4348455510758695E-2</v>
      </c>
    </row>
    <row r="269" spans="1:7" x14ac:dyDescent="0.3">
      <c r="A269" t="str">
        <f t="shared" si="183"/>
        <v>12 Other managers and proprietors</v>
      </c>
      <c r="B269" s="11">
        <v>3.790351215182119</v>
      </c>
      <c r="C269" s="11">
        <v>4.1205603423224204</v>
      </c>
      <c r="D269" s="11">
        <f t="shared" ref="D269:D284" si="184">C269-B269</f>
        <v>0.33020912714030137</v>
      </c>
      <c r="E269" s="11">
        <v>1.4790852301741753</v>
      </c>
      <c r="F269" s="11">
        <f t="shared" ref="F269:F276" si="185">SUM(D269:E269)</f>
        <v>1.8092943573144766</v>
      </c>
      <c r="G269" s="200">
        <f t="shared" ref="G269:G271" si="186">IF(B269&gt;0,(1+(E269/B269))^(1/($C$6-$B$6))-1,0)</f>
        <v>2.2207307152979583E-2</v>
      </c>
    </row>
    <row r="270" spans="1:7" x14ac:dyDescent="0.3">
      <c r="A270" t="str">
        <f t="shared" si="183"/>
        <v>21 Science, research, engineering and technology professionals</v>
      </c>
      <c r="B270" s="11">
        <v>2.5926398575967893</v>
      </c>
      <c r="C270" s="11">
        <v>2.6405717012347676</v>
      </c>
      <c r="D270" s="11">
        <f t="shared" si="184"/>
        <v>4.7931843637978311E-2</v>
      </c>
      <c r="E270" s="11">
        <v>0.75890050088409566</v>
      </c>
      <c r="F270" s="11">
        <f t="shared" si="185"/>
        <v>0.80683234452207397</v>
      </c>
      <c r="G270" s="200">
        <f t="shared" si="186"/>
        <v>1.7263551453824411E-2</v>
      </c>
    </row>
    <row r="271" spans="1:7" x14ac:dyDescent="0.3">
      <c r="A271" t="str">
        <f t="shared" si="183"/>
        <v>22 Health professionals</v>
      </c>
      <c r="B271" s="11">
        <v>0.72051910834402444</v>
      </c>
      <c r="C271" s="11">
        <v>0.93884701780724855</v>
      </c>
      <c r="D271" s="11">
        <f t="shared" si="184"/>
        <v>0.21832790946322411</v>
      </c>
      <c r="E271" s="11">
        <v>0.30448845010055198</v>
      </c>
      <c r="F271" s="11">
        <f t="shared" si="185"/>
        <v>0.52281635956377603</v>
      </c>
      <c r="G271" s="200">
        <f t="shared" si="186"/>
        <v>2.3777162961030607E-2</v>
      </c>
    </row>
    <row r="272" spans="1:7" x14ac:dyDescent="0.3">
      <c r="A272" t="str">
        <f t="shared" si="183"/>
        <v>23 Teaching and other educational professionals</v>
      </c>
      <c r="B272" s="11">
        <v>0.70890948153124</v>
      </c>
      <c r="C272" s="11">
        <v>0.63114238865658656</v>
      </c>
      <c r="D272" s="11">
        <f t="shared" si="184"/>
        <v>-7.7767092874653443E-2</v>
      </c>
      <c r="E272" s="11">
        <v>0.24404883246598341</v>
      </c>
      <c r="F272" s="11">
        <f t="shared" si="185"/>
        <v>0.16628173959132997</v>
      </c>
      <c r="G272" s="200">
        <f>IF(B272&gt;0,(1+(E272/B272))^(1/($C$6-$B$6))-1,0)</f>
        <v>1.99186686889683E-2</v>
      </c>
    </row>
    <row r="273" spans="1:7" x14ac:dyDescent="0.3">
      <c r="A273" t="str">
        <f t="shared" si="183"/>
        <v>24 Business, media and public service professionals</v>
      </c>
      <c r="B273" s="11">
        <v>2.7554855294974332</v>
      </c>
      <c r="C273" s="11">
        <v>2.7525145506835811</v>
      </c>
      <c r="D273" s="11">
        <f t="shared" si="184"/>
        <v>-2.9709788138521098E-3</v>
      </c>
      <c r="E273" s="11">
        <v>0.90460136592600293</v>
      </c>
      <c r="F273" s="11">
        <f t="shared" si="185"/>
        <v>0.90163038711215082</v>
      </c>
      <c r="G273" s="200">
        <f t="shared" ref="G273" si="187">IF(B273&gt;0,(1+(E273/B273))^(1/($C$6-$B$6))-1,0)</f>
        <v>1.9106451156678528E-2</v>
      </c>
    </row>
    <row r="274" spans="1:7" x14ac:dyDescent="0.3">
      <c r="A274" t="str">
        <f t="shared" si="183"/>
        <v>31 Science, engineering and technology associate professionals</v>
      </c>
      <c r="B274" s="11">
        <v>1.4333620706357171</v>
      </c>
      <c r="C274" s="11">
        <v>1.8250857162760676</v>
      </c>
      <c r="D274" s="11">
        <f t="shared" si="184"/>
        <v>0.39172364564035056</v>
      </c>
      <c r="E274" s="11">
        <v>0.54105130493233999</v>
      </c>
      <c r="F274" s="11">
        <f t="shared" si="185"/>
        <v>0.93277495057269055</v>
      </c>
      <c r="G274" s="200">
        <f>IF(B274&gt;0,(1+(E274/B274))^(1/($C$6-$B$6))-1,0)</f>
        <v>2.157944289393976E-2</v>
      </c>
    </row>
    <row r="275" spans="1:7" x14ac:dyDescent="0.3">
      <c r="A275" t="str">
        <f t="shared" si="183"/>
        <v>32 Health and social care associate professionals</v>
      </c>
      <c r="B275" s="11">
        <v>0.4044259381988623</v>
      </c>
      <c r="C275" s="11">
        <v>0.454960371541696</v>
      </c>
      <c r="D275" s="11">
        <f t="shared" si="184"/>
        <v>5.0534433342833696E-2</v>
      </c>
      <c r="E275" s="11">
        <v>0.16402443762880337</v>
      </c>
      <c r="F275" s="11">
        <f t="shared" si="185"/>
        <v>0.21455887097163706</v>
      </c>
      <c r="G275" s="200">
        <f t="shared" ref="G275:G292" si="188">IF(B275&gt;0,(1+(E275/B275))^(1/($C$6-$B$6))-1,0)</f>
        <v>2.2955881698233815E-2</v>
      </c>
    </row>
    <row r="276" spans="1:7" x14ac:dyDescent="0.3">
      <c r="A276" t="str">
        <f t="shared" si="183"/>
        <v>33 Protective service occupations</v>
      </c>
      <c r="B276" s="11">
        <v>0.51579770601550856</v>
      </c>
      <c r="C276" s="11">
        <v>0.37898458796176909</v>
      </c>
      <c r="D276" s="11">
        <f t="shared" si="184"/>
        <v>-0.13681311805373947</v>
      </c>
      <c r="E276" s="11">
        <v>8.8841111543804141E-2</v>
      </c>
      <c r="F276" s="11">
        <f t="shared" si="185"/>
        <v>-4.7972006509935328E-2</v>
      </c>
      <c r="G276" s="200">
        <f t="shared" si="188"/>
        <v>1.065076235500606E-2</v>
      </c>
    </row>
    <row r="277" spans="1:7" x14ac:dyDescent="0.3">
      <c r="A277" t="str">
        <f t="shared" si="183"/>
        <v>34 Culture, media and sports occupations</v>
      </c>
      <c r="B277" s="11">
        <v>1.4818282318193285</v>
      </c>
      <c r="C277" s="11">
        <v>0.94808303783826231</v>
      </c>
      <c r="D277" s="11">
        <f t="shared" si="184"/>
        <v>-0.53374519398106623</v>
      </c>
      <c r="E277" s="11">
        <v>0.37942321093614956</v>
      </c>
      <c r="F277" s="11">
        <f t="shared" ref="F277:F278" si="189">SUM(D277:E277)</f>
        <v>-0.15432198304491668</v>
      </c>
      <c r="G277" s="200">
        <f t="shared" si="188"/>
        <v>1.531424361456768E-2</v>
      </c>
    </row>
    <row r="278" spans="1:7" x14ac:dyDescent="0.3">
      <c r="A278" t="str">
        <f t="shared" si="183"/>
        <v>35 Business and public service associate professionals</v>
      </c>
      <c r="B278" s="11">
        <v>3.488559318380553</v>
      </c>
      <c r="C278" s="11">
        <v>3.1609567768842748</v>
      </c>
      <c r="D278" s="11">
        <f t="shared" si="184"/>
        <v>-0.32760254149627821</v>
      </c>
      <c r="E278" s="11">
        <v>0.92805177312218667</v>
      </c>
      <c r="F278" s="11">
        <f t="shared" si="189"/>
        <v>0.60044923162590846</v>
      </c>
      <c r="G278" s="200">
        <f t="shared" si="188"/>
        <v>1.5849886595605156E-2</v>
      </c>
    </row>
    <row r="279" spans="1:7" x14ac:dyDescent="0.3">
      <c r="A279" t="str">
        <f t="shared" si="183"/>
        <v>41 Administrative occupations</v>
      </c>
      <c r="B279" s="11">
        <v>6.8477546947783621</v>
      </c>
      <c r="C279" s="11">
        <v>4.4082497551220756</v>
      </c>
      <c r="D279" s="11">
        <f t="shared" si="184"/>
        <v>-2.4395049396562865</v>
      </c>
      <c r="E279" s="11">
        <v>1.5088713171702339</v>
      </c>
      <c r="F279" s="11">
        <f t="shared" ref="F279:F282" si="190">SUM(D279:E279)</f>
        <v>-0.93063362248605253</v>
      </c>
      <c r="G279" s="200">
        <f t="shared" si="188"/>
        <v>1.3364108094749305E-2</v>
      </c>
    </row>
    <row r="280" spans="1:7" x14ac:dyDescent="0.3">
      <c r="A280" t="str">
        <f t="shared" si="183"/>
        <v>42 Secretarial and related occupations</v>
      </c>
      <c r="B280" s="11">
        <v>3.2069031516965381</v>
      </c>
      <c r="C280" s="11">
        <v>3.8584163584310809</v>
      </c>
      <c r="D280" s="11">
        <f t="shared" si="184"/>
        <v>0.65151320673454283</v>
      </c>
      <c r="E280" s="11">
        <v>1.2886197910313169</v>
      </c>
      <c r="F280" s="11">
        <f t="shared" si="190"/>
        <v>1.9401329977658597</v>
      </c>
      <c r="G280" s="200">
        <f t="shared" si="188"/>
        <v>2.2773872033110765E-2</v>
      </c>
    </row>
    <row r="281" spans="1:7" x14ac:dyDescent="0.3">
      <c r="A281" t="str">
        <f t="shared" si="183"/>
        <v>51 Skilled agricultural and related trades</v>
      </c>
      <c r="B281" s="11">
        <v>2.3907757472946676</v>
      </c>
      <c r="C281" s="11">
        <v>1.3879272394406577</v>
      </c>
      <c r="D281" s="11">
        <f t="shared" si="184"/>
        <v>-1.0028485078540099</v>
      </c>
      <c r="E281" s="11">
        <v>0.70240900800125616</v>
      </c>
      <c r="F281" s="11">
        <f t="shared" si="190"/>
        <v>-0.30043949985275376</v>
      </c>
      <c r="G281" s="200">
        <f t="shared" si="188"/>
        <v>1.732051231718601E-2</v>
      </c>
    </row>
    <row r="282" spans="1:7" x14ac:dyDescent="0.3">
      <c r="A282" t="str">
        <f t="shared" si="183"/>
        <v>52 Skilled metal, electrical and electronic trades</v>
      </c>
      <c r="B282" s="11">
        <v>3.8337243818709599</v>
      </c>
      <c r="C282" s="11">
        <v>3.0805686433839621</v>
      </c>
      <c r="D282" s="11">
        <f t="shared" si="184"/>
        <v>-0.75315573848699779</v>
      </c>
      <c r="E282" s="11">
        <v>1.1877885086071647</v>
      </c>
      <c r="F282" s="11">
        <f t="shared" si="190"/>
        <v>0.43463277012016688</v>
      </c>
      <c r="G282" s="200">
        <f t="shared" si="188"/>
        <v>1.8155815793213348E-2</v>
      </c>
    </row>
    <row r="283" spans="1:7" x14ac:dyDescent="0.3">
      <c r="A283" t="str">
        <f t="shared" si="183"/>
        <v>53 Skilled construction and building trades</v>
      </c>
      <c r="B283" s="11">
        <v>5.1966651148364251</v>
      </c>
      <c r="C283" s="11">
        <v>0.87587471548474694</v>
      </c>
      <c r="D283" s="11">
        <f t="shared" si="184"/>
        <v>-4.3207903993516785</v>
      </c>
      <c r="E283" s="11">
        <v>0.76472247442330421</v>
      </c>
      <c r="F283" s="11">
        <f t="shared" ref="F283" si="191">SUM(D283:E283)</f>
        <v>-3.5560679249283744</v>
      </c>
      <c r="G283" s="200">
        <f t="shared" si="188"/>
        <v>9.1944230696900942E-3</v>
      </c>
    </row>
    <row r="284" spans="1:7" x14ac:dyDescent="0.3">
      <c r="A284" t="str">
        <f t="shared" si="183"/>
        <v>54 Textiles, printing and other skilled trades</v>
      </c>
      <c r="B284" s="11">
        <v>4.4215449525469133</v>
      </c>
      <c r="C284" s="11">
        <v>2.1502317147219361</v>
      </c>
      <c r="D284" s="11">
        <f t="shared" si="184"/>
        <v>-2.2713132378249772</v>
      </c>
      <c r="E284" s="11">
        <v>0.79546642978914794</v>
      </c>
      <c r="F284" s="11">
        <f t="shared" ref="F284" si="192">SUM(D284:E284)</f>
        <v>-1.4758468080358291</v>
      </c>
      <c r="G284" s="200">
        <f t="shared" si="188"/>
        <v>1.1090079627299465E-2</v>
      </c>
    </row>
    <row r="285" spans="1:7" x14ac:dyDescent="0.3">
      <c r="A285" t="str">
        <f t="shared" si="183"/>
        <v>61 Caring personal service occupations</v>
      </c>
      <c r="B285" s="11">
        <v>1.8179342827087002</v>
      </c>
      <c r="C285" s="11">
        <v>1.6510473778893895</v>
      </c>
      <c r="D285" s="11">
        <f>C285-B285</f>
        <v>-0.16688690481931068</v>
      </c>
      <c r="E285" s="11">
        <v>0.46931801997140832</v>
      </c>
      <c r="F285" s="11">
        <f>SUM(D285:E285)</f>
        <v>0.30243111515209764</v>
      </c>
      <c r="G285" s="200">
        <f t="shared" si="188"/>
        <v>1.5427824329973694E-2</v>
      </c>
    </row>
    <row r="286" spans="1:7" x14ac:dyDescent="0.3">
      <c r="A286" t="str">
        <f t="shared" si="183"/>
        <v>62 Leisure, travel and related personal service occupations</v>
      </c>
      <c r="B286" s="11">
        <v>3.1361405421588255</v>
      </c>
      <c r="C286" s="11">
        <v>1.8457190401648691</v>
      </c>
      <c r="D286" s="11">
        <f t="shared" ref="D286:D292" si="193">C286-B286</f>
        <v>-1.2904215019939564</v>
      </c>
      <c r="E286" s="11">
        <v>0.7060501269033943</v>
      </c>
      <c r="F286" s="11">
        <f t="shared" ref="F286:F287" si="194">SUM(D286:E286)</f>
        <v>-0.58437137509056214</v>
      </c>
      <c r="G286" s="200">
        <f t="shared" si="188"/>
        <v>1.3628686845100546E-2</v>
      </c>
    </row>
    <row r="287" spans="1:7" x14ac:dyDescent="0.3">
      <c r="A287" t="str">
        <f t="shared" si="183"/>
        <v>63 Community and civil enforcement occupations</v>
      </c>
      <c r="B287" s="11">
        <v>0.17663460489827676</v>
      </c>
      <c r="C287" s="11">
        <v>6.2351655138949351E-2</v>
      </c>
      <c r="D287" s="11">
        <f t="shared" si="193"/>
        <v>-0.1142829497593274</v>
      </c>
      <c r="E287" s="11">
        <v>2.1104999978888414E-2</v>
      </c>
      <c r="F287" s="11">
        <f t="shared" si="194"/>
        <v>-9.3177949780438987E-2</v>
      </c>
      <c r="G287" s="200">
        <f t="shared" si="188"/>
        <v>7.5529015863078364E-3</v>
      </c>
    </row>
    <row r="288" spans="1:7" x14ac:dyDescent="0.3">
      <c r="A288" t="str">
        <f t="shared" si="183"/>
        <v>71 Sales occupations</v>
      </c>
      <c r="B288" s="11">
        <v>10.502497112523244</v>
      </c>
      <c r="C288" s="11">
        <v>4.5442950100183479</v>
      </c>
      <c r="D288" s="11">
        <f t="shared" si="193"/>
        <v>-5.9582021025048961</v>
      </c>
      <c r="E288" s="11">
        <v>1.664369828951433</v>
      </c>
      <c r="F288" s="11">
        <f t="shared" ref="F288:F289" si="195">SUM(D288:E288)</f>
        <v>-4.2938322735534626</v>
      </c>
      <c r="G288" s="200">
        <f t="shared" si="188"/>
        <v>9.8551373903235095E-3</v>
      </c>
    </row>
    <row r="289" spans="1:7" x14ac:dyDescent="0.3">
      <c r="A289" t="str">
        <f t="shared" si="183"/>
        <v>72 Customer service occupations</v>
      </c>
      <c r="B289" s="11">
        <v>1.9459649672518924</v>
      </c>
      <c r="C289" s="11">
        <v>2.8935576525552658</v>
      </c>
      <c r="D289" s="11">
        <f t="shared" si="193"/>
        <v>0.94759268530337337</v>
      </c>
      <c r="E289" s="11">
        <v>0.81601528073862106</v>
      </c>
      <c r="F289" s="11">
        <f t="shared" si="195"/>
        <v>1.7636079660419943</v>
      </c>
      <c r="G289" s="200">
        <f t="shared" si="188"/>
        <v>2.3620645735989321E-2</v>
      </c>
    </row>
    <row r="290" spans="1:7" x14ac:dyDescent="0.3">
      <c r="A290" t="str">
        <f t="shared" si="183"/>
        <v>81 Process, plant and machine operatives</v>
      </c>
      <c r="B290" s="11">
        <v>4.8773594564544354</v>
      </c>
      <c r="C290" s="11">
        <v>1.214443383620931</v>
      </c>
      <c r="D290" s="11">
        <f t="shared" si="193"/>
        <v>-3.6629160728335046</v>
      </c>
      <c r="E290" s="11">
        <v>0.5830898489399805</v>
      </c>
      <c r="F290" s="11">
        <f t="shared" ref="F290:F291" si="196">SUM(D290:E290)</f>
        <v>-3.0798262238935239</v>
      </c>
      <c r="G290" s="200">
        <f t="shared" si="188"/>
        <v>7.5568834252484063E-3</v>
      </c>
    </row>
    <row r="291" spans="1:7" x14ac:dyDescent="0.3">
      <c r="A291" t="str">
        <f t="shared" si="183"/>
        <v>82 Transport and mobile machine drivers and operatives</v>
      </c>
      <c r="B291" s="11">
        <v>11.182001816438166</v>
      </c>
      <c r="C291" s="11">
        <v>5.8865507768383063</v>
      </c>
      <c r="D291" s="11">
        <f t="shared" si="193"/>
        <v>-5.2954510395998602</v>
      </c>
      <c r="E291" s="11">
        <v>3.2090381590925254</v>
      </c>
      <c r="F291" s="11">
        <f t="shared" si="196"/>
        <v>-2.0864128805073348</v>
      </c>
      <c r="G291" s="200">
        <f t="shared" si="188"/>
        <v>1.6962271895174519E-2</v>
      </c>
    </row>
    <row r="292" spans="1:7" x14ac:dyDescent="0.3">
      <c r="A292" t="str">
        <f t="shared" si="183"/>
        <v>91 Elementary trades and related occupations</v>
      </c>
      <c r="B292" s="11">
        <v>5.1646714807957537</v>
      </c>
      <c r="C292" s="11">
        <v>2.0626237132554825</v>
      </c>
      <c r="D292" s="11">
        <f t="shared" si="193"/>
        <v>-3.1020477675402711</v>
      </c>
      <c r="E292" s="11">
        <v>0.87545310453446568</v>
      </c>
      <c r="F292" s="11">
        <f t="shared" ref="F292" si="197">SUM(D292:E292)</f>
        <v>-2.2265946630058053</v>
      </c>
      <c r="G292" s="200">
        <f t="shared" si="188"/>
        <v>1.0493551336460349E-2</v>
      </c>
    </row>
    <row r="293" spans="1:7" x14ac:dyDescent="0.3">
      <c r="A293" t="str">
        <f t="shared" si="183"/>
        <v>92 Elementary administration and service occupations</v>
      </c>
      <c r="B293" s="11">
        <v>26.40212749771786</v>
      </c>
      <c r="C293" s="11">
        <v>9.5554303994977996</v>
      </c>
      <c r="D293" s="11">
        <f t="shared" ref="D293" si="198">C293-B293</f>
        <v>-16.846697098220062</v>
      </c>
      <c r="E293" s="11">
        <v>4.2499717134587014</v>
      </c>
      <c r="F293" s="11">
        <f t="shared" ref="F293" si="199">SUM(D293:E293)</f>
        <v>-12.59672538476136</v>
      </c>
      <c r="G293" s="200">
        <f>IF(B293&gt;0,(1+(E293/B293))^(1/($C$6-$B$6))-1,0)</f>
        <v>1.0000107266070479E-2</v>
      </c>
    </row>
    <row r="294" spans="1:7" x14ac:dyDescent="0.3">
      <c r="A294" s="23" t="str">
        <f t="shared" si="183"/>
        <v>All occupations</v>
      </c>
      <c r="B294" s="33">
        <f>SUM(B268:B293)</f>
        <v>113.58689415162695</v>
      </c>
      <c r="C294" s="33">
        <f>SUM(C268:C293)</f>
        <v>66.640658026299946</v>
      </c>
      <c r="D294" s="33">
        <f>SUM(D268:D293)</f>
        <v>-46.946236125326962</v>
      </c>
      <c r="E294" s="33">
        <f>SUM(E268:E293)</f>
        <v>25.72891423496306</v>
      </c>
      <c r="F294" s="33">
        <f>SUM(F268:F293)</f>
        <v>-21.217321890363909</v>
      </c>
      <c r="G294" s="234">
        <f>IF(B294&gt;0,(1+(E294/B294))^(1/($C$6-$B$6))-1,0)</f>
        <v>1.3704742537274939E-2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78" orientation="portrait" r:id="rId1"/>
  <headerFooter alignWithMargins="0"/>
  <rowBreaks count="6" manualBreakCount="6">
    <brk id="44" min="23" max="29" man="1"/>
    <brk id="61" min="8" max="13" man="1"/>
    <brk id="62" max="6" man="1"/>
    <brk id="120" max="6" man="1"/>
    <brk id="178" max="6" man="1"/>
    <brk id="236" max="6" man="1"/>
  </rowBreaks>
  <colBreaks count="1" manualBreakCount="1">
    <brk id="8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0"/>
  <dimension ref="A1:Q65"/>
  <sheetViews>
    <sheetView zoomScale="85" zoomScaleNormal="85" workbookViewId="0"/>
  </sheetViews>
  <sheetFormatPr defaultRowHeight="12.45" x14ac:dyDescent="0.3"/>
  <cols>
    <col min="1" max="14" width="9.15234375" style="80"/>
    <col min="15" max="15" width="44.15234375" customWidth="1"/>
    <col min="16" max="17" width="16.84375" customWidth="1"/>
  </cols>
  <sheetData>
    <row r="1" spans="1:17" ht="15.45" x14ac:dyDescent="0.4">
      <c r="A1" s="79" t="str">
        <f>CONCATENATE("Replacement Demand Figure 1  Replacement Demand by Occupation Group (SOC 2020), ",P4,", ",Info!B5)</f>
        <v>Replacement Demand Figure 1  Replacement Demand by Occupation Group (SOC 2020), 2020-2035, East</v>
      </c>
    </row>
    <row r="2" spans="1:17" x14ac:dyDescent="0.3">
      <c r="A2" s="362" t="s">
        <v>540</v>
      </c>
    </row>
    <row r="3" spans="1:17" x14ac:dyDescent="0.3">
      <c r="O3" s="45" t="s">
        <v>426</v>
      </c>
    </row>
    <row r="4" spans="1:17" x14ac:dyDescent="0.3">
      <c r="P4" s="15" t="str">
        <f>'Occ T1'!H4</f>
        <v>2020-2035</v>
      </c>
    </row>
    <row r="5" spans="1:17" x14ac:dyDescent="0.3">
      <c r="P5" s="15" t="str">
        <f>CONCATENATE('Occ T1'!H5," ",'Occ T1'!H6)</f>
        <v>Net Change</v>
      </c>
      <c r="Q5" s="15" t="str">
        <f>CONCATENATE('Occ T1'!J5," ",'Occ T1'!J6)</f>
        <v>Total Requirement</v>
      </c>
    </row>
    <row r="6" spans="1:17" x14ac:dyDescent="0.3">
      <c r="P6" s="11"/>
      <c r="Q6" s="11"/>
    </row>
    <row r="7" spans="1:17" x14ac:dyDescent="0.3">
      <c r="O7" t="str">
        <f>name!E12</f>
        <v>Elementary occupations</v>
      </c>
      <c r="P7" s="11">
        <f>'Occ T1'!H16</f>
        <v>-11.818054110158357</v>
      </c>
      <c r="Q7" s="11">
        <f>'Occ T1'!J16</f>
        <v>156.26438223090747</v>
      </c>
    </row>
    <row r="8" spans="1:17" x14ac:dyDescent="0.3">
      <c r="O8" t="str">
        <f>name!E11</f>
        <v>Process, plant and machine operatives</v>
      </c>
      <c r="P8" s="11">
        <f>'Occ T1'!H15</f>
        <v>33.030412715911979</v>
      </c>
      <c r="Q8" s="11">
        <f>'Occ T1'!J15</f>
        <v>132.71680262720449</v>
      </c>
    </row>
    <row r="9" spans="1:17" x14ac:dyDescent="0.3">
      <c r="O9" t="str">
        <f>name!E10</f>
        <v>Sales and customer service occupations</v>
      </c>
      <c r="P9" s="11">
        <f>'Occ T1'!H14</f>
        <v>1.2564902474247219</v>
      </c>
      <c r="Q9" s="11">
        <f>'Occ T1'!J14</f>
        <v>114.0390972249502</v>
      </c>
    </row>
    <row r="10" spans="1:17" x14ac:dyDescent="0.3">
      <c r="O10" t="str">
        <f>name!E9</f>
        <v>Caring, leisure and other service occupations</v>
      </c>
      <c r="P10" s="11">
        <f>'Occ T1'!H13</f>
        <v>53.989729899429562</v>
      </c>
      <c r="Q10" s="11">
        <f>'Occ T1'!J13</f>
        <v>237.58275344775802</v>
      </c>
    </row>
    <row r="11" spans="1:17" x14ac:dyDescent="0.3">
      <c r="O11" t="str">
        <f>name!E8</f>
        <v>Skilled trades occupations</v>
      </c>
      <c r="P11" s="11">
        <f>'Occ T1'!H12</f>
        <v>6.1758321933936031</v>
      </c>
      <c r="Q11" s="11">
        <f>'Occ T1'!J12</f>
        <v>125.3559174019949</v>
      </c>
    </row>
    <row r="12" spans="1:17" x14ac:dyDescent="0.3">
      <c r="O12" t="str">
        <f>name!E7</f>
        <v>Administrative and secretarial occupations</v>
      </c>
      <c r="P12" s="11">
        <f>'Occ T1'!H11</f>
        <v>-50.355676241367803</v>
      </c>
      <c r="Q12" s="11">
        <f>'Occ T1'!J11</f>
        <v>104.45404057582951</v>
      </c>
    </row>
    <row r="13" spans="1:17" x14ac:dyDescent="0.3">
      <c r="O13" t="str">
        <f>name!E6</f>
        <v>Associate professional occupations</v>
      </c>
      <c r="P13" s="11">
        <f>'Occ T1'!H10</f>
        <v>30.126707330374188</v>
      </c>
      <c r="Q13" s="11">
        <f>'Occ T1'!J10</f>
        <v>228.28773648000174</v>
      </c>
    </row>
    <row r="14" spans="1:17" x14ac:dyDescent="0.3">
      <c r="O14" t="str">
        <f>name!E5</f>
        <v>Professional occupations</v>
      </c>
      <c r="P14" s="11">
        <f>'Occ T1'!H9</f>
        <v>146.50808575594715</v>
      </c>
      <c r="Q14" s="11">
        <f>'Occ T1'!J9</f>
        <v>508.30709178635789</v>
      </c>
    </row>
    <row r="15" spans="1:17" x14ac:dyDescent="0.3">
      <c r="O15" t="str">
        <f>name!E4</f>
        <v>Managers, directors and senior officials</v>
      </c>
      <c r="P15" s="11">
        <f>'Occ T1'!H8</f>
        <v>61.177472208545737</v>
      </c>
      <c r="Q15" s="11">
        <f>'Occ T1'!J8</f>
        <v>269.57722661569142</v>
      </c>
    </row>
    <row r="34" spans="1:17" ht="15.45" x14ac:dyDescent="0.4">
      <c r="A34" s="79" t="str">
        <f>CONCATENATE("Replacement Demand Figure 1.1  Replacement Demand by Occupation (SOC 2020), ",P35,", ",Info!B5)</f>
        <v>Replacement Demand Figure 1.1  Replacement Demand by Occupation (SOC 2020), 2020-2035, East</v>
      </c>
      <c r="O34" s="45" t="s">
        <v>426</v>
      </c>
    </row>
    <row r="35" spans="1:17" x14ac:dyDescent="0.3">
      <c r="P35" s="15" t="str">
        <f>'Occ T1'!H4</f>
        <v>2020-2035</v>
      </c>
    </row>
    <row r="36" spans="1:17" x14ac:dyDescent="0.3">
      <c r="P36" s="15" t="str">
        <f>CONCATENATE('Occ T1'!H5," ",'Occ T1'!H6)</f>
        <v>Net Change</v>
      </c>
      <c r="Q36" s="15" t="str">
        <f>CONCATENATE('Occ T1'!J5," ",'Occ T1'!J6)</f>
        <v>Total Requirement</v>
      </c>
    </row>
    <row r="37" spans="1:17" x14ac:dyDescent="0.3">
      <c r="O37" s="10" t="str">
        <f>name!D4</f>
        <v>11 Corporate managers and directors</v>
      </c>
      <c r="P37" s="11">
        <f>'Occ T2'!H8</f>
        <v>11.952264123104271</v>
      </c>
      <c r="Q37" s="11">
        <f>'Occ T2'!J8</f>
        <v>140.9637244401645</v>
      </c>
    </row>
    <row r="38" spans="1:17" x14ac:dyDescent="0.3">
      <c r="O38" s="10" t="str">
        <f>name!D5</f>
        <v>12 Other managers and proprietors</v>
      </c>
      <c r="P38" s="11">
        <f>'Occ T2'!H9</f>
        <v>49.225208085441466</v>
      </c>
      <c r="Q38" s="11">
        <f>'Occ T2'!J9</f>
        <v>128.61350217552695</v>
      </c>
    </row>
    <row r="39" spans="1:17" x14ac:dyDescent="0.3">
      <c r="O39" s="10" t="str">
        <f>name!D6</f>
        <v>21 Science, research, engineering and technology professionals</v>
      </c>
      <c r="P39" s="11">
        <f>'Occ T2'!H10</f>
        <v>39.771130633518709</v>
      </c>
      <c r="Q39" s="11">
        <f>'Occ T2'!J10</f>
        <v>128.96508286291493</v>
      </c>
    </row>
    <row r="40" spans="1:17" x14ac:dyDescent="0.3">
      <c r="O40" s="10" t="str">
        <f>name!D7</f>
        <v>22 Health professionals</v>
      </c>
      <c r="P40" s="11">
        <f>'Occ T2'!H11</f>
        <v>25.985600013100608</v>
      </c>
      <c r="Q40" s="11">
        <f>'Occ T2'!J11</f>
        <v>97.488240348252717</v>
      </c>
    </row>
    <row r="41" spans="1:17" x14ac:dyDescent="0.3">
      <c r="O41" s="10" t="str">
        <f>name!D8</f>
        <v>23 Teaching and other educational professionals</v>
      </c>
      <c r="P41" s="11">
        <f>'Occ T2'!H12</f>
        <v>18.819618870071309</v>
      </c>
      <c r="Q41" s="11">
        <f>'Occ T2'!J12</f>
        <v>100.1159627219804</v>
      </c>
    </row>
    <row r="42" spans="1:17" x14ac:dyDescent="0.3">
      <c r="O42" s="10" t="str">
        <f>name!D9</f>
        <v>24 Business, media and public service professionals</v>
      </c>
      <c r="P42" s="11">
        <f>'Occ T2'!H13</f>
        <v>61.931736239256594</v>
      </c>
      <c r="Q42" s="11">
        <f>'Occ T2'!J13</f>
        <v>181.73780585320989</v>
      </c>
    </row>
    <row r="43" spans="1:17" x14ac:dyDescent="0.3">
      <c r="O43" s="10" t="str">
        <f>name!D10</f>
        <v>31 Science, engineering and technology associate professionals</v>
      </c>
      <c r="P43" s="11">
        <f>'Occ T2'!H14</f>
        <v>-2.2848968922760093</v>
      </c>
      <c r="Q43" s="11">
        <f>'Occ T2'!J14</f>
        <v>23.172127197891296</v>
      </c>
    </row>
    <row r="44" spans="1:17" x14ac:dyDescent="0.3">
      <c r="O44" s="10" t="str">
        <f>name!D11</f>
        <v>32 Health and social care associate professionals</v>
      </c>
      <c r="P44" s="11">
        <f>'Occ T2'!H15</f>
        <v>7.7754781570024676</v>
      </c>
      <c r="Q44" s="11">
        <f>'Occ T2'!J15</f>
        <v>40.375241286273038</v>
      </c>
    </row>
    <row r="45" spans="1:17" x14ac:dyDescent="0.3">
      <c r="O45" s="10" t="str">
        <f>name!D12</f>
        <v>33 Protective service occupations</v>
      </c>
      <c r="P45" s="11">
        <f>'Occ T2'!H16</f>
        <v>15.227568546365063</v>
      </c>
      <c r="Q45" s="11">
        <f>'Occ T2'!J16</f>
        <v>29.906109454763591</v>
      </c>
    </row>
    <row r="46" spans="1:17" x14ac:dyDescent="0.3">
      <c r="O46" s="10" t="str">
        <f>name!D13</f>
        <v>34 Culture, media and sports occupations</v>
      </c>
      <c r="P46" s="11">
        <f>'Occ T2'!H17</f>
        <v>3.4580078413247719</v>
      </c>
      <c r="Q46" s="11">
        <f>'Occ T2'!J17</f>
        <v>36.564581484285014</v>
      </c>
    </row>
    <row r="47" spans="1:17" x14ac:dyDescent="0.3">
      <c r="O47" s="10" t="str">
        <f>name!D14</f>
        <v>35 Business and public service associate professionals</v>
      </c>
      <c r="P47" s="11">
        <f>'Occ T2'!H18</f>
        <v>5.9505496779578664</v>
      </c>
      <c r="Q47" s="11">
        <f>'Occ T2'!J18</f>
        <v>98.26967705678878</v>
      </c>
    </row>
    <row r="48" spans="1:17" x14ac:dyDescent="0.3">
      <c r="O48" s="10" t="str">
        <f>name!D15</f>
        <v>41 Administrative occupations</v>
      </c>
      <c r="P48" s="11">
        <f>'Occ T2'!H19</f>
        <v>-34.104315212636351</v>
      </c>
      <c r="Q48" s="11">
        <f>'Occ T2'!J19</f>
        <v>86.101060545292697</v>
      </c>
    </row>
    <row r="49" spans="15:17" x14ac:dyDescent="0.3">
      <c r="O49" s="10" t="str">
        <f>name!D16</f>
        <v>42 Secretarial and related occupations</v>
      </c>
      <c r="P49" s="11">
        <f>'Occ T2'!H20</f>
        <v>-16.251361028731445</v>
      </c>
      <c r="Q49" s="11">
        <f>'Occ T2'!J20</f>
        <v>18.352980030536827</v>
      </c>
    </row>
    <row r="50" spans="15:17" x14ac:dyDescent="0.3">
      <c r="O50" s="10" t="str">
        <f>name!D17</f>
        <v>51 Skilled agricultural and related trades</v>
      </c>
      <c r="P50" s="11">
        <f>'Occ T2'!H21</f>
        <v>6.623388735060626</v>
      </c>
      <c r="Q50" s="11">
        <f>'Occ T2'!J21</f>
        <v>23.82922082514072</v>
      </c>
    </row>
    <row r="51" spans="15:17" x14ac:dyDescent="0.3">
      <c r="O51" s="10" t="str">
        <f>name!D18</f>
        <v>52 Skilled metal, electrical and electronic trades</v>
      </c>
      <c r="P51" s="11">
        <f>'Occ T2'!H22</f>
        <v>-0.73280054780798309</v>
      </c>
      <c r="Q51" s="11">
        <f>'Occ T2'!J22</f>
        <v>38.188163866692257</v>
      </c>
    </row>
    <row r="52" spans="15:17" x14ac:dyDescent="0.3">
      <c r="O52" s="10" t="str">
        <f>name!D19</f>
        <v>53 Skilled construction and building trades</v>
      </c>
      <c r="P52" s="11">
        <f>'Occ T2'!H23</f>
        <v>-2.074831155631415</v>
      </c>
      <c r="Q52" s="11">
        <f>'Occ T2'!J23</f>
        <v>33.897962586113849</v>
      </c>
    </row>
    <row r="53" spans="15:17" x14ac:dyDescent="0.3">
      <c r="O53" s="10" t="str">
        <f>name!D20</f>
        <v>54 Textiles, printing and other skilled trades</v>
      </c>
      <c r="P53" s="11">
        <f>'Occ T2'!H24</f>
        <v>2.3600751617724072</v>
      </c>
      <c r="Q53" s="11">
        <f>'Occ T2'!J24</f>
        <v>29.440570124048119</v>
      </c>
    </row>
    <row r="54" spans="15:17" x14ac:dyDescent="0.3">
      <c r="O54" s="10" t="str">
        <f>name!D21</f>
        <v>61 Caring personal service occupations</v>
      </c>
      <c r="P54" s="11">
        <f>'Occ T2'!H25</f>
        <v>50.977724785936459</v>
      </c>
      <c r="Q54" s="11">
        <f>'Occ T2'!J25</f>
        <v>195.1208899630987</v>
      </c>
    </row>
    <row r="55" spans="15:17" x14ac:dyDescent="0.3">
      <c r="O55" s="10" t="str">
        <f>name!D22</f>
        <v>62 Leisure, travel and related personal service occupations</v>
      </c>
      <c r="P55" s="11">
        <f>'Occ T2'!H26</f>
        <v>3.4166896791630705</v>
      </c>
      <c r="Q55" s="11">
        <f>'Occ T2'!J26</f>
        <v>41.450901204551073</v>
      </c>
    </row>
    <row r="56" spans="15:17" x14ac:dyDescent="0.3">
      <c r="O56" s="10" t="str">
        <f>name!D23</f>
        <v>63 Community and civil enforcement occupations</v>
      </c>
      <c r="P56" s="11">
        <f>'Occ T2'!H27</f>
        <v>-0.40468456566999356</v>
      </c>
      <c r="Q56" s="11">
        <f>'Occ T2'!J27</f>
        <v>1.0109622801082108</v>
      </c>
    </row>
    <row r="57" spans="15:17" x14ac:dyDescent="0.3">
      <c r="O57" s="10" t="str">
        <f>name!D24</f>
        <v>71 Sales occupations</v>
      </c>
      <c r="P57" s="11">
        <f>'Occ T2'!H28</f>
        <v>-22.525207462070767</v>
      </c>
      <c r="Q57" s="11">
        <f>'Occ T2'!J28</f>
        <v>59.615503671307891</v>
      </c>
    </row>
    <row r="58" spans="15:17" x14ac:dyDescent="0.3">
      <c r="O58" s="10" t="str">
        <f>name!D25</f>
        <v>72 Customer service occupations</v>
      </c>
      <c r="P58" s="11">
        <f>'Occ T2'!H29</f>
        <v>23.781697709495489</v>
      </c>
      <c r="Q58" s="11">
        <f>'Occ T2'!J29</f>
        <v>54.423593553642306</v>
      </c>
    </row>
    <row r="59" spans="15:17" x14ac:dyDescent="0.3">
      <c r="O59" s="10" t="str">
        <f>name!D26</f>
        <v>81 Process, plant and machine operatives</v>
      </c>
      <c r="P59" s="11">
        <f>'Occ T2'!H30</f>
        <v>15.943429451522164</v>
      </c>
      <c r="Q59" s="11">
        <f>'Occ T2'!J30</f>
        <v>47.722235607113838</v>
      </c>
    </row>
    <row r="60" spans="15:17" x14ac:dyDescent="0.3">
      <c r="O60" s="10" t="str">
        <f>name!D27</f>
        <v>82 Transport and mobile machine drivers and operatives</v>
      </c>
      <c r="P60" s="11">
        <f>'Occ T2'!H31</f>
        <v>17.086983264389815</v>
      </c>
      <c r="Q60" s="11">
        <f>'Occ T2'!J31</f>
        <v>84.994567020090642</v>
      </c>
    </row>
    <row r="61" spans="15:17" x14ac:dyDescent="0.3">
      <c r="O61" s="10" t="str">
        <f>name!D28</f>
        <v>91 Elementary trades and related occupations</v>
      </c>
      <c r="P61" s="11">
        <f>'Occ T2'!H32</f>
        <v>-5.7990214938288744</v>
      </c>
      <c r="Q61" s="11">
        <f>'Occ T2'!J32</f>
        <v>9.0589481085131212</v>
      </c>
    </row>
    <row r="62" spans="15:17" x14ac:dyDescent="0.3">
      <c r="O62" s="10" t="str">
        <f>name!D29</f>
        <v>92 Elementary administration and service occupations</v>
      </c>
      <c r="P62" s="11">
        <f>'Occ T2'!H33</f>
        <v>-6.0190326163294685</v>
      </c>
      <c r="Q62" s="11">
        <f>'Occ T2'!J33</f>
        <v>147.20543412239437</v>
      </c>
    </row>
    <row r="63" spans="15:17" x14ac:dyDescent="0.3">
      <c r="O63" s="10"/>
      <c r="P63" s="11"/>
      <c r="Q63" s="11"/>
    </row>
    <row r="64" spans="15:17" x14ac:dyDescent="0.3">
      <c r="O64" s="10" t="str">
        <f>name!D3</f>
        <v>All occupations</v>
      </c>
      <c r="P64" s="11">
        <f>'Occ T2'!H35</f>
        <v>270.09099999949967</v>
      </c>
      <c r="Q64" s="11">
        <f>'Occ T2'!J35</f>
        <v>1876.5850483906956</v>
      </c>
    </row>
    <row r="65" spans="15:15" x14ac:dyDescent="0.3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5"/>
  <dimension ref="A1:AN101"/>
  <sheetViews>
    <sheetView showGridLines="0" zoomScale="85" zoomScaleNormal="85" workbookViewId="0"/>
  </sheetViews>
  <sheetFormatPr defaultColWidth="9.15234375" defaultRowHeight="12.45" x14ac:dyDescent="0.3"/>
  <cols>
    <col min="1" max="1" width="37.53515625" style="13" customWidth="1"/>
    <col min="2" max="4" width="7.15234375" style="13" bestFit="1" customWidth="1"/>
    <col min="5" max="5" width="5.69140625" style="13" customWidth="1"/>
    <col min="6" max="8" width="4.69140625" style="13" bestFit="1" customWidth="1"/>
    <col min="9" max="9" width="5.69140625" style="13" customWidth="1"/>
    <col min="10" max="12" width="5.69140625" style="13" bestFit="1" customWidth="1"/>
    <col min="13" max="13" width="5.69140625" style="13" customWidth="1"/>
    <col min="14" max="16" width="5.69140625" style="13" bestFit="1" customWidth="1"/>
    <col min="17" max="17" width="5.84375" style="13" customWidth="1"/>
    <col min="18" max="20" width="5.69140625" style="13" bestFit="1" customWidth="1"/>
    <col min="21" max="21" width="5.69140625" style="13" customWidth="1"/>
    <col min="22" max="24" width="5.69140625" style="13" bestFit="1" customWidth="1"/>
    <col min="25" max="25" width="5.69140625" style="13" customWidth="1"/>
    <col min="26" max="28" width="5.69140625" style="13" bestFit="1" customWidth="1"/>
    <col min="29" max="29" width="5.69140625" style="13" customWidth="1"/>
    <col min="30" max="32" width="5.69140625" style="13" bestFit="1" customWidth="1"/>
    <col min="33" max="33" width="5.69140625" style="13" customWidth="1"/>
    <col min="34" max="36" width="5.69140625" style="13" bestFit="1" customWidth="1"/>
    <col min="37" max="37" width="5.69140625" style="13" customWidth="1"/>
    <col min="38" max="38" width="5.69140625" style="13" bestFit="1" customWidth="1"/>
    <col min="39" max="40" width="4.69140625" style="13" bestFit="1" customWidth="1"/>
    <col min="41" max="16384" width="9.15234375" style="13"/>
  </cols>
  <sheetData>
    <row r="1" spans="1:40" ht="15.45" x14ac:dyDescent="0.4">
      <c r="A1" s="18" t="str">
        <f>CONCATENATE("Basic Table 1  Employment by Industry Sector, Occupation Group and Qualification, ",B$5,"-",D$5,", ",Info!B5)</f>
        <v>Basic Table 1  Employment by Industry Sector, Occupation Group and Qualification, 2020-2035, East</v>
      </c>
    </row>
    <row r="2" spans="1:40" ht="12.75" customHeight="1" x14ac:dyDescent="0.3">
      <c r="A2" s="181" t="s">
        <v>544</v>
      </c>
    </row>
    <row r="3" spans="1:40" ht="12.75" customHeight="1" x14ac:dyDescent="0.4">
      <c r="A3" s="18"/>
      <c r="AN3" s="37" t="s">
        <v>35</v>
      </c>
    </row>
    <row r="4" spans="1:40" ht="24.75" customHeight="1" x14ac:dyDescent="0.3">
      <c r="A4" s="77"/>
      <c r="B4" s="380" t="str">
        <f>name!F3</f>
        <v>All qualifications</v>
      </c>
      <c r="C4" s="380"/>
      <c r="D4" s="380"/>
      <c r="E4" s="77"/>
      <c r="F4" s="381" t="str">
        <f>name!F4</f>
        <v>RQF8 Doctorate</v>
      </c>
      <c r="G4" s="381"/>
      <c r="H4" s="381"/>
      <c r="I4" s="77"/>
      <c r="J4" s="381" t="str">
        <f>name!F5</f>
        <v>RQF7 Other higher degree</v>
      </c>
      <c r="K4" s="381"/>
      <c r="L4" s="381"/>
      <c r="M4" s="77"/>
      <c r="N4" s="381" t="str">
        <f>name!F6</f>
        <v>RQF6 First degree</v>
      </c>
      <c r="O4" s="381"/>
      <c r="P4" s="381"/>
      <c r="Q4" s="77"/>
      <c r="R4" s="381" t="str">
        <f>name!F7</f>
        <v>RQF5 Foundation degree;Nursing;Teaching</v>
      </c>
      <c r="S4" s="381"/>
      <c r="T4" s="381"/>
      <c r="U4" s="77"/>
      <c r="V4" s="381" t="str">
        <f>name!F8</f>
        <v>RQF4 HE below degree level</v>
      </c>
      <c r="W4" s="381"/>
      <c r="X4" s="381"/>
      <c r="Y4" s="77"/>
      <c r="Z4" s="381" t="str">
        <f>name!F9</f>
        <v>RQF3 A level &amp; equivalent</v>
      </c>
      <c r="AA4" s="381"/>
      <c r="AB4" s="381"/>
      <c r="AC4" s="77"/>
      <c r="AD4" s="381" t="str">
        <f>name!F10</f>
        <v>RQF2 GCSE(A-C) &amp; equivalent</v>
      </c>
      <c r="AE4" s="381"/>
      <c r="AF4" s="381"/>
      <c r="AG4" s="77"/>
      <c r="AH4" s="381" t="str">
        <f>name!F11</f>
        <v>RQF1 GCSE(below grade C) &amp; equivalent</v>
      </c>
      <c r="AI4" s="381"/>
      <c r="AJ4" s="381"/>
      <c r="AK4" s="77"/>
      <c r="AL4" s="381" t="str">
        <f>name!F12</f>
        <v>No Qualification</v>
      </c>
      <c r="AM4" s="381"/>
      <c r="AN4" s="381"/>
    </row>
    <row r="5" spans="1:40" x14ac:dyDescent="0.3">
      <c r="A5" s="38"/>
      <c r="B5" s="41">
        <v>2020</v>
      </c>
      <c r="C5" s="41">
        <v>2025</v>
      </c>
      <c r="D5" s="41">
        <v>2035</v>
      </c>
      <c r="E5" s="38"/>
      <c r="F5" s="34">
        <f>B5</f>
        <v>2020</v>
      </c>
      <c r="G5" s="34">
        <f>C5</f>
        <v>2025</v>
      </c>
      <c r="H5" s="34">
        <f>D5</f>
        <v>2035</v>
      </c>
      <c r="I5" s="38"/>
      <c r="J5" s="34">
        <f>B5</f>
        <v>2020</v>
      </c>
      <c r="K5" s="34">
        <f>C5</f>
        <v>2025</v>
      </c>
      <c r="L5" s="34">
        <f>D5</f>
        <v>2035</v>
      </c>
      <c r="M5" s="38"/>
      <c r="N5" s="34">
        <f>B5</f>
        <v>2020</v>
      </c>
      <c r="O5" s="34">
        <f>C5</f>
        <v>2025</v>
      </c>
      <c r="P5" s="34">
        <f>D5</f>
        <v>2035</v>
      </c>
      <c r="Q5" s="38"/>
      <c r="R5" s="34">
        <f>F5</f>
        <v>2020</v>
      </c>
      <c r="S5" s="34">
        <f>G5</f>
        <v>2025</v>
      </c>
      <c r="T5" s="34">
        <f>H5</f>
        <v>2035</v>
      </c>
      <c r="U5" s="38"/>
      <c r="V5" s="34">
        <f>J5</f>
        <v>2020</v>
      </c>
      <c r="W5" s="34">
        <f>K5</f>
        <v>2025</v>
      </c>
      <c r="X5" s="34">
        <f>L5</f>
        <v>2035</v>
      </c>
      <c r="Y5" s="38"/>
      <c r="Z5" s="34">
        <f>N5</f>
        <v>2020</v>
      </c>
      <c r="AA5" s="34">
        <f>O5</f>
        <v>2025</v>
      </c>
      <c r="AB5" s="34">
        <f>P5</f>
        <v>2035</v>
      </c>
      <c r="AC5" s="38"/>
      <c r="AD5" s="34">
        <f>R5</f>
        <v>2020</v>
      </c>
      <c r="AE5" s="34">
        <f>S5</f>
        <v>2025</v>
      </c>
      <c r="AF5" s="34">
        <f>T5</f>
        <v>2035</v>
      </c>
      <c r="AG5" s="38"/>
      <c r="AH5" s="34">
        <f>V5</f>
        <v>2020</v>
      </c>
      <c r="AI5" s="34">
        <f>W5</f>
        <v>2025</v>
      </c>
      <c r="AJ5" s="34">
        <f>X5</f>
        <v>2035</v>
      </c>
      <c r="AK5" s="38"/>
      <c r="AL5" s="34">
        <f>Z5</f>
        <v>2020</v>
      </c>
      <c r="AM5" s="34">
        <f>AA5</f>
        <v>2025</v>
      </c>
      <c r="AN5" s="34">
        <f>AB5</f>
        <v>2035</v>
      </c>
    </row>
    <row r="7" spans="1:40" x14ac:dyDescent="0.3">
      <c r="A7" s="1" t="str">
        <f>name!C3</f>
        <v>All industries</v>
      </c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R7" s="76"/>
      <c r="S7" s="76"/>
      <c r="T7" s="76"/>
      <c r="V7" s="76"/>
      <c r="W7" s="76"/>
      <c r="X7" s="76"/>
      <c r="Z7" s="76"/>
      <c r="AA7" s="76"/>
      <c r="AB7" s="76"/>
      <c r="AD7" s="76"/>
      <c r="AE7" s="76"/>
      <c r="AF7" s="76"/>
      <c r="AH7" s="76"/>
      <c r="AI7" s="76"/>
      <c r="AJ7" s="76"/>
      <c r="AL7" s="76"/>
      <c r="AM7" s="76"/>
      <c r="AN7" s="76"/>
    </row>
    <row r="8" spans="1:40" x14ac:dyDescent="0.3">
      <c r="A8" s="13" t="str">
        <f>name!E3</f>
        <v>All occupations</v>
      </c>
      <c r="B8" s="305">
        <f>SUM(B9:B17)</f>
        <v>3174.1919999983998</v>
      </c>
      <c r="C8" s="305">
        <f>SUM(C9:C17)</f>
        <v>3280.252000000004</v>
      </c>
      <c r="D8" s="305">
        <f>SUM(D9:D17)</f>
        <v>3444.2829999978994</v>
      </c>
      <c r="E8" s="304"/>
      <c r="F8" s="305">
        <f>SUM(F9:F17)</f>
        <v>45.751429839235051</v>
      </c>
      <c r="G8" s="305">
        <f>SUM(G9:G17)</f>
        <v>58.110314098046487</v>
      </c>
      <c r="H8" s="305">
        <f>SUM(H9:H17)</f>
        <v>75.377232108376006</v>
      </c>
      <c r="I8" s="304"/>
      <c r="J8" s="305">
        <f>SUM(J9:J17)</f>
        <v>309.62997967254864</v>
      </c>
      <c r="K8" s="305">
        <f>SUM(K9:K17)</f>
        <v>395.65703014048552</v>
      </c>
      <c r="L8" s="305">
        <f>SUM(L9:L17)</f>
        <v>518.35251208381237</v>
      </c>
      <c r="M8" s="304"/>
      <c r="N8" s="305">
        <f>SUM(N9:N17)</f>
        <v>660.66901591012743</v>
      </c>
      <c r="O8" s="305">
        <f>SUM(O9:O17)</f>
        <v>688.61222597327355</v>
      </c>
      <c r="P8" s="305">
        <f>SUM(P9:P17)</f>
        <v>825.96029950573836</v>
      </c>
      <c r="Q8" s="306"/>
      <c r="R8" s="305">
        <f>SUM(R9:R17)</f>
        <v>180.33887006584985</v>
      </c>
      <c r="S8" s="305">
        <f>SUM(S9:S17)</f>
        <v>176.30587381291062</v>
      </c>
      <c r="T8" s="305">
        <f>SUM(T9:T17)</f>
        <v>205.99694559964456</v>
      </c>
      <c r="U8" s="306"/>
      <c r="V8" s="305">
        <f>SUM(V9:V17)</f>
        <v>183.52610792279154</v>
      </c>
      <c r="W8" s="305">
        <f>SUM(W9:W17)</f>
        <v>187.45047070650639</v>
      </c>
      <c r="X8" s="305">
        <f>SUM(X9:X17)</f>
        <v>223.47715854059464</v>
      </c>
      <c r="Y8" s="306"/>
      <c r="Z8" s="305">
        <f>SUM(Z9:Z17)</f>
        <v>606.6028370610054</v>
      </c>
      <c r="AA8" s="305">
        <f>SUM(AA9:AA17)</f>
        <v>654.80300574649061</v>
      </c>
      <c r="AB8" s="305">
        <f>SUM(AB9:AB17)</f>
        <v>689.22564214721046</v>
      </c>
      <c r="AC8" s="306"/>
      <c r="AD8" s="305">
        <f>SUM(AD9:AD17)</f>
        <v>653.11181179721439</v>
      </c>
      <c r="AE8" s="305">
        <f>SUM(AE9:AE17)</f>
        <v>636.23390047529188</v>
      </c>
      <c r="AF8" s="305">
        <f>SUM(AF9:AF17)</f>
        <v>560.57279698976504</v>
      </c>
      <c r="AG8" s="306"/>
      <c r="AH8" s="305">
        <f>SUM(AH9:AH17)</f>
        <v>420.9750535780006</v>
      </c>
      <c r="AI8" s="305">
        <f>SUM(AI9:AI17)</f>
        <v>388.91262234212485</v>
      </c>
      <c r="AJ8" s="305">
        <f>SUM(AJ9:AJ17)</f>
        <v>278.679754996459</v>
      </c>
      <c r="AK8" s="306"/>
      <c r="AL8" s="305">
        <f>SUM(AL9:AL17)</f>
        <v>113.58689415162694</v>
      </c>
      <c r="AM8" s="305">
        <f>SUM(AM9:AM17)</f>
        <v>94.166556704874466</v>
      </c>
      <c r="AN8" s="305">
        <f>SUM(AN9:AN17)</f>
        <v>66.64065802629996</v>
      </c>
    </row>
    <row r="9" spans="1:40" x14ac:dyDescent="0.3">
      <c r="A9" s="13" t="str">
        <f>name!E4</f>
        <v>Managers, directors and senior officials</v>
      </c>
      <c r="B9" s="304">
        <f>SUM(B21,B33,B51,B63,B75,B93)</f>
        <v>364.87560410778667</v>
      </c>
      <c r="C9" s="304">
        <f t="shared" ref="B9:D17" si="0">SUM(C21,C33,C51,C63,C75,C93)</f>
        <v>377.19167855722031</v>
      </c>
      <c r="D9" s="304">
        <f t="shared" si="0"/>
        <v>426.05307631633036</v>
      </c>
      <c r="E9" s="304"/>
      <c r="F9" s="304">
        <f t="shared" ref="F9:H17" si="1">SUM(F21,F33,F51,F63,F75,F93)</f>
        <v>4.839934438077707</v>
      </c>
      <c r="G9" s="304">
        <f t="shared" si="1"/>
        <v>6.1823121384564947</v>
      </c>
      <c r="H9" s="304">
        <f t="shared" si="1"/>
        <v>8.3357779241266243</v>
      </c>
      <c r="I9" s="304"/>
      <c r="J9" s="304">
        <f t="shared" ref="J9:L17" si="2">SUM(J21,J33,J51,J63,J75,J93)</f>
        <v>37.998089613369523</v>
      </c>
      <c r="K9" s="304">
        <f t="shared" si="2"/>
        <v>48.210206354357503</v>
      </c>
      <c r="L9" s="304">
        <f t="shared" si="2"/>
        <v>65.788556437582983</v>
      </c>
      <c r="M9" s="304"/>
      <c r="N9" s="304">
        <f t="shared" ref="N9:P17" si="3">SUM(N21,N33,N51,N63,N75,N93)</f>
        <v>96.56066013298701</v>
      </c>
      <c r="O9" s="304">
        <f t="shared" si="3"/>
        <v>100.03846733642229</v>
      </c>
      <c r="P9" s="304">
        <f t="shared" si="3"/>
        <v>123.74373600769057</v>
      </c>
      <c r="Q9" s="306"/>
      <c r="R9" s="304">
        <f t="shared" ref="R9:T9" si="4">SUM(R21,R33,R51,R63,R75,R93)</f>
        <v>21.547053840178382</v>
      </c>
      <c r="S9" s="304">
        <f t="shared" si="4"/>
        <v>21.773310455758338</v>
      </c>
      <c r="T9" s="304">
        <f t="shared" si="4"/>
        <v>26.454263490305326</v>
      </c>
      <c r="U9" s="306"/>
      <c r="V9" s="304">
        <f t="shared" ref="V9:X9" si="5">SUM(V21,V33,V51,V63,V75,V93)</f>
        <v>28.927206346400794</v>
      </c>
      <c r="W9" s="304">
        <f t="shared" si="5"/>
        <v>29.051296214823342</v>
      </c>
      <c r="X9" s="304">
        <f t="shared" si="5"/>
        <v>34.928724152395986</v>
      </c>
      <c r="Y9" s="306"/>
      <c r="Z9" s="304">
        <f t="shared" ref="Z9:AB9" si="6">SUM(Z21,Z33,Z51,Z63,Z75,Z93)</f>
        <v>65.287824917311255</v>
      </c>
      <c r="AA9" s="304">
        <f t="shared" si="6"/>
        <v>67.669604066972866</v>
      </c>
      <c r="AB9" s="304">
        <f t="shared" si="6"/>
        <v>75.672726094193621</v>
      </c>
      <c r="AC9" s="306"/>
      <c r="AD9" s="304">
        <f>SUM(AD21,AD33,AD51,AD63,AD75,AD93)</f>
        <v>61.107333896062769</v>
      </c>
      <c r="AE9" s="304">
        <f t="shared" ref="AE9:AF9" si="7">SUM(AE21,AE33,AE51,AE63,AE75,AE93)</f>
        <v>57.39204365803586</v>
      </c>
      <c r="AF9" s="304">
        <f t="shared" si="7"/>
        <v>51.747508127498776</v>
      </c>
      <c r="AG9" s="306"/>
      <c r="AH9" s="304">
        <f t="shared" ref="AH9:AJ9" si="8">SUM(AH21,AH33,AH51,AH63,AH75,AH93)</f>
        <v>40.22483381776275</v>
      </c>
      <c r="AI9" s="304">
        <f t="shared" si="8"/>
        <v>38.465264717097739</v>
      </c>
      <c r="AJ9" s="304">
        <f t="shared" si="8"/>
        <v>31.949559640684519</v>
      </c>
      <c r="AK9" s="306"/>
      <c r="AL9" s="304">
        <f t="shared" ref="AL9:AN9" si="9">SUM(AL21,AL33,AL51,AL63,AL75,AL93)</f>
        <v>8.3826671056364539</v>
      </c>
      <c r="AM9" s="304">
        <f t="shared" si="9"/>
        <v>8.4091736152959395</v>
      </c>
      <c r="AN9" s="304">
        <f t="shared" si="9"/>
        <v>7.4322244418519077</v>
      </c>
    </row>
    <row r="10" spans="1:40" x14ac:dyDescent="0.3">
      <c r="A10" s="13" t="str">
        <f>name!E5</f>
        <v>Professional occupations</v>
      </c>
      <c r="B10" s="304">
        <f t="shared" si="0"/>
        <v>704.8171855573346</v>
      </c>
      <c r="C10" s="304">
        <f t="shared" si="0"/>
        <v>760.56664547867581</v>
      </c>
      <c r="D10" s="304">
        <f t="shared" si="0"/>
        <v>851.32527131328288</v>
      </c>
      <c r="E10" s="304"/>
      <c r="F10" s="304">
        <f t="shared" si="1"/>
        <v>32.613261515926204</v>
      </c>
      <c r="G10" s="304">
        <f t="shared" si="1"/>
        <v>40.936899968496462</v>
      </c>
      <c r="H10" s="304">
        <f t="shared" si="1"/>
        <v>51.441977252892883</v>
      </c>
      <c r="I10" s="304"/>
      <c r="J10" s="304">
        <f t="shared" si="2"/>
        <v>172.43728582694342</v>
      </c>
      <c r="K10" s="304">
        <f t="shared" si="2"/>
        <v>217.56430731308348</v>
      </c>
      <c r="L10" s="304">
        <f t="shared" si="2"/>
        <v>274.05656732409921</v>
      </c>
      <c r="M10" s="304"/>
      <c r="N10" s="304">
        <f t="shared" si="3"/>
        <v>250.42886386733534</v>
      </c>
      <c r="O10" s="304">
        <f t="shared" si="3"/>
        <v>254.19410909604233</v>
      </c>
      <c r="P10" s="304">
        <f t="shared" si="3"/>
        <v>282.65022798525303</v>
      </c>
      <c r="Q10" s="306"/>
      <c r="R10" s="304">
        <f t="shared" ref="R10:T10" si="10">SUM(R22,R34,R52,R64,R76,R94)</f>
        <v>33.75750266293462</v>
      </c>
      <c r="S10" s="304">
        <f t="shared" si="10"/>
        <v>26.190483345556274</v>
      </c>
      <c r="T10" s="304">
        <f t="shared" si="10"/>
        <v>24.29671159328316</v>
      </c>
      <c r="U10" s="306"/>
      <c r="V10" s="304">
        <f t="shared" ref="V10:X10" si="11">SUM(V22,V34,V52,V64,V76,V94)</f>
        <v>37.249941134145708</v>
      </c>
      <c r="W10" s="304">
        <f t="shared" si="11"/>
        <v>36.630946080347975</v>
      </c>
      <c r="X10" s="304">
        <f t="shared" si="11"/>
        <v>41.154678416785003</v>
      </c>
      <c r="Y10" s="306"/>
      <c r="Z10" s="304">
        <f t="shared" ref="Z10:AB10" si="12">SUM(Z22,Z34,Z52,Z64,Z76,Z94)</f>
        <v>73.762407200069276</v>
      </c>
      <c r="AA10" s="304">
        <f t="shared" si="12"/>
        <v>81.68900899112667</v>
      </c>
      <c r="AB10" s="304">
        <f t="shared" si="12"/>
        <v>89.708233679876201</v>
      </c>
      <c r="AC10" s="306"/>
      <c r="AD10" s="304">
        <f t="shared" ref="AD10:AF10" si="13">SUM(AD22,AD34,AD52,AD64,AD76,AD94)</f>
        <v>61.097404794058725</v>
      </c>
      <c r="AE10" s="304">
        <f t="shared" si="13"/>
        <v>59.621466610210121</v>
      </c>
      <c r="AF10" s="304">
        <f t="shared" si="13"/>
        <v>54.257320225697526</v>
      </c>
      <c r="AG10" s="306"/>
      <c r="AH10" s="304">
        <f t="shared" ref="AH10:AJ10" si="14">SUM(AH22,AH34,AH52,AH64,AH76,AH94)</f>
        <v>36.69296457895193</v>
      </c>
      <c r="AI10" s="304">
        <f t="shared" si="14"/>
        <v>36.262029793038572</v>
      </c>
      <c r="AJ10" s="304">
        <f t="shared" si="14"/>
        <v>26.796479177013683</v>
      </c>
      <c r="AK10" s="306"/>
      <c r="AL10" s="304">
        <f t="shared" ref="AL10:AN10" si="15">SUM(AL22,AL34,AL52,AL64,AL76,AL94)</f>
        <v>6.7775539769694841</v>
      </c>
      <c r="AM10" s="304">
        <f t="shared" si="15"/>
        <v>7.4773942807739955</v>
      </c>
      <c r="AN10" s="304">
        <f t="shared" si="15"/>
        <v>6.9630756583821807</v>
      </c>
    </row>
    <row r="11" spans="1:40" x14ac:dyDescent="0.3">
      <c r="A11" s="13" t="str">
        <f>name!E6</f>
        <v>Associate professional occupations</v>
      </c>
      <c r="B11" s="304">
        <f>SUM(B23,B35,B53,B65,B77,B95)</f>
        <v>424.88656688403279</v>
      </c>
      <c r="C11" s="304">
        <f t="shared" si="0"/>
        <v>416.55702449984176</v>
      </c>
      <c r="D11" s="304">
        <f>SUM(D23,D35,D53,D65,D77,D95)</f>
        <v>455.01327421440715</v>
      </c>
      <c r="E11" s="304"/>
      <c r="F11" s="304">
        <f t="shared" si="1"/>
        <v>5.0263825030871923</v>
      </c>
      <c r="G11" s="304">
        <f t="shared" si="1"/>
        <v>6.3476897121212899</v>
      </c>
      <c r="H11" s="304">
        <f t="shared" si="1"/>
        <v>8.8387398054208859</v>
      </c>
      <c r="I11" s="304"/>
      <c r="J11" s="304">
        <f t="shared" si="2"/>
        <v>50.278048526487822</v>
      </c>
      <c r="K11" s="304">
        <f t="shared" si="2"/>
        <v>61.558727535735223</v>
      </c>
      <c r="L11" s="304">
        <f t="shared" si="2"/>
        <v>82.436593082502441</v>
      </c>
      <c r="M11" s="304"/>
      <c r="N11" s="304">
        <f t="shared" si="3"/>
        <v>125.63888094343723</v>
      </c>
      <c r="O11" s="304">
        <f t="shared" si="3"/>
        <v>123.79042166884886</v>
      </c>
      <c r="P11" s="304">
        <f t="shared" si="3"/>
        <v>146.94798653998259</v>
      </c>
      <c r="Q11" s="306"/>
      <c r="R11" s="304">
        <f t="shared" ref="R11:T11" si="16">SUM(R23,R35,R53,R65,R77,R95)</f>
        <v>31.637824210791315</v>
      </c>
      <c r="S11" s="304">
        <f t="shared" si="16"/>
        <v>29.21067918742898</v>
      </c>
      <c r="T11" s="304">
        <f t="shared" si="16"/>
        <v>33.170723573252928</v>
      </c>
      <c r="U11" s="306"/>
      <c r="V11" s="304">
        <f t="shared" ref="V11:X11" si="17">SUM(V23,V35,V53,V65,V77,V95)</f>
        <v>29.148998273271751</v>
      </c>
      <c r="W11" s="304">
        <f t="shared" si="17"/>
        <v>26.666600553982814</v>
      </c>
      <c r="X11" s="304">
        <f t="shared" si="17"/>
        <v>29.666034072468349</v>
      </c>
      <c r="Y11" s="306"/>
      <c r="Z11" s="304">
        <f t="shared" ref="Z11:AB11" si="18">SUM(Z23,Z35,Z53,Z65,Z77,Z95)</f>
        <v>72.278369814019172</v>
      </c>
      <c r="AA11" s="304">
        <f t="shared" si="18"/>
        <v>70.577934353520561</v>
      </c>
      <c r="AB11" s="304">
        <f t="shared" si="18"/>
        <v>71.447790560808301</v>
      </c>
      <c r="AC11" s="306"/>
      <c r="AD11" s="304">
        <f t="shared" ref="AD11:AF11" si="19">SUM(AD23,AD35,AD53,AD65,AD77,AD95)</f>
        <v>64.184765980145244</v>
      </c>
      <c r="AE11" s="304">
        <f t="shared" si="19"/>
        <v>57.370569335074819</v>
      </c>
      <c r="AF11" s="304">
        <f t="shared" si="19"/>
        <v>49.817615303015216</v>
      </c>
      <c r="AG11" s="306"/>
      <c r="AH11" s="304">
        <f t="shared" ref="AH11:AJ11" si="20">SUM(AH23,AH35,AH53,AH65,AH77,AH95)</f>
        <v>39.369323367743092</v>
      </c>
      <c r="AI11" s="304">
        <f t="shared" si="20"/>
        <v>34.563158447104378</v>
      </c>
      <c r="AJ11" s="304">
        <f t="shared" si="20"/>
        <v>25.919720786454278</v>
      </c>
      <c r="AK11" s="306"/>
      <c r="AL11" s="304">
        <f t="shared" ref="AL11:AN11" si="21">SUM(AL23,AL35,AL53,AL65,AL77,AL95)</f>
        <v>7.3239732650499692</v>
      </c>
      <c r="AM11" s="304">
        <f t="shared" si="21"/>
        <v>6.4712437060248282</v>
      </c>
      <c r="AN11" s="304">
        <f t="shared" si="21"/>
        <v>6.7680704905020681</v>
      </c>
    </row>
    <row r="12" spans="1:40" x14ac:dyDescent="0.3">
      <c r="A12" s="13" t="str">
        <f>name!E7</f>
        <v>Administrative and secretarial occupations</v>
      </c>
      <c r="B12" s="304">
        <f t="shared" si="0"/>
        <v>330.71047944005613</v>
      </c>
      <c r="C12" s="304">
        <f t="shared" si="0"/>
        <v>313.02846052458034</v>
      </c>
      <c r="D12" s="304">
        <f t="shared" si="0"/>
        <v>280.35480319868805</v>
      </c>
      <c r="E12" s="304"/>
      <c r="F12" s="304">
        <f t="shared" si="1"/>
        <v>1.4392661831868991</v>
      </c>
      <c r="G12" s="304">
        <f t="shared" si="1"/>
        <v>1.9299058327372605</v>
      </c>
      <c r="H12" s="304">
        <f t="shared" si="1"/>
        <v>2.8887623996858105</v>
      </c>
      <c r="I12" s="304"/>
      <c r="J12" s="304">
        <f t="shared" si="2"/>
        <v>17.974281103093123</v>
      </c>
      <c r="K12" s="304">
        <f t="shared" si="2"/>
        <v>23.675953584195788</v>
      </c>
      <c r="L12" s="304">
        <f t="shared" si="2"/>
        <v>31.327315819559754</v>
      </c>
      <c r="M12" s="304"/>
      <c r="N12" s="304">
        <f t="shared" si="3"/>
        <v>62.688697816884698</v>
      </c>
      <c r="O12" s="304">
        <f t="shared" si="3"/>
        <v>65.276725740904197</v>
      </c>
      <c r="P12" s="304">
        <f t="shared" si="3"/>
        <v>77.401275120555511</v>
      </c>
      <c r="Q12" s="306"/>
      <c r="R12" s="304">
        <f t="shared" ref="R12:T12" si="22">SUM(R24,R36,R54,R66,R78,R96)</f>
        <v>26.57306669103712</v>
      </c>
      <c r="S12" s="304">
        <f t="shared" si="22"/>
        <v>27.056327034369442</v>
      </c>
      <c r="T12" s="304">
        <f t="shared" si="22"/>
        <v>31.148754986394415</v>
      </c>
      <c r="U12" s="306"/>
      <c r="V12" s="304">
        <f t="shared" ref="V12:X12" si="23">SUM(V24,V36,V54,V66,V78,V96)</f>
        <v>22.435363732912023</v>
      </c>
      <c r="W12" s="304">
        <f t="shared" si="23"/>
        <v>21.82267525914548</v>
      </c>
      <c r="X12" s="304">
        <f t="shared" si="23"/>
        <v>24.164836536564184</v>
      </c>
      <c r="Y12" s="306"/>
      <c r="Z12" s="304">
        <f t="shared" ref="Z12:AA12" si="24">SUM(Z24,Z36,Z54,Z66,Z78,Z96)</f>
        <v>63.987435831374988</v>
      </c>
      <c r="AA12" s="304">
        <f t="shared" si="24"/>
        <v>63.899041874051868</v>
      </c>
      <c r="AB12" s="304">
        <f>SUM(AB24,AB36,AB54,AB66,AB78,AB96)</f>
        <v>52.341884528101772</v>
      </c>
      <c r="AC12" s="306"/>
      <c r="AD12" s="304">
        <f t="shared" ref="AD12:AE12" si="25">SUM(AD24,AD36,AD54,AD66,AD78,AD96)</f>
        <v>79.308688491747802</v>
      </c>
      <c r="AE12" s="304">
        <f t="shared" si="25"/>
        <v>68.346278900745162</v>
      </c>
      <c r="AF12" s="304">
        <f>SUM(AF24,AF36,AF54,AF66,AF78,AF96)</f>
        <v>41.389235238891743</v>
      </c>
      <c r="AG12" s="306"/>
      <c r="AH12" s="304">
        <f t="shared" ref="AH12:AI12" si="26">SUM(AH24,AH36,AH54,AH66,AH78,AH96)</f>
        <v>46.249021743344578</v>
      </c>
      <c r="AI12" s="304">
        <f t="shared" si="26"/>
        <v>32.245519390826217</v>
      </c>
      <c r="AJ12" s="304">
        <f>SUM(AJ24,AJ36,AJ54,AJ66,AJ78,AJ96)</f>
        <v>11.426072455381766</v>
      </c>
      <c r="AK12" s="306"/>
      <c r="AL12" s="304">
        <f t="shared" ref="AL12:AM12" si="27">SUM(AL24,AL36,AL54,AL66,AL78,AL96)</f>
        <v>10.054657846474901</v>
      </c>
      <c r="AM12" s="304">
        <f t="shared" si="27"/>
        <v>8.7760329076048791</v>
      </c>
      <c r="AN12" s="304">
        <f>SUM(AN24,AN36,AN54,AN66,AN78,AN96)</f>
        <v>8.2666661135531552</v>
      </c>
    </row>
    <row r="13" spans="1:40" x14ac:dyDescent="0.3">
      <c r="A13" s="13" t="str">
        <f>name!E8</f>
        <v>Skilled trades occupations</v>
      </c>
      <c r="B13" s="304">
        <f t="shared" si="0"/>
        <v>271.46659410623909</v>
      </c>
      <c r="C13" s="304">
        <f t="shared" si="0"/>
        <v>281.63083785803838</v>
      </c>
      <c r="D13" s="304">
        <f t="shared" si="0"/>
        <v>277.64242629963263</v>
      </c>
      <c r="E13" s="304"/>
      <c r="F13" s="304">
        <f t="shared" si="1"/>
        <v>0.40157886586935782</v>
      </c>
      <c r="G13" s="304">
        <f t="shared" si="1"/>
        <v>0.56817661173847078</v>
      </c>
      <c r="H13" s="304">
        <f t="shared" si="1"/>
        <v>0.79262732666625746</v>
      </c>
      <c r="I13" s="304"/>
      <c r="J13" s="304">
        <f t="shared" si="2"/>
        <v>4.6014332582947359</v>
      </c>
      <c r="K13" s="304">
        <f t="shared" si="2"/>
        <v>6.6675858142756539</v>
      </c>
      <c r="L13" s="304">
        <f t="shared" si="2"/>
        <v>9.4318519169006869</v>
      </c>
      <c r="M13" s="304"/>
      <c r="N13" s="304">
        <f t="shared" si="3"/>
        <v>17.880013583114621</v>
      </c>
      <c r="O13" s="304">
        <f t="shared" si="3"/>
        <v>21.632772723636108</v>
      </c>
      <c r="P13" s="304">
        <f t="shared" si="3"/>
        <v>27.984610981680234</v>
      </c>
      <c r="Q13" s="306"/>
      <c r="R13" s="304">
        <f t="shared" ref="R13:T13" si="28">SUM(R25,R37,R55,R67,R79,R97)</f>
        <v>8.0438947998847592</v>
      </c>
      <c r="S13" s="304">
        <f t="shared" si="28"/>
        <v>9.1469970094825683</v>
      </c>
      <c r="T13" s="304">
        <f t="shared" si="28"/>
        <v>11.630467901956516</v>
      </c>
      <c r="U13" s="306"/>
      <c r="V13" s="304">
        <f t="shared" ref="V13:X13" si="29">SUM(V25,V37,V55,V67,V79,V97)</f>
        <v>15.993885650209405</v>
      </c>
      <c r="W13" s="304">
        <f t="shared" si="29"/>
        <v>18.348369898868722</v>
      </c>
      <c r="X13" s="304">
        <f t="shared" si="29"/>
        <v>22.56020071505738</v>
      </c>
      <c r="Y13" s="306"/>
      <c r="Z13" s="304">
        <f t="shared" ref="Z13:AB13" si="30">SUM(Z25,Z37,Z55,Z67,Z79,Z97)</f>
        <v>82.326523342477714</v>
      </c>
      <c r="AA13" s="304">
        <f t="shared" si="30"/>
        <v>90.559197564232306</v>
      </c>
      <c r="AB13" s="304">
        <f t="shared" si="30"/>
        <v>88.757641884714246</v>
      </c>
      <c r="AC13" s="306"/>
      <c r="AD13" s="304">
        <f t="shared" ref="AD13:AF13" si="31">SUM(AD25,AD37,AD55,AD67,AD79,AD97)</f>
        <v>80.522267357715975</v>
      </c>
      <c r="AE13" s="304">
        <f t="shared" si="31"/>
        <v>76.045887774638857</v>
      </c>
      <c r="AF13" s="304">
        <f t="shared" si="31"/>
        <v>70.941659453463657</v>
      </c>
      <c r="AG13" s="306"/>
      <c r="AH13" s="304">
        <f t="shared" ref="AH13:AJ13" si="32">SUM(AH25,AH37,AH55,AH67,AH79,AH97)</f>
        <v>45.854287052123603</v>
      </c>
      <c r="AI13" s="304">
        <f t="shared" si="32"/>
        <v>45.199558292175588</v>
      </c>
      <c r="AJ13" s="304">
        <f t="shared" si="32"/>
        <v>38.04876380616237</v>
      </c>
      <c r="AK13" s="306"/>
      <c r="AL13" s="304">
        <f t="shared" ref="AL13:AN13" si="33">SUM(AL25,AL37,AL55,AL67,AL79,AL97)</f>
        <v>15.842710196548964</v>
      </c>
      <c r="AM13" s="304">
        <f t="shared" si="33"/>
        <v>13.462292168990123</v>
      </c>
      <c r="AN13" s="304">
        <f t="shared" si="33"/>
        <v>7.4946023130313018</v>
      </c>
    </row>
    <row r="14" spans="1:40" x14ac:dyDescent="0.3">
      <c r="A14" s="13" t="str">
        <f>name!E9</f>
        <v>Caring, leisure and other service occupations</v>
      </c>
      <c r="B14" s="304">
        <f t="shared" si="0"/>
        <v>299.5122793964581</v>
      </c>
      <c r="C14" s="304">
        <f t="shared" si="0"/>
        <v>320.87259399162235</v>
      </c>
      <c r="D14" s="304">
        <f t="shared" si="0"/>
        <v>353.50200929588812</v>
      </c>
      <c r="E14" s="304"/>
      <c r="F14" s="304">
        <f t="shared" si="1"/>
        <v>0.22941657051321918</v>
      </c>
      <c r="G14" s="304">
        <f t="shared" si="1"/>
        <v>0.34209985781446761</v>
      </c>
      <c r="H14" s="304">
        <f t="shared" si="1"/>
        <v>0.51008953485604958</v>
      </c>
      <c r="I14" s="304"/>
      <c r="J14" s="304">
        <f t="shared" si="2"/>
        <v>9.7528532114600903</v>
      </c>
      <c r="K14" s="304">
        <f t="shared" si="2"/>
        <v>14.148872772546913</v>
      </c>
      <c r="L14" s="304">
        <f t="shared" si="2"/>
        <v>20.813999858411314</v>
      </c>
      <c r="M14" s="304"/>
      <c r="N14" s="304">
        <f t="shared" si="3"/>
        <v>38.687729043811785</v>
      </c>
      <c r="O14" s="304">
        <f t="shared" si="3"/>
        <v>44.399353289623683</v>
      </c>
      <c r="P14" s="304">
        <f t="shared" si="3"/>
        <v>59.484709768878901</v>
      </c>
      <c r="Q14" s="306"/>
      <c r="R14" s="304">
        <f>SUM(R26,R38,R56,R68,R80,R98)</f>
        <v>29.840907630012197</v>
      </c>
      <c r="S14" s="304">
        <f t="shared" ref="S14:T14" si="34">SUM(S26,S38,S56,S68,S80,S98)</f>
        <v>30.06082566422409</v>
      </c>
      <c r="T14" s="304">
        <f t="shared" si="34"/>
        <v>35.42255692848731</v>
      </c>
      <c r="U14" s="306"/>
      <c r="V14" s="304">
        <f t="shared" ref="V14:X14" si="35">SUM(V26,V38,V56,V68,V80,V98)</f>
        <v>20.632031750819138</v>
      </c>
      <c r="W14" s="304">
        <f t="shared" si="35"/>
        <v>21.74741038343516</v>
      </c>
      <c r="X14" s="304">
        <f t="shared" si="35"/>
        <v>27.773460790180287</v>
      </c>
      <c r="Y14" s="306"/>
      <c r="Z14" s="304">
        <f t="shared" ref="Z14:AB14" si="36">SUM(Z26,Z38,Z56,Z68,Z80,Z98)</f>
        <v>95.292338181131271</v>
      </c>
      <c r="AA14" s="304">
        <f t="shared" si="36"/>
        <v>107.09064556932577</v>
      </c>
      <c r="AB14" s="304">
        <f t="shared" si="36"/>
        <v>121.85814543762103</v>
      </c>
      <c r="AC14" s="306"/>
      <c r="AD14" s="304">
        <f t="shared" ref="AD14:AF14" si="37">SUM(AD26,AD38,AD56,AD68,AD80,AD98)</f>
        <v>76.807217043628555</v>
      </c>
      <c r="AE14" s="304">
        <f t="shared" si="37"/>
        <v>78.661567068637396</v>
      </c>
      <c r="AF14" s="304">
        <f t="shared" si="37"/>
        <v>68.757622256063001</v>
      </c>
      <c r="AG14" s="306"/>
      <c r="AH14" s="304">
        <f t="shared" ref="AH14:AJ14" si="38">SUM(AH26,AH38,AH56,AH68,AH80,AH98)</f>
        <v>23.139076535315997</v>
      </c>
      <c r="AI14" s="304">
        <f t="shared" si="38"/>
        <v>19.825493903136532</v>
      </c>
      <c r="AJ14" s="304">
        <f t="shared" si="38"/>
        <v>15.322306648196999</v>
      </c>
      <c r="AK14" s="306"/>
      <c r="AL14" s="304">
        <f t="shared" ref="AL14:AN14" si="39">SUM(AL26,AL38,AL56,AL68,AL80,AL98)</f>
        <v>5.1307094297658029</v>
      </c>
      <c r="AM14" s="304">
        <f t="shared" si="39"/>
        <v>4.5963254828783757</v>
      </c>
      <c r="AN14" s="304">
        <f t="shared" si="39"/>
        <v>3.5591180731932091</v>
      </c>
    </row>
    <row r="15" spans="1:40" x14ac:dyDescent="0.3">
      <c r="A15" s="13" t="str">
        <f>name!E10</f>
        <v>Sales and customer service occupations</v>
      </c>
      <c r="B15" s="304">
        <f t="shared" si="0"/>
        <v>244.55606769223144</v>
      </c>
      <c r="C15" s="304">
        <f t="shared" si="0"/>
        <v>245.44670382685652</v>
      </c>
      <c r="D15" s="304">
        <f t="shared" si="0"/>
        <v>245.8125579396561</v>
      </c>
      <c r="E15" s="304"/>
      <c r="F15" s="304">
        <f t="shared" si="1"/>
        <v>0.60557647918292801</v>
      </c>
      <c r="G15" s="304">
        <f t="shared" si="1"/>
        <v>0.83932930142127948</v>
      </c>
      <c r="H15" s="304">
        <f t="shared" si="1"/>
        <v>1.1421541348031767</v>
      </c>
      <c r="I15" s="304"/>
      <c r="J15" s="304">
        <f t="shared" si="2"/>
        <v>7.8262834220366333</v>
      </c>
      <c r="K15" s="304">
        <f t="shared" si="2"/>
        <v>10.726596107265436</v>
      </c>
      <c r="L15" s="304">
        <f t="shared" si="2"/>
        <v>15.348618093536938</v>
      </c>
      <c r="M15" s="304"/>
      <c r="N15" s="304">
        <f t="shared" si="3"/>
        <v>35.080787558991155</v>
      </c>
      <c r="O15" s="304">
        <f t="shared" si="3"/>
        <v>38.658999117198135</v>
      </c>
      <c r="P15" s="304">
        <f t="shared" si="3"/>
        <v>51.40810378383739</v>
      </c>
      <c r="Q15" s="306"/>
      <c r="R15" s="304">
        <f t="shared" ref="R15:T15" si="40">SUM(R27,R39,R57,R69,R81,R99)</f>
        <v>11.452733427101196</v>
      </c>
      <c r="S15" s="304">
        <f t="shared" si="40"/>
        <v>11.952546217711092</v>
      </c>
      <c r="T15" s="304">
        <f t="shared" si="40"/>
        <v>15.334702750848002</v>
      </c>
      <c r="U15" s="306"/>
      <c r="V15" s="304">
        <f t="shared" ref="V15:X15" si="41">SUM(V27,V39,V57,V69,V81,V99)</f>
        <v>10.085277801792927</v>
      </c>
      <c r="W15" s="304">
        <f t="shared" si="41"/>
        <v>10.40863254527363</v>
      </c>
      <c r="X15" s="304">
        <f t="shared" si="41"/>
        <v>12.667378260924188</v>
      </c>
      <c r="Y15" s="306"/>
      <c r="Z15" s="304">
        <f t="shared" ref="Z15:AB15" si="42">SUM(Z27,Z39,Z57,Z69,Z81,Z99)</f>
        <v>60.789343362485418</v>
      </c>
      <c r="AA15" s="304">
        <f t="shared" si="42"/>
        <v>64.684961954382587</v>
      </c>
      <c r="AB15" s="304">
        <f t="shared" si="42"/>
        <v>69.721002629828746</v>
      </c>
      <c r="AC15" s="306"/>
      <c r="AD15" s="304">
        <f t="shared" ref="AD15:AF15" si="43">SUM(AD27,AD39,AD57,AD69,AD81,AD99)</f>
        <v>64.880517320494874</v>
      </c>
      <c r="AE15" s="304">
        <f t="shared" si="43"/>
        <v>63.232054267438578</v>
      </c>
      <c r="AF15" s="304">
        <f t="shared" si="43"/>
        <v>53.684264174752215</v>
      </c>
      <c r="AG15" s="306"/>
      <c r="AH15" s="304">
        <f t="shared" ref="AH15:AJ15" si="44">SUM(AH27,AH39,AH57,AH69,AH81,AH99)</f>
        <v>41.387086240371204</v>
      </c>
      <c r="AI15" s="304">
        <f t="shared" si="44"/>
        <v>34.59119903425028</v>
      </c>
      <c r="AJ15" s="304">
        <f t="shared" si="44"/>
        <v>19.068481448551822</v>
      </c>
      <c r="AK15" s="306"/>
      <c r="AL15" s="304">
        <f t="shared" ref="AL15:AN15" si="45">SUM(AL27,AL39,AL57,AL69,AL81,AL99)</f>
        <v>12.448462079775146</v>
      </c>
      <c r="AM15" s="304">
        <f t="shared" si="45"/>
        <v>10.352385281915499</v>
      </c>
      <c r="AN15" s="304">
        <f t="shared" si="45"/>
        <v>7.4378526625736123</v>
      </c>
    </row>
    <row r="16" spans="1:40" x14ac:dyDescent="0.3">
      <c r="A16" s="13" t="str">
        <f>name!E11</f>
        <v>Process, plant and machine operatives</v>
      </c>
      <c r="B16" s="304">
        <f t="shared" si="0"/>
        <v>181.61620255244699</v>
      </c>
      <c r="C16" s="304">
        <f t="shared" si="0"/>
        <v>211.05423461850737</v>
      </c>
      <c r="D16" s="304">
        <f t="shared" si="0"/>
        <v>214.64661526835891</v>
      </c>
      <c r="E16" s="304"/>
      <c r="F16" s="304">
        <f t="shared" si="1"/>
        <v>0.40838109883736723</v>
      </c>
      <c r="G16" s="304">
        <f t="shared" si="1"/>
        <v>0.69119799399884974</v>
      </c>
      <c r="H16" s="304">
        <f t="shared" si="1"/>
        <v>1.0618756552711552</v>
      </c>
      <c r="I16" s="304"/>
      <c r="J16" s="304">
        <f t="shared" si="2"/>
        <v>2.5305510393827801</v>
      </c>
      <c r="K16" s="304">
        <f t="shared" si="2"/>
        <v>4.0406167095889618</v>
      </c>
      <c r="L16" s="304">
        <f t="shared" si="2"/>
        <v>6.0247583755132172</v>
      </c>
      <c r="M16" s="304"/>
      <c r="N16" s="304">
        <f t="shared" si="3"/>
        <v>8.7092062505560506</v>
      </c>
      <c r="O16" s="304">
        <f t="shared" si="3"/>
        <v>11.898250675401796</v>
      </c>
      <c r="P16" s="304">
        <f t="shared" si="3"/>
        <v>17.718971121173983</v>
      </c>
      <c r="Q16" s="306"/>
      <c r="R16" s="304">
        <f t="shared" ref="R16:T16" si="46">SUM(R28,R40,R58,R70,R82,R100)</f>
        <v>3.9794740601045682</v>
      </c>
      <c r="S16" s="304">
        <f t="shared" si="46"/>
        <v>5.3722420777733912</v>
      </c>
      <c r="T16" s="304">
        <f t="shared" si="46"/>
        <v>7.0842865981031125</v>
      </c>
      <c r="U16" s="306"/>
      <c r="V16" s="304">
        <f t="shared" ref="V16:X16" si="47">SUM(V28,V40,V58,V70,V82,V100)</f>
        <v>6.7274837418392357</v>
      </c>
      <c r="W16" s="304">
        <f t="shared" si="47"/>
        <v>9.1254310846957036</v>
      </c>
      <c r="X16" s="304">
        <f t="shared" si="47"/>
        <v>11.862512516235283</v>
      </c>
      <c r="Y16" s="306"/>
      <c r="Z16" s="304">
        <f t="shared" ref="Z16:AB16" si="48">SUM(Z28,Z40,Z58,Z70,Z82,Z100)</f>
        <v>35.062252569844709</v>
      </c>
      <c r="AA16" s="304">
        <f t="shared" si="48"/>
        <v>47.383739582586344</v>
      </c>
      <c r="AB16" s="304">
        <f t="shared" si="48"/>
        <v>56.300661574215617</v>
      </c>
      <c r="AC16" s="306"/>
      <c r="AD16" s="304">
        <f t="shared" ref="AD16:AF16" si="49">SUM(AD28,AD40,AD58,AD70,AD82,AD100)</f>
        <v>60.717259674321781</v>
      </c>
      <c r="AE16" s="304">
        <f t="shared" si="49"/>
        <v>69.958932756606629</v>
      </c>
      <c r="AF16" s="304">
        <f t="shared" si="49"/>
        <v>72.576719041732929</v>
      </c>
      <c r="AG16" s="306"/>
      <c r="AH16" s="304">
        <f t="shared" ref="AH16:AJ16" si="50">SUM(AH28,AH40,AH58,AH70,AH82,AH100)</f>
        <v>47.422232844667853</v>
      </c>
      <c r="AI16" s="304">
        <f t="shared" si="50"/>
        <v>49.896596673917124</v>
      </c>
      <c r="AJ16" s="304">
        <f t="shared" si="50"/>
        <v>34.915836225654346</v>
      </c>
      <c r="AK16" s="306"/>
      <c r="AL16" s="304">
        <f t="shared" ref="AL16:AN16" si="51">SUM(AL28,AL40,AL58,AL70,AL82,AL100)</f>
        <v>16.059361272892613</v>
      </c>
      <c r="AM16" s="304">
        <f t="shared" si="51"/>
        <v>12.687227063938552</v>
      </c>
      <c r="AN16" s="304">
        <f t="shared" si="51"/>
        <v>7.1009941604592388</v>
      </c>
    </row>
    <row r="17" spans="1:40" x14ac:dyDescent="0.3">
      <c r="A17" s="13" t="str">
        <f>name!E12</f>
        <v>Elementary occupations</v>
      </c>
      <c r="B17" s="304">
        <f t="shared" si="0"/>
        <v>351.75102026181395</v>
      </c>
      <c r="C17" s="304">
        <f t="shared" si="0"/>
        <v>353.90382064466132</v>
      </c>
      <c r="D17" s="304">
        <f t="shared" si="0"/>
        <v>339.93296615165599</v>
      </c>
      <c r="E17" s="304"/>
      <c r="F17" s="304">
        <f t="shared" si="1"/>
        <v>0.18763218455417463</v>
      </c>
      <c r="G17" s="304">
        <f t="shared" si="1"/>
        <v>0.27270268126191244</v>
      </c>
      <c r="H17" s="304">
        <f t="shared" si="1"/>
        <v>0.36522807465314577</v>
      </c>
      <c r="I17" s="304"/>
      <c r="J17" s="304">
        <f t="shared" si="2"/>
        <v>6.2311536714805662</v>
      </c>
      <c r="K17" s="304">
        <f t="shared" si="2"/>
        <v>9.0641639494365922</v>
      </c>
      <c r="L17" s="304">
        <f t="shared" si="2"/>
        <v>13.124251175705801</v>
      </c>
      <c r="M17" s="304"/>
      <c r="N17" s="304">
        <f t="shared" si="3"/>
        <v>24.994176713009598</v>
      </c>
      <c r="O17" s="304">
        <f t="shared" si="3"/>
        <v>28.723126325196233</v>
      </c>
      <c r="P17" s="304">
        <f t="shared" si="3"/>
        <v>38.620678196686065</v>
      </c>
      <c r="Q17" s="306"/>
      <c r="R17" s="304">
        <f t="shared" ref="R17:T17" si="52">SUM(R29,R41,R59,R71,R83,R101)</f>
        <v>13.506412743805679</v>
      </c>
      <c r="S17" s="304">
        <f t="shared" si="52"/>
        <v>15.542462820606442</v>
      </c>
      <c r="T17" s="304">
        <f t="shared" si="52"/>
        <v>21.454477777013782</v>
      </c>
      <c r="U17" s="306"/>
      <c r="V17" s="304">
        <f t="shared" ref="V17:X17" si="53">SUM(V29,V41,V59,V71,V83,V101)</f>
        <v>12.325919491400583</v>
      </c>
      <c r="W17" s="304">
        <f t="shared" si="53"/>
        <v>13.649108685933587</v>
      </c>
      <c r="X17" s="304">
        <f t="shared" si="53"/>
        <v>18.699333079983983</v>
      </c>
      <c r="Y17" s="306"/>
      <c r="Z17" s="304">
        <f t="shared" ref="Z17:AB17" si="54">SUM(Z29,Z41,Z59,Z71,Z83,Z101)</f>
        <v>57.816341842291585</v>
      </c>
      <c r="AA17" s="304">
        <f t="shared" si="54"/>
        <v>61.248871790291517</v>
      </c>
      <c r="AB17" s="304">
        <f t="shared" si="54"/>
        <v>63.417555757850891</v>
      </c>
      <c r="AC17" s="306"/>
      <c r="AD17" s="304">
        <f t="shared" ref="AD17:AF17" si="55">SUM(AD29,AD41,AD59,AD71,AD83,AD101)</f>
        <v>104.48635723903861</v>
      </c>
      <c r="AE17" s="304">
        <f t="shared" si="55"/>
        <v>105.60510010390443</v>
      </c>
      <c r="AF17" s="304">
        <f t="shared" si="55"/>
        <v>97.400853168649888</v>
      </c>
      <c r="AG17" s="306"/>
      <c r="AH17" s="304">
        <f t="shared" ref="AH17:AJ17" si="56">SUM(AH29,AH41,AH59,AH71,AH83,AH101)</f>
        <v>100.63622739771952</v>
      </c>
      <c r="AI17" s="304">
        <f t="shared" si="56"/>
        <v>97.863802090578403</v>
      </c>
      <c r="AJ17" s="304">
        <f t="shared" si="56"/>
        <v>75.232534808359162</v>
      </c>
      <c r="AK17" s="306"/>
      <c r="AL17" s="304">
        <f t="shared" ref="AL17:AN17" si="57">SUM(AL29,AL41,AL59,AL71,AL83,AL101)</f>
        <v>31.566798978513599</v>
      </c>
      <c r="AM17" s="304">
        <f t="shared" si="57"/>
        <v>21.934482197452265</v>
      </c>
      <c r="AN17" s="304">
        <f t="shared" si="57"/>
        <v>11.618054112753283</v>
      </c>
    </row>
    <row r="18" spans="1:40" x14ac:dyDescent="0.3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3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3">
      <c r="A20" s="13" t="str">
        <f t="shared" ref="A20:A29" si="58">A8</f>
        <v>All occupations</v>
      </c>
      <c r="B20" s="305">
        <f>SUM(B21:B29)</f>
        <v>55.543999999892407</v>
      </c>
      <c r="C20" s="305">
        <f>SUM(C21:C29)</f>
        <v>56.970000000368501</v>
      </c>
      <c r="D20" s="305">
        <f>SUM(D21:D29)</f>
        <v>57.639000000147384</v>
      </c>
      <c r="E20" s="304"/>
      <c r="F20" s="305">
        <f>SUM(F21:F29)</f>
        <v>0.64594158492757703</v>
      </c>
      <c r="G20" s="305">
        <f>SUM(G21:G29)</f>
        <v>0.84383892650374381</v>
      </c>
      <c r="H20" s="305">
        <f>SUM(H21:H29)</f>
        <v>1.1476820891729032</v>
      </c>
      <c r="I20" s="304"/>
      <c r="J20" s="305">
        <f>SUM(J21:J29)</f>
        <v>3.3624128261167234</v>
      </c>
      <c r="K20" s="305">
        <f>SUM(K21:K29)</f>
        <v>4.1083624551208269</v>
      </c>
      <c r="L20" s="305">
        <f>SUM(L21:L29)</f>
        <v>5.1735160376060758</v>
      </c>
      <c r="M20" s="304"/>
      <c r="N20" s="305">
        <f>SUM(N21:N29)</f>
        <v>9.1779402804394934</v>
      </c>
      <c r="O20" s="305">
        <f>SUM(O21:O29)</f>
        <v>9.6766490383918136</v>
      </c>
      <c r="P20" s="305">
        <f>SUM(P21:P29)</f>
        <v>11.320187354176456</v>
      </c>
      <c r="Q20" s="306"/>
      <c r="R20" s="305">
        <f>SUM(R21:R29)</f>
        <v>2.107925961565686</v>
      </c>
      <c r="S20" s="305">
        <f>SUM(S21:S29)</f>
        <v>2.1987007517157253</v>
      </c>
      <c r="T20" s="305">
        <f>SUM(T21:T29)</f>
        <v>2.5271583127293558</v>
      </c>
      <c r="U20" s="306"/>
      <c r="V20" s="305">
        <f>SUM(V21:V29)</f>
        <v>5.1880617302790508</v>
      </c>
      <c r="W20" s="305">
        <f>SUM(W21:W29)</f>
        <v>5.5855553961937261</v>
      </c>
      <c r="X20" s="305">
        <f>SUM(X21:X29)</f>
        <v>6.7528187682566312</v>
      </c>
      <c r="Y20" s="306"/>
      <c r="Z20" s="305">
        <f>SUM(Z21:Z29)</f>
        <v>10.42424602155012</v>
      </c>
      <c r="AA20" s="305">
        <f>SUM(AA21:AA29)</f>
        <v>11.243269782183022</v>
      </c>
      <c r="AB20" s="305">
        <f>SUM(AB21:AB29)</f>
        <v>11.544508643662908</v>
      </c>
      <c r="AC20" s="306"/>
      <c r="AD20" s="305">
        <f>SUM(AD21:AD29)</f>
        <v>12.7960866605953</v>
      </c>
      <c r="AE20" s="305">
        <f>SUM(AE21:AE29)</f>
        <v>12.341002852947481</v>
      </c>
      <c r="AF20" s="305">
        <f>SUM(AF21:AF29)</f>
        <v>11.237566612564315</v>
      </c>
      <c r="AG20" s="306"/>
      <c r="AH20" s="305">
        <f>SUM(AH21:AH29)</f>
        <v>8.3409586053290568</v>
      </c>
      <c r="AI20" s="305">
        <f>SUM(AI21:AI29)</f>
        <v>7.2950872842847749</v>
      </c>
      <c r="AJ20" s="305">
        <f>SUM(AJ21:AJ29)</f>
        <v>5.2179200619875434</v>
      </c>
      <c r="AK20" s="306"/>
      <c r="AL20" s="305">
        <f>SUM(AL21:AL29)</f>
        <v>3.5004263290893975</v>
      </c>
      <c r="AM20" s="305">
        <f>SUM(AM21:AM29)</f>
        <v>3.6775335130273858</v>
      </c>
      <c r="AN20" s="305">
        <f>SUM(AN21:AN29)</f>
        <v>2.7176421199911998</v>
      </c>
    </row>
    <row r="21" spans="1:40" x14ac:dyDescent="0.3">
      <c r="A21" s="13" t="str">
        <f t="shared" si="58"/>
        <v>Managers, directors and senior officials</v>
      </c>
      <c r="B21" s="304">
        <f>SUM(F21,J21,N21,R21,V21,Z21,AD21,AH21,AL21)</f>
        <v>6.0606354803608484</v>
      </c>
      <c r="C21" s="304">
        <f t="shared" ref="C21:D21" si="59">SUM(G21,K21,O21,S21,W21,AA21,AE21,AI21,AM21)</f>
        <v>6.6275422179494319</v>
      </c>
      <c r="D21" s="304">
        <f t="shared" si="59"/>
        <v>7.1753374174093958</v>
      </c>
      <c r="E21" s="304"/>
      <c r="F21" s="304">
        <v>0.1501618924383647</v>
      </c>
      <c r="G21" s="304">
        <v>0.19423727152859963</v>
      </c>
      <c r="H21" s="304">
        <v>0.2507959298241052</v>
      </c>
      <c r="I21" s="304"/>
      <c r="J21" s="304">
        <v>0.86012022843731517</v>
      </c>
      <c r="K21" s="304">
        <v>0.97347006988942442</v>
      </c>
      <c r="L21" s="304">
        <v>1.1468073501163942</v>
      </c>
      <c r="M21" s="304"/>
      <c r="N21" s="304">
        <v>1.4259450075339102</v>
      </c>
      <c r="O21" s="304">
        <v>1.4767046270993769</v>
      </c>
      <c r="P21" s="304">
        <v>1.7536609417861544</v>
      </c>
      <c r="Q21" s="306"/>
      <c r="R21" s="304">
        <v>0.23189192918905974</v>
      </c>
      <c r="S21" s="304">
        <v>0.26850708846193883</v>
      </c>
      <c r="T21" s="304">
        <v>0.30352940302433867</v>
      </c>
      <c r="U21" s="306"/>
      <c r="V21" s="304">
        <v>0.30767692980227773</v>
      </c>
      <c r="W21" s="304">
        <v>0.26275476237279077</v>
      </c>
      <c r="X21" s="304">
        <v>0.25780332892527752</v>
      </c>
      <c r="Y21" s="306"/>
      <c r="Z21" s="304">
        <v>0.94598697201082216</v>
      </c>
      <c r="AA21" s="304">
        <v>1.2643648339690754</v>
      </c>
      <c r="AB21" s="304">
        <v>1.6147358202532653</v>
      </c>
      <c r="AC21" s="306"/>
      <c r="AD21" s="304">
        <v>1.0559234423104025</v>
      </c>
      <c r="AE21" s="304">
        <v>1.0540266451132976</v>
      </c>
      <c r="AF21" s="304">
        <v>0.89269405198469898</v>
      </c>
      <c r="AG21" s="306"/>
      <c r="AH21" s="304">
        <v>0.6839727293230442</v>
      </c>
      <c r="AI21" s="304">
        <v>0.6506085013921068</v>
      </c>
      <c r="AJ21" s="304">
        <v>0.50313471891502737</v>
      </c>
      <c r="AK21" s="306"/>
      <c r="AL21" s="304">
        <v>0.39895634931565233</v>
      </c>
      <c r="AM21" s="304">
        <v>0.48286841812282166</v>
      </c>
      <c r="AN21" s="304">
        <v>0.45217587258013409</v>
      </c>
    </row>
    <row r="22" spans="1:40" x14ac:dyDescent="0.3">
      <c r="A22" s="13" t="str">
        <f t="shared" si="58"/>
        <v>Professional occupations</v>
      </c>
      <c r="B22" s="304">
        <f t="shared" ref="B22:B29" si="60">SUM(F22,J22,N22,R22,V22,Z22,AD22,AH22,AL22)</f>
        <v>7.4030937466699926</v>
      </c>
      <c r="C22" s="304">
        <f t="shared" ref="C22:C29" si="61">SUM(G22,K22,O22,S22,W22,AA22,AE22,AI22,AM22)</f>
        <v>7.9389220039577637</v>
      </c>
      <c r="D22" s="304">
        <f t="shared" ref="D22:D29" si="62">SUM(H22,L22,P22,T22,X22,AB22,AF22,AJ22,AN22)</f>
        <v>8.7947838979349378</v>
      </c>
      <c r="E22" s="304"/>
      <c r="F22" s="304">
        <v>0.26371673939093776</v>
      </c>
      <c r="G22" s="304">
        <v>0.33880563892427196</v>
      </c>
      <c r="H22" s="304">
        <v>0.4527202899900637</v>
      </c>
      <c r="I22" s="304"/>
      <c r="J22" s="304">
        <v>1.158323471629358</v>
      </c>
      <c r="K22" s="304">
        <v>1.464176751416562</v>
      </c>
      <c r="L22" s="304">
        <v>1.8479949575067018</v>
      </c>
      <c r="M22" s="304"/>
      <c r="N22" s="304">
        <v>2.3423117538305402</v>
      </c>
      <c r="O22" s="304">
        <v>2.33116386174546</v>
      </c>
      <c r="P22" s="304">
        <v>2.4546105345248459</v>
      </c>
      <c r="Q22" s="306"/>
      <c r="R22" s="304">
        <v>0.26449692915153278</v>
      </c>
      <c r="S22" s="304">
        <v>0.2622357842442638</v>
      </c>
      <c r="T22" s="304">
        <v>0.29595646181690122</v>
      </c>
      <c r="U22" s="306"/>
      <c r="V22" s="304">
        <v>1.0990747433718902</v>
      </c>
      <c r="W22" s="304">
        <v>1.1614610189119401</v>
      </c>
      <c r="X22" s="304">
        <v>1.388757684967967</v>
      </c>
      <c r="Y22" s="306"/>
      <c r="Z22" s="304">
        <v>0.69365350121551861</v>
      </c>
      <c r="AA22" s="304">
        <v>0.68508616138204936</v>
      </c>
      <c r="AB22" s="304">
        <v>0.62242453897338823</v>
      </c>
      <c r="AC22" s="306"/>
      <c r="AD22" s="304">
        <v>0.78737984095232827</v>
      </c>
      <c r="AE22" s="304">
        <v>0.81050449638392508</v>
      </c>
      <c r="AF22" s="304">
        <v>0.88860998095424903</v>
      </c>
      <c r="AG22" s="306"/>
      <c r="AH22" s="304">
        <v>0.5398620919385515</v>
      </c>
      <c r="AI22" s="304">
        <v>0.56615748240165309</v>
      </c>
      <c r="AJ22" s="304">
        <v>0.53960265111720629</v>
      </c>
      <c r="AK22" s="306"/>
      <c r="AL22" s="304">
        <v>0.25427467518933572</v>
      </c>
      <c r="AM22" s="304">
        <v>0.31933080854763779</v>
      </c>
      <c r="AN22" s="304">
        <v>0.30410679808361452</v>
      </c>
    </row>
    <row r="23" spans="1:40" x14ac:dyDescent="0.3">
      <c r="A23" s="13" t="str">
        <f t="shared" si="58"/>
        <v>Associate professional occupations</v>
      </c>
      <c r="B23" s="304">
        <f t="shared" si="60"/>
        <v>5.8385118586764619</v>
      </c>
      <c r="C23" s="304">
        <f t="shared" si="61"/>
        <v>5.8907690636372765</v>
      </c>
      <c r="D23" s="304">
        <f t="shared" si="62"/>
        <v>6.7774430136845698</v>
      </c>
      <c r="E23" s="304"/>
      <c r="F23" s="304">
        <v>0.11631734496579071</v>
      </c>
      <c r="G23" s="304">
        <v>0.15608394306649534</v>
      </c>
      <c r="H23" s="304">
        <v>0.24010155090477334</v>
      </c>
      <c r="I23" s="304"/>
      <c r="J23" s="304">
        <v>0.56701602721988253</v>
      </c>
      <c r="K23" s="304">
        <v>0.71184430656896425</v>
      </c>
      <c r="L23" s="304">
        <v>0.99133223470114773</v>
      </c>
      <c r="M23" s="304"/>
      <c r="N23" s="304">
        <v>1.5387704648170744</v>
      </c>
      <c r="O23" s="304">
        <v>1.5072723772303884</v>
      </c>
      <c r="P23" s="304">
        <v>1.744523665483021</v>
      </c>
      <c r="Q23" s="306"/>
      <c r="R23" s="304">
        <v>0.19240160681198326</v>
      </c>
      <c r="S23" s="304">
        <v>0.18359679436401394</v>
      </c>
      <c r="T23" s="304">
        <v>0.24224890268710117</v>
      </c>
      <c r="U23" s="306"/>
      <c r="V23" s="304">
        <v>0.89453741431588096</v>
      </c>
      <c r="W23" s="304">
        <v>0.94119986833647729</v>
      </c>
      <c r="X23" s="304">
        <v>1.1876499863970889</v>
      </c>
      <c r="Y23" s="306"/>
      <c r="Z23" s="304">
        <v>0.98954796109384502</v>
      </c>
      <c r="AA23" s="304">
        <v>0.88289571802414302</v>
      </c>
      <c r="AB23" s="304">
        <v>0.82719648845149951</v>
      </c>
      <c r="AC23" s="306"/>
      <c r="AD23" s="304">
        <v>0.70154262434101033</v>
      </c>
      <c r="AE23" s="304">
        <v>0.63313583689000441</v>
      </c>
      <c r="AF23" s="304">
        <v>0.58428022208195696</v>
      </c>
      <c r="AG23" s="306"/>
      <c r="AH23" s="304">
        <v>0.63260113115998595</v>
      </c>
      <c r="AI23" s="304">
        <v>0.62206011828207597</v>
      </c>
      <c r="AJ23" s="304">
        <v>0.58656146185604185</v>
      </c>
      <c r="AK23" s="306"/>
      <c r="AL23" s="304">
        <v>0.20577728395100892</v>
      </c>
      <c r="AM23" s="304">
        <v>0.25268010087471382</v>
      </c>
      <c r="AN23" s="304">
        <v>0.37354850112193949</v>
      </c>
    </row>
    <row r="24" spans="1:40" x14ac:dyDescent="0.3">
      <c r="A24" s="13" t="str">
        <f t="shared" si="58"/>
        <v>Administrative and secretarial occupations</v>
      </c>
      <c r="B24" s="304">
        <f t="shared" si="60"/>
        <v>4.5080953422928403</v>
      </c>
      <c r="C24" s="304">
        <f t="shared" si="61"/>
        <v>4.0690780039861432</v>
      </c>
      <c r="D24" s="304">
        <f t="shared" si="62"/>
        <v>3.300131676966306</v>
      </c>
      <c r="E24" s="304"/>
      <c r="F24" s="304">
        <v>1.0802487426415385E-2</v>
      </c>
      <c r="G24" s="304">
        <v>1.2189262173516787E-2</v>
      </c>
      <c r="H24" s="304">
        <v>1.5915631308076491E-2</v>
      </c>
      <c r="I24" s="304"/>
      <c r="J24" s="304">
        <v>0.28142502841210693</v>
      </c>
      <c r="K24" s="304">
        <v>0.34603693225161725</v>
      </c>
      <c r="L24" s="304">
        <v>0.45277654030715397</v>
      </c>
      <c r="M24" s="304"/>
      <c r="N24" s="304">
        <v>0.71307790912567692</v>
      </c>
      <c r="O24" s="304">
        <v>0.67465214426887388</v>
      </c>
      <c r="P24" s="304">
        <v>0.70519395065490653</v>
      </c>
      <c r="Q24" s="306"/>
      <c r="R24" s="304">
        <v>0.15827131654233659</v>
      </c>
      <c r="S24" s="304">
        <v>0.11621822811452319</v>
      </c>
      <c r="T24" s="304">
        <v>9.7262343389681274E-2</v>
      </c>
      <c r="U24" s="306"/>
      <c r="V24" s="304">
        <v>0.44003937913716068</v>
      </c>
      <c r="W24" s="304">
        <v>0.43142668023780151</v>
      </c>
      <c r="X24" s="304">
        <v>0.45647425098154526</v>
      </c>
      <c r="Y24" s="306"/>
      <c r="Z24" s="304">
        <v>1.0508802462955902</v>
      </c>
      <c r="AA24" s="304">
        <v>0.9942288709989151</v>
      </c>
      <c r="AB24" s="304">
        <v>0.708627347027732</v>
      </c>
      <c r="AC24" s="306"/>
      <c r="AD24" s="304">
        <v>0.80376258904872033</v>
      </c>
      <c r="AE24" s="304">
        <v>0.59282763058747212</v>
      </c>
      <c r="AF24" s="304">
        <v>0.30760205776298216</v>
      </c>
      <c r="AG24" s="306"/>
      <c r="AH24" s="304">
        <v>0.69894283151349346</v>
      </c>
      <c r="AI24" s="304">
        <v>0.54775608047172319</v>
      </c>
      <c r="AJ24" s="304">
        <v>0.2568552099391514</v>
      </c>
      <c r="AK24" s="306"/>
      <c r="AL24" s="304">
        <v>0.35089355479133877</v>
      </c>
      <c r="AM24" s="304">
        <v>0.35374217488170046</v>
      </c>
      <c r="AN24" s="304">
        <v>0.29942434559507675</v>
      </c>
    </row>
    <row r="25" spans="1:40" x14ac:dyDescent="0.3">
      <c r="A25" s="13" t="str">
        <f t="shared" si="58"/>
        <v>Skilled trades occupations</v>
      </c>
      <c r="B25" s="304">
        <f t="shared" si="60"/>
        <v>12.663802041279096</v>
      </c>
      <c r="C25" s="304">
        <f t="shared" si="61"/>
        <v>13.006018018900628</v>
      </c>
      <c r="D25" s="304">
        <f t="shared" si="62"/>
        <v>13.01346357972038</v>
      </c>
      <c r="E25" s="304"/>
      <c r="F25" s="304">
        <v>7.3885157557474795E-2</v>
      </c>
      <c r="G25" s="304">
        <v>0.10367076346168404</v>
      </c>
      <c r="H25" s="304">
        <v>0.14012435721591537</v>
      </c>
      <c r="I25" s="304"/>
      <c r="J25" s="304">
        <v>0.16141074405714195</v>
      </c>
      <c r="K25" s="304">
        <v>0.19339576300817071</v>
      </c>
      <c r="L25" s="304">
        <v>0.2473993797943882</v>
      </c>
      <c r="M25" s="304"/>
      <c r="N25" s="304">
        <v>1.8597612790919968</v>
      </c>
      <c r="O25" s="304">
        <v>2.1787789211265571</v>
      </c>
      <c r="P25" s="304">
        <v>2.8725965841317156</v>
      </c>
      <c r="Q25" s="306"/>
      <c r="R25" s="304">
        <v>0.45480678801781455</v>
      </c>
      <c r="S25" s="304">
        <v>0.50511855084858936</v>
      </c>
      <c r="T25" s="304">
        <v>0.6232966338630116</v>
      </c>
      <c r="U25" s="306"/>
      <c r="V25" s="304">
        <v>1.3452403091465102</v>
      </c>
      <c r="W25" s="304">
        <v>1.5621570614554261</v>
      </c>
      <c r="X25" s="304">
        <v>2.0916591872854413</v>
      </c>
      <c r="Y25" s="306"/>
      <c r="Z25" s="304">
        <v>2.6031219308260019</v>
      </c>
      <c r="AA25" s="304">
        <v>2.6078279379725346</v>
      </c>
      <c r="AB25" s="304">
        <v>2.3615641757393373</v>
      </c>
      <c r="AC25" s="306"/>
      <c r="AD25" s="304">
        <v>3.7025445100127281</v>
      </c>
      <c r="AE25" s="304">
        <v>3.6995363425989849</v>
      </c>
      <c r="AF25" s="304">
        <v>3.7281967815506909</v>
      </c>
      <c r="AG25" s="306"/>
      <c r="AH25" s="304">
        <v>1.5846213517969601</v>
      </c>
      <c r="AI25" s="304">
        <v>1.2423522083352474</v>
      </c>
      <c r="AJ25" s="304">
        <v>0.62827082036697146</v>
      </c>
      <c r="AK25" s="306"/>
      <c r="AL25" s="304">
        <v>0.87840997077246896</v>
      </c>
      <c r="AM25" s="304">
        <v>0.91318047009343328</v>
      </c>
      <c r="AN25" s="304">
        <v>0.32035565977290831</v>
      </c>
    </row>
    <row r="26" spans="1:40" x14ac:dyDescent="0.3">
      <c r="A26" s="13" t="str">
        <f t="shared" si="58"/>
        <v>Caring, leisure and other service occupations</v>
      </c>
      <c r="B26" s="304">
        <f t="shared" si="60"/>
        <v>2.1775109633926992</v>
      </c>
      <c r="C26" s="304">
        <f t="shared" si="61"/>
        <v>2.3407754639632627</v>
      </c>
      <c r="D26" s="304">
        <f t="shared" si="62"/>
        <v>2.378381809082279</v>
      </c>
      <c r="E26" s="304"/>
      <c r="F26" s="304">
        <v>1.0002741664689604E-2</v>
      </c>
      <c r="G26" s="304">
        <v>1.4251381282406264E-2</v>
      </c>
      <c r="H26" s="304">
        <v>1.7455066328906112E-2</v>
      </c>
      <c r="I26" s="304"/>
      <c r="J26" s="304">
        <v>8.8914362338913963E-2</v>
      </c>
      <c r="K26" s="304">
        <v>0.12022050765143451</v>
      </c>
      <c r="L26" s="304">
        <v>0.15127715303174924</v>
      </c>
      <c r="M26" s="304"/>
      <c r="N26" s="304">
        <v>0.4310978278935359</v>
      </c>
      <c r="O26" s="304">
        <v>0.45080817116531741</v>
      </c>
      <c r="P26" s="304">
        <v>0.4585812299760969</v>
      </c>
      <c r="Q26" s="306"/>
      <c r="R26" s="304">
        <v>0.14293903483098661</v>
      </c>
      <c r="S26" s="304">
        <v>0.18286416051237592</v>
      </c>
      <c r="T26" s="304">
        <v>0.22614349515358678</v>
      </c>
      <c r="U26" s="306"/>
      <c r="V26" s="304">
        <v>0.11351058796538663</v>
      </c>
      <c r="W26" s="304">
        <v>0.11015449498711956</v>
      </c>
      <c r="X26" s="304">
        <v>0.11064786902742473</v>
      </c>
      <c r="Y26" s="306"/>
      <c r="Z26" s="304">
        <v>0.24241957462231792</v>
      </c>
      <c r="AA26" s="304">
        <v>0.26231137584159292</v>
      </c>
      <c r="AB26" s="304">
        <v>0.31717592144668588</v>
      </c>
      <c r="AC26" s="306"/>
      <c r="AD26" s="304">
        <v>0.39335039416535361</v>
      </c>
      <c r="AE26" s="304">
        <v>0.35651100447002226</v>
      </c>
      <c r="AF26" s="304">
        <v>0.28197075121580678</v>
      </c>
      <c r="AG26" s="306"/>
      <c r="AH26" s="304">
        <v>0.57002488144972363</v>
      </c>
      <c r="AI26" s="304">
        <v>0.6542022089299151</v>
      </c>
      <c r="AJ26" s="304">
        <v>0.66159773855654525</v>
      </c>
      <c r="AK26" s="306"/>
      <c r="AL26" s="304">
        <v>0.18525155846179156</v>
      </c>
      <c r="AM26" s="304">
        <v>0.18945215912307869</v>
      </c>
      <c r="AN26" s="304">
        <v>0.15353258434547762</v>
      </c>
    </row>
    <row r="27" spans="1:40" x14ac:dyDescent="0.3">
      <c r="A27" s="13" t="str">
        <f t="shared" si="58"/>
        <v>Sales and customer service occupations</v>
      </c>
      <c r="B27" s="304">
        <f t="shared" si="60"/>
        <v>2.1856765910514118</v>
      </c>
      <c r="C27" s="304">
        <f t="shared" si="61"/>
        <v>2.2656627003418643</v>
      </c>
      <c r="D27" s="304">
        <f t="shared" si="62"/>
        <v>2.3164960445668048</v>
      </c>
      <c r="E27" s="304"/>
      <c r="F27" s="304">
        <v>1.9670820335378862E-2</v>
      </c>
      <c r="G27" s="304">
        <v>2.2465776056339412E-2</v>
      </c>
      <c r="H27" s="304">
        <v>2.7586231276294015E-2</v>
      </c>
      <c r="I27" s="304"/>
      <c r="J27" s="304">
        <v>8.8222530622078341E-2</v>
      </c>
      <c r="K27" s="304">
        <v>0.10592817355766965</v>
      </c>
      <c r="L27" s="304">
        <v>0.12572511295005659</v>
      </c>
      <c r="M27" s="304"/>
      <c r="N27" s="304">
        <v>0.28879296782138136</v>
      </c>
      <c r="O27" s="304">
        <v>0.32067589965926618</v>
      </c>
      <c r="P27" s="304">
        <v>0.39509030338974954</v>
      </c>
      <c r="Q27" s="306"/>
      <c r="R27" s="304">
        <v>0.23707452900873147</v>
      </c>
      <c r="S27" s="304">
        <v>0.23059433719126063</v>
      </c>
      <c r="T27" s="304">
        <v>0.2544882771987238</v>
      </c>
      <c r="U27" s="306"/>
      <c r="V27" s="304">
        <v>0.18891427576099648</v>
      </c>
      <c r="W27" s="304">
        <v>0.19559023317280561</v>
      </c>
      <c r="X27" s="304">
        <v>0.21339609152835451</v>
      </c>
      <c r="Y27" s="306"/>
      <c r="Z27" s="304">
        <v>0.41875687402403805</v>
      </c>
      <c r="AA27" s="304">
        <v>0.47159931936060029</v>
      </c>
      <c r="AB27" s="304">
        <v>0.52807589532862287</v>
      </c>
      <c r="AC27" s="306"/>
      <c r="AD27" s="304">
        <v>0.3941092966984413</v>
      </c>
      <c r="AE27" s="304">
        <v>0.40661241888881733</v>
      </c>
      <c r="AF27" s="304">
        <v>0.38621886449272963</v>
      </c>
      <c r="AG27" s="306"/>
      <c r="AH27" s="304">
        <v>0.43828436513583602</v>
      </c>
      <c r="AI27" s="304">
        <v>0.39659618325107515</v>
      </c>
      <c r="AJ27" s="304">
        <v>0.29146519979353691</v>
      </c>
      <c r="AK27" s="306"/>
      <c r="AL27" s="304">
        <v>0.11185093164453007</v>
      </c>
      <c r="AM27" s="304">
        <v>0.11560035920402967</v>
      </c>
      <c r="AN27" s="304">
        <v>9.4450068608737267E-2</v>
      </c>
    </row>
    <row r="28" spans="1:40" x14ac:dyDescent="0.3">
      <c r="A28" s="13" t="str">
        <f t="shared" si="58"/>
        <v>Process, plant and machine operatives</v>
      </c>
      <c r="B28" s="304">
        <f t="shared" si="60"/>
        <v>6.24367071396808</v>
      </c>
      <c r="C28" s="304">
        <f t="shared" si="61"/>
        <v>6.8346039090457493</v>
      </c>
      <c r="D28" s="304">
        <f t="shared" si="62"/>
        <v>6.9256218681041579</v>
      </c>
      <c r="E28" s="304"/>
      <c r="F28" s="304">
        <v>1.2358857319147406E-3</v>
      </c>
      <c r="G28" s="304">
        <v>1.9525627757896521E-3</v>
      </c>
      <c r="H28" s="304">
        <v>2.7519639631213249E-3</v>
      </c>
      <c r="I28" s="304"/>
      <c r="J28" s="304">
        <v>6.3540152498790872E-2</v>
      </c>
      <c r="K28" s="304">
        <v>8.9446346531607671E-2</v>
      </c>
      <c r="L28" s="304">
        <v>0.10560896252357095</v>
      </c>
      <c r="M28" s="304"/>
      <c r="N28" s="304">
        <v>0.31160541734611202</v>
      </c>
      <c r="O28" s="304">
        <v>0.45667067252034554</v>
      </c>
      <c r="P28" s="304">
        <v>0.64407215052078826</v>
      </c>
      <c r="Q28" s="306"/>
      <c r="R28" s="304">
        <v>8.8975674903898419E-2</v>
      </c>
      <c r="S28" s="304">
        <v>0.12211501495576162</v>
      </c>
      <c r="T28" s="304">
        <v>0.16601039534314174</v>
      </c>
      <c r="U28" s="306"/>
      <c r="V28" s="304">
        <v>0.22194523281134199</v>
      </c>
      <c r="W28" s="304">
        <v>0.29387796170653707</v>
      </c>
      <c r="X28" s="304">
        <v>0.36381116509468314</v>
      </c>
      <c r="Y28" s="306"/>
      <c r="Z28" s="304">
        <v>1.6752274068306146</v>
      </c>
      <c r="AA28" s="304">
        <v>2.1443952426861532</v>
      </c>
      <c r="AB28" s="304">
        <v>2.7506227564485597</v>
      </c>
      <c r="AC28" s="306"/>
      <c r="AD28" s="304">
        <v>2.1667945300740841</v>
      </c>
      <c r="AE28" s="304">
        <v>2.2209460871233695</v>
      </c>
      <c r="AF28" s="304">
        <v>2.1388365582741331</v>
      </c>
      <c r="AG28" s="306"/>
      <c r="AH28" s="304">
        <v>1.0884343172268813</v>
      </c>
      <c r="AI28" s="304">
        <v>0.88087145115123022</v>
      </c>
      <c r="AJ28" s="304">
        <v>0.41226934511611552</v>
      </c>
      <c r="AK28" s="306"/>
      <c r="AL28" s="304">
        <v>0.62591209654444169</v>
      </c>
      <c r="AM28" s="304">
        <v>0.62432856959495486</v>
      </c>
      <c r="AN28" s="304">
        <v>0.34163857082004401</v>
      </c>
    </row>
    <row r="29" spans="1:40" x14ac:dyDescent="0.3">
      <c r="A29" s="13" t="str">
        <f t="shared" si="58"/>
        <v>Elementary occupations</v>
      </c>
      <c r="B29" s="304">
        <f t="shared" si="60"/>
        <v>8.4630032622009743</v>
      </c>
      <c r="C29" s="304">
        <f t="shared" si="61"/>
        <v>7.9966286185863824</v>
      </c>
      <c r="D29" s="304">
        <f t="shared" si="62"/>
        <v>6.9573406926785593</v>
      </c>
      <c r="E29" s="304"/>
      <c r="F29" s="304">
        <v>1.4851541661042695E-4</v>
      </c>
      <c r="G29" s="304">
        <v>1.8232723464089941E-4</v>
      </c>
      <c r="H29" s="304">
        <v>2.3106836164764601E-4</v>
      </c>
      <c r="I29" s="304"/>
      <c r="J29" s="304">
        <v>9.3440280901135223E-2</v>
      </c>
      <c r="K29" s="304">
        <v>0.10384360424537663</v>
      </c>
      <c r="L29" s="304">
        <v>0.10459434667491203</v>
      </c>
      <c r="M29" s="304"/>
      <c r="N29" s="304">
        <v>0.26657765297926594</v>
      </c>
      <c r="O29" s="304">
        <v>0.27992236357622724</v>
      </c>
      <c r="P29" s="304">
        <v>0.2918579937091772</v>
      </c>
      <c r="Q29" s="306"/>
      <c r="R29" s="304">
        <v>0.33706815310934235</v>
      </c>
      <c r="S29" s="304">
        <v>0.32745079302299757</v>
      </c>
      <c r="T29" s="304">
        <v>0.31822240025286963</v>
      </c>
      <c r="U29" s="306"/>
      <c r="V29" s="304">
        <v>0.57712285796760665</v>
      </c>
      <c r="W29" s="304">
        <v>0.62693331501282812</v>
      </c>
      <c r="X29" s="304">
        <v>0.68261920404884979</v>
      </c>
      <c r="Y29" s="306"/>
      <c r="Z29" s="304">
        <v>1.8046515546313717</v>
      </c>
      <c r="AA29" s="304">
        <v>1.9305603219479586</v>
      </c>
      <c r="AB29" s="304">
        <v>1.8140856999938186</v>
      </c>
      <c r="AC29" s="306"/>
      <c r="AD29" s="304">
        <v>2.7906794329922313</v>
      </c>
      <c r="AE29" s="304">
        <v>2.5669023908915904</v>
      </c>
      <c r="AF29" s="304">
        <v>2.0291573442470683</v>
      </c>
      <c r="AG29" s="306"/>
      <c r="AH29" s="304">
        <v>2.1042149057845805</v>
      </c>
      <c r="AI29" s="304">
        <v>1.7344830500697486</v>
      </c>
      <c r="AJ29" s="304">
        <v>1.3381629163269477</v>
      </c>
      <c r="AK29" s="306"/>
      <c r="AL29" s="304">
        <v>0.48909990841882944</v>
      </c>
      <c r="AM29" s="304">
        <v>0.42635045258501497</v>
      </c>
      <c r="AN29" s="304">
        <v>0.37840971906326826</v>
      </c>
    </row>
    <row r="30" spans="1:40" x14ac:dyDescent="0.3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3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3">
      <c r="A32" s="13" t="str">
        <f t="shared" ref="A32:A41" si="63">A8</f>
        <v>All occupations</v>
      </c>
      <c r="B32" s="305">
        <f>SUM(B33:B41)</f>
        <v>220.63999999966703</v>
      </c>
      <c r="C32" s="305">
        <f>SUM(C33:C41)</f>
        <v>212.38000000164976</v>
      </c>
      <c r="D32" s="305">
        <f>SUM(D33:D41)</f>
        <v>195.23700000064915</v>
      </c>
      <c r="E32" s="304"/>
      <c r="F32" s="305">
        <f>SUM(F33:F41)</f>
        <v>2.5559343412733746</v>
      </c>
      <c r="G32" s="305">
        <f>SUM(G33:G41)</f>
        <v>2.9737160195469019</v>
      </c>
      <c r="H32" s="305">
        <f>SUM(H33:H41)</f>
        <v>3.3019070609937144</v>
      </c>
      <c r="I32" s="304"/>
      <c r="J32" s="305">
        <f>SUM(J33:J41)</f>
        <v>13.444046398220465</v>
      </c>
      <c r="K32" s="305">
        <f>SUM(K33:K41)</f>
        <v>16.39836874142345</v>
      </c>
      <c r="L32" s="305">
        <f>SUM(L33:L41)</f>
        <v>19.397511183952773</v>
      </c>
      <c r="M32" s="304"/>
      <c r="N32" s="305">
        <f>SUM(N33:N41)</f>
        <v>37.101295615108853</v>
      </c>
      <c r="O32" s="305">
        <f>SUM(O33:O41)</f>
        <v>36.801885889765359</v>
      </c>
      <c r="P32" s="305">
        <f>SUM(P33:P41)</f>
        <v>38.941015108352616</v>
      </c>
      <c r="Q32" s="306"/>
      <c r="R32" s="305">
        <f>SUM(R33:R41)</f>
        <v>8.8386111715934828</v>
      </c>
      <c r="S32" s="305">
        <f>SUM(S33:S41)</f>
        <v>8.9543956325942879</v>
      </c>
      <c r="T32" s="305">
        <f>SUM(T33:T41)</f>
        <v>9.9548013521031873</v>
      </c>
      <c r="U32" s="306"/>
      <c r="V32" s="305">
        <f>SUM(V33:V41)</f>
        <v>18.962290154118239</v>
      </c>
      <c r="W32" s="305">
        <f>SUM(W33:W41)</f>
        <v>18.39939371974447</v>
      </c>
      <c r="X32" s="305">
        <f>SUM(X33:X41)</f>
        <v>18.619176740859263</v>
      </c>
      <c r="Y32" s="306"/>
      <c r="Z32" s="305">
        <f>SUM(Z33:Z41)</f>
        <v>48.134057957635363</v>
      </c>
      <c r="AA32" s="305">
        <f>SUM(AA33:AA41)</f>
        <v>49.876494165554895</v>
      </c>
      <c r="AB32" s="305">
        <f>SUM(AB33:AB41)</f>
        <v>47.292109609742425</v>
      </c>
      <c r="AC32" s="306"/>
      <c r="AD32" s="305">
        <f>SUM(AD33:AD41)</f>
        <v>48.022148455814644</v>
      </c>
      <c r="AE32" s="305">
        <f>SUM(AE33:AE41)</f>
        <v>42.458102241440358</v>
      </c>
      <c r="AF32" s="305">
        <f>SUM(AF33:AF41)</f>
        <v>33.502847391480678</v>
      </c>
      <c r="AG32" s="306"/>
      <c r="AH32" s="305">
        <f>SUM(AH33:AH41)</f>
        <v>34.256506567297841</v>
      </c>
      <c r="AI32" s="305">
        <f>SUM(AI33:AI41)</f>
        <v>29.961382511571223</v>
      </c>
      <c r="AJ32" s="305">
        <f>SUM(AJ33:AJ41)</f>
        <v>19.710359765561911</v>
      </c>
      <c r="AK32" s="306"/>
      <c r="AL32" s="305">
        <f>SUM(AL33:AL41)</f>
        <v>9.3251093386047526</v>
      </c>
      <c r="AM32" s="305">
        <f>SUM(AM33:AM41)</f>
        <v>6.5562610800088086</v>
      </c>
      <c r="AN32" s="305">
        <f>SUM(AN33:AN41)</f>
        <v>4.5172717876026001</v>
      </c>
    </row>
    <row r="33" spans="1:40" x14ac:dyDescent="0.3">
      <c r="A33" s="13" t="str">
        <f t="shared" si="63"/>
        <v>Managers, directors and senior officials</v>
      </c>
      <c r="B33" s="304">
        <f>SUM(F33,J33,N33,R33,V33,Z33,AD33,AH33,AL33)</f>
        <v>31.328395254800107</v>
      </c>
      <c r="C33" s="304">
        <f t="shared" ref="C33:C41" si="64">SUM(G33,K33,O33,S33,W33,AA33,AE33,AI33,AM33)</f>
        <v>29.113323866718986</v>
      </c>
      <c r="D33" s="304">
        <f t="shared" ref="D33:D40" si="65">SUM(H33,L33,P33,T33,X33,AB33,AF33,AJ33,AN33)</f>
        <v>27.99552582899582</v>
      </c>
      <c r="E33" s="304"/>
      <c r="F33" s="304">
        <v>0.39828575852190867</v>
      </c>
      <c r="G33" s="304">
        <v>0.41664626849806108</v>
      </c>
      <c r="H33" s="304">
        <v>0.42306568405410933</v>
      </c>
      <c r="I33" s="304"/>
      <c r="J33" s="304">
        <v>2.89088436451246</v>
      </c>
      <c r="K33" s="304">
        <v>3.3362609140409805</v>
      </c>
      <c r="L33" s="304">
        <v>3.7253711867267771</v>
      </c>
      <c r="M33" s="304"/>
      <c r="N33" s="304">
        <v>8.5145256580023325</v>
      </c>
      <c r="O33" s="304">
        <v>8.2448069373356354</v>
      </c>
      <c r="P33" s="304">
        <v>8.7328030881714049</v>
      </c>
      <c r="Q33" s="306"/>
      <c r="R33" s="304">
        <v>1.8296060972322823</v>
      </c>
      <c r="S33" s="304">
        <v>1.7452209233746339</v>
      </c>
      <c r="T33" s="304">
        <v>1.8878541474157029</v>
      </c>
      <c r="U33" s="306"/>
      <c r="V33" s="304">
        <v>4.0208847109056984</v>
      </c>
      <c r="W33" s="304">
        <v>3.7040967419268367</v>
      </c>
      <c r="X33" s="304">
        <v>3.7794382405329427</v>
      </c>
      <c r="Y33" s="306"/>
      <c r="Z33" s="304">
        <v>5.3072301973063087</v>
      </c>
      <c r="AA33" s="304">
        <v>5.0016740084387505</v>
      </c>
      <c r="AB33" s="304">
        <v>4.5948238513882291</v>
      </c>
      <c r="AC33" s="306"/>
      <c r="AD33" s="304">
        <v>4.9421269383966235</v>
      </c>
      <c r="AE33" s="304">
        <v>3.8859441586020806</v>
      </c>
      <c r="AF33" s="304">
        <v>3.0363411279873973</v>
      </c>
      <c r="AG33" s="306"/>
      <c r="AH33" s="304">
        <v>2.8219268220775588</v>
      </c>
      <c r="AI33" s="304">
        <v>2.2186508997742989</v>
      </c>
      <c r="AJ33" s="304">
        <v>1.3357448049170284</v>
      </c>
      <c r="AK33" s="306"/>
      <c r="AL33" s="304">
        <v>0.6029247078449369</v>
      </c>
      <c r="AM33" s="304">
        <v>0.5600230147277091</v>
      </c>
      <c r="AN33" s="304">
        <v>0.48008369780222399</v>
      </c>
    </row>
    <row r="34" spans="1:40" x14ac:dyDescent="0.3">
      <c r="A34" s="13" t="str">
        <f t="shared" si="63"/>
        <v>Professional occupations</v>
      </c>
      <c r="B34" s="304">
        <f t="shared" ref="B34:B41" si="66">SUM(F34,J34,N34,R34,V34,Z34,AD34,AH34,AL34)</f>
        <v>43.021451946248717</v>
      </c>
      <c r="C34" s="304">
        <f t="shared" si="64"/>
        <v>43.436062739273233</v>
      </c>
      <c r="D34" s="304">
        <f t="shared" si="65"/>
        <v>42.544357108506524</v>
      </c>
      <c r="E34" s="304"/>
      <c r="F34" s="304">
        <v>1.5741516237677446</v>
      </c>
      <c r="G34" s="304">
        <v>1.8988373088600139</v>
      </c>
      <c r="H34" s="304">
        <v>2.1218339050640291</v>
      </c>
      <c r="I34" s="304"/>
      <c r="J34" s="304">
        <v>5.808136143206875</v>
      </c>
      <c r="K34" s="304">
        <v>7.1715355475724207</v>
      </c>
      <c r="L34" s="304">
        <v>8.3384718565053895</v>
      </c>
      <c r="M34" s="304"/>
      <c r="N34" s="304">
        <v>12.418623736504978</v>
      </c>
      <c r="O34" s="304">
        <v>12.109814139735334</v>
      </c>
      <c r="P34" s="304">
        <v>12.164012173655594</v>
      </c>
      <c r="Q34" s="306"/>
      <c r="R34" s="304">
        <v>1.3861576789558088</v>
      </c>
      <c r="S34" s="304">
        <v>1.3705648545056714</v>
      </c>
      <c r="T34" s="304">
        <v>1.4824029195405406</v>
      </c>
      <c r="U34" s="306"/>
      <c r="V34" s="304">
        <v>5.4298865662694062</v>
      </c>
      <c r="W34" s="304">
        <v>5.1985004160926431</v>
      </c>
      <c r="X34" s="304">
        <v>5.1666558812259575</v>
      </c>
      <c r="Y34" s="306"/>
      <c r="Z34" s="304">
        <v>7.7333777194656053</v>
      </c>
      <c r="AA34" s="304">
        <v>7.9669324131708859</v>
      </c>
      <c r="AB34" s="304">
        <v>7.2791510253877716</v>
      </c>
      <c r="AC34" s="306"/>
      <c r="AD34" s="304">
        <v>4.927748802906823</v>
      </c>
      <c r="AE34" s="304">
        <v>4.1617390768549987</v>
      </c>
      <c r="AF34" s="304">
        <v>2.9424714879735672</v>
      </c>
      <c r="AG34" s="306"/>
      <c r="AH34" s="304">
        <v>3.1600058589879834</v>
      </c>
      <c r="AI34" s="304">
        <v>2.9211372917401759</v>
      </c>
      <c r="AJ34" s="304">
        <v>2.5483001842689927</v>
      </c>
      <c r="AK34" s="306"/>
      <c r="AL34" s="304">
        <v>0.58336381618348954</v>
      </c>
      <c r="AM34" s="304">
        <v>0.63700169074108992</v>
      </c>
      <c r="AN34" s="304">
        <v>0.50105767488467856</v>
      </c>
    </row>
    <row r="35" spans="1:40" x14ac:dyDescent="0.3">
      <c r="A35" s="13" t="str">
        <f t="shared" si="63"/>
        <v>Associate professional occupations</v>
      </c>
      <c r="B35" s="304">
        <f t="shared" si="66"/>
        <v>31.202255952010375</v>
      </c>
      <c r="C35" s="304">
        <f t="shared" si="64"/>
        <v>27.853578471974011</v>
      </c>
      <c r="D35" s="304">
        <f t="shared" si="65"/>
        <v>26.624415252093737</v>
      </c>
      <c r="E35" s="304"/>
      <c r="F35" s="304">
        <v>0.38666832114678312</v>
      </c>
      <c r="G35" s="304">
        <v>0.41792344078737215</v>
      </c>
      <c r="H35" s="304">
        <v>0.47401032418463557</v>
      </c>
      <c r="I35" s="304"/>
      <c r="J35" s="304">
        <v>2.549926835006421</v>
      </c>
      <c r="K35" s="304">
        <v>2.8280719345797292</v>
      </c>
      <c r="L35" s="304">
        <v>3.2268421541574956</v>
      </c>
      <c r="M35" s="304"/>
      <c r="N35" s="304">
        <v>7.6509096338282703</v>
      </c>
      <c r="O35" s="304">
        <v>7.1548854679396952</v>
      </c>
      <c r="P35" s="304">
        <v>7.3784419000526649</v>
      </c>
      <c r="Q35" s="306"/>
      <c r="R35" s="304">
        <v>2.1131434024471858</v>
      </c>
      <c r="S35" s="304">
        <v>2.0646499454947294</v>
      </c>
      <c r="T35" s="304">
        <v>2.2827083932108381</v>
      </c>
      <c r="U35" s="306"/>
      <c r="V35" s="304">
        <v>2.9543524911484482</v>
      </c>
      <c r="W35" s="304">
        <v>2.5064326588309163</v>
      </c>
      <c r="X35" s="304">
        <v>2.3670858607621845</v>
      </c>
      <c r="Y35" s="306"/>
      <c r="Z35" s="304">
        <v>6.9134554234871839</v>
      </c>
      <c r="AA35" s="304">
        <v>6.4362623888256003</v>
      </c>
      <c r="AB35" s="304">
        <v>6.0073868113015712</v>
      </c>
      <c r="AC35" s="306"/>
      <c r="AD35" s="304">
        <v>5.3526494863955625</v>
      </c>
      <c r="AE35" s="304">
        <v>4.0712624144769913</v>
      </c>
      <c r="AF35" s="304">
        <v>3.1369224940773401</v>
      </c>
      <c r="AG35" s="306"/>
      <c r="AH35" s="304">
        <v>2.8720196912257241</v>
      </c>
      <c r="AI35" s="304">
        <v>2.0162812681400331</v>
      </c>
      <c r="AJ35" s="304">
        <v>1.4699461641399938</v>
      </c>
      <c r="AK35" s="306"/>
      <c r="AL35" s="304">
        <v>0.40913066732479547</v>
      </c>
      <c r="AM35" s="304">
        <v>0.3578089528989476</v>
      </c>
      <c r="AN35" s="304">
        <v>0.28107115020701567</v>
      </c>
    </row>
    <row r="36" spans="1:40" x14ac:dyDescent="0.3">
      <c r="A36" s="13" t="str">
        <f t="shared" si="63"/>
        <v>Administrative and secretarial occupations</v>
      </c>
      <c r="B36" s="304">
        <f t="shared" si="66"/>
        <v>17.124207775032772</v>
      </c>
      <c r="C36" s="304">
        <f t="shared" si="64"/>
        <v>14.874256938486154</v>
      </c>
      <c r="D36" s="304">
        <f t="shared" si="65"/>
        <v>12.603104986342339</v>
      </c>
      <c r="E36" s="304"/>
      <c r="F36" s="304">
        <v>5.0783994650788977E-2</v>
      </c>
      <c r="G36" s="304">
        <v>5.6280676199423701E-2</v>
      </c>
      <c r="H36" s="304">
        <v>6.1024838504155875E-2</v>
      </c>
      <c r="I36" s="304"/>
      <c r="J36" s="304">
        <v>0.61833868103397582</v>
      </c>
      <c r="K36" s="304">
        <v>0.72185789696109603</v>
      </c>
      <c r="L36" s="304">
        <v>0.84310331348236789</v>
      </c>
      <c r="M36" s="304"/>
      <c r="N36" s="304">
        <v>2.8347951519908898</v>
      </c>
      <c r="O36" s="304">
        <v>2.6782844071533001</v>
      </c>
      <c r="P36" s="304">
        <v>2.776293946206962</v>
      </c>
      <c r="Q36" s="306"/>
      <c r="R36" s="304">
        <v>1.0396461978224725</v>
      </c>
      <c r="S36" s="304">
        <v>0.98187343978824726</v>
      </c>
      <c r="T36" s="304">
        <v>1.0710216891179076</v>
      </c>
      <c r="U36" s="306"/>
      <c r="V36" s="304">
        <v>1.276233757285806</v>
      </c>
      <c r="W36" s="304">
        <v>1.1665537715116583</v>
      </c>
      <c r="X36" s="304">
        <v>1.2017931640157264</v>
      </c>
      <c r="Y36" s="306"/>
      <c r="Z36" s="304">
        <v>3.6325862961775681</v>
      </c>
      <c r="AA36" s="304">
        <v>3.4010257705768043</v>
      </c>
      <c r="AB36" s="304">
        <v>3.1406597245543466</v>
      </c>
      <c r="AC36" s="306"/>
      <c r="AD36" s="304">
        <v>5.1177116428248706</v>
      </c>
      <c r="AE36" s="304">
        <v>4.2636151326047385</v>
      </c>
      <c r="AF36" s="304">
        <v>2.9191696526549595</v>
      </c>
      <c r="AG36" s="306"/>
      <c r="AH36" s="304">
        <v>2.1852631172426746</v>
      </c>
      <c r="AI36" s="304">
        <v>1.2932340232028046</v>
      </c>
      <c r="AJ36" s="304">
        <v>0.34315184984464581</v>
      </c>
      <c r="AK36" s="306"/>
      <c r="AL36" s="304">
        <v>0.36884893600372487</v>
      </c>
      <c r="AM36" s="304">
        <v>0.31153182048808092</v>
      </c>
      <c r="AN36" s="304">
        <v>0.24688680796126833</v>
      </c>
    </row>
    <row r="37" spans="1:40" x14ac:dyDescent="0.3">
      <c r="A37" s="13" t="str">
        <f t="shared" si="63"/>
        <v>Skilled trades occupations</v>
      </c>
      <c r="B37" s="304">
        <f t="shared" si="66"/>
        <v>42.333044715208572</v>
      </c>
      <c r="C37" s="304">
        <f t="shared" si="64"/>
        <v>39.889992029421492</v>
      </c>
      <c r="D37" s="304">
        <f t="shared" si="65"/>
        <v>33.473044488288515</v>
      </c>
      <c r="E37" s="304"/>
      <c r="F37" s="304">
        <v>4.3566728294712621E-2</v>
      </c>
      <c r="G37" s="304">
        <v>5.4474913053531589E-2</v>
      </c>
      <c r="H37" s="304">
        <v>6.549612158412102E-2</v>
      </c>
      <c r="I37" s="304"/>
      <c r="J37" s="304">
        <v>0.65489286002204483</v>
      </c>
      <c r="K37" s="304">
        <v>0.94581103233217656</v>
      </c>
      <c r="L37" s="304">
        <v>1.2209210405934796</v>
      </c>
      <c r="M37" s="304"/>
      <c r="N37" s="304">
        <v>2.1166655162582466</v>
      </c>
      <c r="O37" s="304">
        <v>2.4938484800849934</v>
      </c>
      <c r="P37" s="304">
        <v>2.8342567903388609</v>
      </c>
      <c r="Q37" s="306"/>
      <c r="R37" s="304">
        <v>1.0127361591813566</v>
      </c>
      <c r="S37" s="304">
        <v>1.1126435174426383</v>
      </c>
      <c r="T37" s="304">
        <v>1.2586314308683431</v>
      </c>
      <c r="U37" s="306"/>
      <c r="V37" s="304">
        <v>3.0473345938880878</v>
      </c>
      <c r="W37" s="304">
        <v>3.0771963850271229</v>
      </c>
      <c r="X37" s="304">
        <v>3.0212210324361686</v>
      </c>
      <c r="Y37" s="306"/>
      <c r="Z37" s="304">
        <v>14.216467705760028</v>
      </c>
      <c r="AA37" s="304">
        <v>14.371632012841776</v>
      </c>
      <c r="AB37" s="304">
        <v>12.743037958723683</v>
      </c>
      <c r="AC37" s="306"/>
      <c r="AD37" s="304">
        <v>11.326736319961247</v>
      </c>
      <c r="AE37" s="304">
        <v>9.2960884755091637</v>
      </c>
      <c r="AF37" s="304">
        <v>6.3025984623768441</v>
      </c>
      <c r="AG37" s="306"/>
      <c r="AH37" s="304">
        <v>7.6659785306361066</v>
      </c>
      <c r="AI37" s="304">
        <v>6.8851276022321617</v>
      </c>
      <c r="AJ37" s="304">
        <v>4.9359424216940218</v>
      </c>
      <c r="AK37" s="306"/>
      <c r="AL37" s="304">
        <v>2.2486663012067392</v>
      </c>
      <c r="AM37" s="304">
        <v>1.653169610897935</v>
      </c>
      <c r="AN37" s="304">
        <v>1.0909392296729932</v>
      </c>
    </row>
    <row r="38" spans="1:40" x14ac:dyDescent="0.3">
      <c r="A38" s="13" t="str">
        <f t="shared" si="63"/>
        <v>Caring, leisure and other service occupations</v>
      </c>
      <c r="B38" s="304">
        <f t="shared" si="66"/>
        <v>2.8230041559365326</v>
      </c>
      <c r="C38" s="304">
        <f t="shared" si="64"/>
        <v>2.8999663905817994</v>
      </c>
      <c r="D38" s="304">
        <f t="shared" si="65"/>
        <v>2.8892785913496382</v>
      </c>
      <c r="E38" s="304"/>
      <c r="F38" s="304">
        <v>2.4815568252111102E-2</v>
      </c>
      <c r="G38" s="304">
        <v>2.9446900574537745E-2</v>
      </c>
      <c r="H38" s="304">
        <v>3.6763500466557616E-2</v>
      </c>
      <c r="I38" s="304"/>
      <c r="J38" s="304">
        <v>3.6885832881665852E-2</v>
      </c>
      <c r="K38" s="304">
        <v>4.3538191380849918E-2</v>
      </c>
      <c r="L38" s="304">
        <v>4.6332926205752856E-2</v>
      </c>
      <c r="M38" s="304"/>
      <c r="N38" s="304">
        <v>0.27696139333058994</v>
      </c>
      <c r="O38" s="304">
        <v>0.25703587738260214</v>
      </c>
      <c r="P38" s="304">
        <v>0.24855573804328007</v>
      </c>
      <c r="Q38" s="306"/>
      <c r="R38" s="304">
        <v>7.5920555078860766E-2</v>
      </c>
      <c r="S38" s="304">
        <v>6.7516073294247317E-2</v>
      </c>
      <c r="T38" s="304">
        <v>6.4394532044513078E-2</v>
      </c>
      <c r="U38" s="306"/>
      <c r="V38" s="304">
        <v>0.26138951095377383</v>
      </c>
      <c r="W38" s="304">
        <v>0.26659521985857265</v>
      </c>
      <c r="X38" s="304">
        <v>0.26514432927332926</v>
      </c>
      <c r="Y38" s="306"/>
      <c r="Z38" s="304">
        <v>0.34173200474850773</v>
      </c>
      <c r="AA38" s="304">
        <v>0.34201990427974194</v>
      </c>
      <c r="AB38" s="304">
        <v>0.31891658516611593</v>
      </c>
      <c r="AC38" s="306"/>
      <c r="AD38" s="304">
        <v>0.4800815014868427</v>
      </c>
      <c r="AE38" s="304">
        <v>0.44464564171390053</v>
      </c>
      <c r="AF38" s="304">
        <v>0.36493137502760947</v>
      </c>
      <c r="AG38" s="306"/>
      <c r="AH38" s="304">
        <v>1.1525038025460896</v>
      </c>
      <c r="AI38" s="304">
        <v>1.2681723162708363</v>
      </c>
      <c r="AJ38" s="304">
        <v>1.3814852440502281</v>
      </c>
      <c r="AK38" s="306"/>
      <c r="AL38" s="304">
        <v>0.1727139866580911</v>
      </c>
      <c r="AM38" s="304">
        <v>0.18099626582651093</v>
      </c>
      <c r="AN38" s="304">
        <v>0.16275436107225177</v>
      </c>
    </row>
    <row r="39" spans="1:40" x14ac:dyDescent="0.3">
      <c r="A39" s="13" t="str">
        <f t="shared" si="63"/>
        <v>Sales and customer service occupations</v>
      </c>
      <c r="B39" s="304">
        <f t="shared" si="66"/>
        <v>7.446298241974981</v>
      </c>
      <c r="C39" s="304">
        <f t="shared" si="64"/>
        <v>7.4314708667628659</v>
      </c>
      <c r="D39" s="304">
        <f t="shared" si="65"/>
        <v>7.2361062565205394</v>
      </c>
      <c r="E39" s="304"/>
      <c r="F39" s="304">
        <v>4.1310117970896336E-2</v>
      </c>
      <c r="G39" s="304">
        <v>5.2545614228787139E-2</v>
      </c>
      <c r="H39" s="304">
        <v>5.9503310941292048E-2</v>
      </c>
      <c r="I39" s="304"/>
      <c r="J39" s="304">
        <v>0.40859894197283014</v>
      </c>
      <c r="K39" s="304">
        <v>0.52709139607420297</v>
      </c>
      <c r="L39" s="304">
        <v>0.60605076298911476</v>
      </c>
      <c r="M39" s="304"/>
      <c r="N39" s="304">
        <v>1.5048776026519664</v>
      </c>
      <c r="O39" s="304">
        <v>1.6010911465773583</v>
      </c>
      <c r="P39" s="304">
        <v>1.788544479998081</v>
      </c>
      <c r="Q39" s="306"/>
      <c r="R39" s="304">
        <v>0.48603963312786891</v>
      </c>
      <c r="S39" s="304">
        <v>0.53763389190325273</v>
      </c>
      <c r="T39" s="304">
        <v>0.62642141289985287</v>
      </c>
      <c r="U39" s="306"/>
      <c r="V39" s="304">
        <v>0.51348410782834597</v>
      </c>
      <c r="W39" s="304">
        <v>0.55078756053064482</v>
      </c>
      <c r="X39" s="304">
        <v>0.62539319838090957</v>
      </c>
      <c r="Y39" s="306"/>
      <c r="Z39" s="304">
        <v>1.5852820510006693</v>
      </c>
      <c r="AA39" s="304">
        <v>1.6064848447087403</v>
      </c>
      <c r="AB39" s="304">
        <v>1.5223863031887301</v>
      </c>
      <c r="AC39" s="306"/>
      <c r="AD39" s="304">
        <v>1.4892364917922289</v>
      </c>
      <c r="AE39" s="304">
        <v>1.3605748062803698</v>
      </c>
      <c r="AF39" s="304">
        <v>1.2163020613068798</v>
      </c>
      <c r="AG39" s="306"/>
      <c r="AH39" s="304">
        <v>0.99595054127265448</v>
      </c>
      <c r="AI39" s="304">
        <v>0.79399396218471885</v>
      </c>
      <c r="AJ39" s="304">
        <v>0.40907203417431631</v>
      </c>
      <c r="AK39" s="306"/>
      <c r="AL39" s="304">
        <v>0.42151875435752051</v>
      </c>
      <c r="AM39" s="304">
        <v>0.40126764427479072</v>
      </c>
      <c r="AN39" s="304">
        <v>0.3824326926413632</v>
      </c>
    </row>
    <row r="40" spans="1:40" x14ac:dyDescent="0.3">
      <c r="A40" s="13" t="str">
        <f t="shared" si="63"/>
        <v>Process, plant and machine operatives</v>
      </c>
      <c r="B40" s="304">
        <f t="shared" si="66"/>
        <v>31.964971981029478</v>
      </c>
      <c r="C40" s="304">
        <f t="shared" si="64"/>
        <v>35.392763376147798</v>
      </c>
      <c r="D40" s="304">
        <f t="shared" si="65"/>
        <v>32.174322643498428</v>
      </c>
      <c r="E40" s="304"/>
      <c r="F40" s="304">
        <v>6.8917983931749234E-3</v>
      </c>
      <c r="G40" s="304">
        <v>8.9311537519498278E-3</v>
      </c>
      <c r="H40" s="304">
        <v>8.7179028120750422E-3</v>
      </c>
      <c r="I40" s="304"/>
      <c r="J40" s="304">
        <v>0.3354346938381676</v>
      </c>
      <c r="K40" s="304">
        <v>0.6380426888739934</v>
      </c>
      <c r="L40" s="304">
        <v>1.1653635467647117</v>
      </c>
      <c r="M40" s="304"/>
      <c r="N40" s="304">
        <v>1.0718163400829008</v>
      </c>
      <c r="O40" s="304">
        <v>1.5097429076732147</v>
      </c>
      <c r="P40" s="304">
        <v>2.1986765038716891</v>
      </c>
      <c r="Q40" s="306"/>
      <c r="R40" s="305">
        <v>0.55346790785132227</v>
      </c>
      <c r="S40" s="305">
        <v>0.73743821776459773</v>
      </c>
      <c r="T40" s="305">
        <v>0.86421553041906252</v>
      </c>
      <c r="U40" s="306"/>
      <c r="V40" s="305">
        <v>1.1324744827829527</v>
      </c>
      <c r="W40" s="305">
        <v>1.5709832034888773</v>
      </c>
      <c r="X40" s="305">
        <v>1.7745567155431601</v>
      </c>
      <c r="Y40" s="306"/>
      <c r="Z40" s="305">
        <v>6.7168906674250506</v>
      </c>
      <c r="AA40" s="305">
        <v>9.1059052112555179</v>
      </c>
      <c r="AB40" s="305">
        <v>10.039326461665613</v>
      </c>
      <c r="AC40" s="306"/>
      <c r="AD40" s="305">
        <v>10.976424121318646</v>
      </c>
      <c r="AE40" s="305">
        <v>12.292526849401751</v>
      </c>
      <c r="AF40" s="305">
        <v>11.665577901430028</v>
      </c>
      <c r="AG40" s="306"/>
      <c r="AH40" s="305">
        <v>8.2525336698463985</v>
      </c>
      <c r="AI40" s="305">
        <v>8.0688112468865878</v>
      </c>
      <c r="AJ40" s="305">
        <v>3.7743932057780034</v>
      </c>
      <c r="AK40" s="306"/>
      <c r="AL40" s="305">
        <v>2.9190382994908646</v>
      </c>
      <c r="AM40" s="305">
        <v>1.4603818970513081</v>
      </c>
      <c r="AN40" s="305">
        <v>0.68349487521408703</v>
      </c>
    </row>
    <row r="41" spans="1:40" x14ac:dyDescent="0.3">
      <c r="A41" s="38" t="str">
        <f t="shared" si="63"/>
        <v>Elementary occupations</v>
      </c>
      <c r="B41" s="307">
        <f t="shared" si="66"/>
        <v>13.396369977425504</v>
      </c>
      <c r="C41" s="307">
        <f t="shared" si="64"/>
        <v>11.488585322283413</v>
      </c>
      <c r="D41" s="307">
        <f>SUM(H41,L41,P41,T41,X41,AB41,AF41,AJ41,AN41)</f>
        <v>9.6968448450536169</v>
      </c>
      <c r="E41" s="307"/>
      <c r="F41" s="307">
        <v>2.9460430275254326E-2</v>
      </c>
      <c r="G41" s="307">
        <v>3.8629743593224693E-2</v>
      </c>
      <c r="H41" s="307">
        <v>5.1491473382738899E-2</v>
      </c>
      <c r="I41" s="307"/>
      <c r="J41" s="307">
        <v>0.14094804574602518</v>
      </c>
      <c r="K41" s="307">
        <v>0.18615913960800046</v>
      </c>
      <c r="L41" s="307">
        <v>0.225054396527681</v>
      </c>
      <c r="M41" s="307"/>
      <c r="N41" s="307">
        <v>0.71212058245868015</v>
      </c>
      <c r="O41" s="307">
        <v>0.75237652588322557</v>
      </c>
      <c r="P41" s="307">
        <v>0.81943048801407914</v>
      </c>
      <c r="Q41" s="308"/>
      <c r="R41" s="307">
        <v>0.34189353989632593</v>
      </c>
      <c r="S41" s="307">
        <v>0.33685476902626948</v>
      </c>
      <c r="T41" s="307">
        <v>0.41715129658642602</v>
      </c>
      <c r="U41" s="308"/>
      <c r="V41" s="307">
        <v>0.32624993305571903</v>
      </c>
      <c r="W41" s="307">
        <v>0.35824776247720086</v>
      </c>
      <c r="X41" s="307">
        <v>0.41788831868888549</v>
      </c>
      <c r="Y41" s="308"/>
      <c r="Z41" s="307">
        <v>1.6870358922644506</v>
      </c>
      <c r="AA41" s="307">
        <v>1.6445576114570812</v>
      </c>
      <c r="AB41" s="307">
        <v>1.6464208883663618</v>
      </c>
      <c r="AC41" s="308"/>
      <c r="AD41" s="307">
        <v>3.4094331507318039</v>
      </c>
      <c r="AE41" s="307">
        <v>2.6817056859963686</v>
      </c>
      <c r="AF41" s="307">
        <v>1.9185328286460481</v>
      </c>
      <c r="AG41" s="308"/>
      <c r="AH41" s="307">
        <v>5.1503245334626522</v>
      </c>
      <c r="AI41" s="307">
        <v>4.4959739011396049</v>
      </c>
      <c r="AJ41" s="307">
        <v>3.5123238566946786</v>
      </c>
      <c r="AK41" s="308"/>
      <c r="AL41" s="307">
        <v>1.5989038695345914</v>
      </c>
      <c r="AM41" s="307">
        <v>0.9940801831024364</v>
      </c>
      <c r="AN41" s="307">
        <v>0.68855129814671823</v>
      </c>
    </row>
    <row r="42" spans="1:40" x14ac:dyDescent="0.3">
      <c r="B42" s="31"/>
      <c r="C42" s="31"/>
      <c r="D42" s="31"/>
    </row>
    <row r="43" spans="1:40" ht="15.45" x14ac:dyDescent="0.4">
      <c r="A43" s="18" t="str">
        <f>CONCATENATE(A1," (Continued)")</f>
        <v>Basic Table 1  Employment by Industry Sector, Occupation Group and Qualification, 2020-2035, East (Continued)</v>
      </c>
    </row>
    <row r="44" spans="1:40" ht="12.75" customHeight="1" x14ac:dyDescent="0.4">
      <c r="A44" s="18"/>
    </row>
    <row r="45" spans="1:40" ht="12.75" customHeight="1" x14ac:dyDescent="0.4">
      <c r="A45" s="18"/>
    </row>
    <row r="46" spans="1:40" ht="26.25" customHeight="1" x14ac:dyDescent="0.3">
      <c r="A46" s="77"/>
      <c r="B46" s="77"/>
      <c r="C46" s="78" t="str">
        <f>B4</f>
        <v>All qualifications</v>
      </c>
      <c r="D46" s="77"/>
      <c r="E46" s="77"/>
      <c r="F46" s="77"/>
      <c r="G46" s="78" t="str">
        <f>F4</f>
        <v>RQF8 Doctorate</v>
      </c>
      <c r="H46" s="77"/>
      <c r="I46" s="77"/>
      <c r="J46" s="77"/>
      <c r="K46" s="78" t="str">
        <f>J4</f>
        <v>RQF7 Other higher degree</v>
      </c>
      <c r="L46" s="77"/>
      <c r="M46" s="77"/>
      <c r="N46" s="380" t="str">
        <f>N4</f>
        <v>RQF6 First degree</v>
      </c>
      <c r="O46" s="380"/>
      <c r="P46" s="380"/>
      <c r="Q46" s="77"/>
      <c r="R46" s="380" t="str">
        <f>R4</f>
        <v>RQF5 Foundation degree;Nursing;Teaching</v>
      </c>
      <c r="S46" s="380"/>
      <c r="T46" s="380"/>
      <c r="U46" s="77"/>
      <c r="V46" s="380" t="str">
        <f>V4</f>
        <v>RQF4 HE below degree level</v>
      </c>
      <c r="W46" s="380"/>
      <c r="X46" s="380"/>
      <c r="Y46" s="77"/>
      <c r="Z46" s="380" t="str">
        <f>Z4</f>
        <v>RQF3 A level &amp; equivalent</v>
      </c>
      <c r="AA46" s="380"/>
      <c r="AB46" s="380"/>
      <c r="AC46" s="77"/>
      <c r="AD46" s="380" t="str">
        <f>AD4</f>
        <v>RQF2 GCSE(A-C) &amp; equivalent</v>
      </c>
      <c r="AE46" s="380"/>
      <c r="AF46" s="380"/>
      <c r="AG46" s="77"/>
      <c r="AH46" s="380" t="str">
        <f>AH4</f>
        <v>RQF1 GCSE(below grade C) &amp; equivalent</v>
      </c>
      <c r="AI46" s="380"/>
      <c r="AJ46" s="380"/>
      <c r="AK46" s="77"/>
      <c r="AL46" s="380" t="str">
        <f>AL4</f>
        <v>No Qualification</v>
      </c>
      <c r="AM46" s="380"/>
      <c r="AN46" s="380"/>
    </row>
    <row r="47" spans="1:40" x14ac:dyDescent="0.3">
      <c r="A47" s="38"/>
      <c r="B47" s="41">
        <f>B5</f>
        <v>2020</v>
      </c>
      <c r="C47" s="41">
        <f>C5</f>
        <v>2025</v>
      </c>
      <c r="D47" s="41">
        <f>D5</f>
        <v>2035</v>
      </c>
      <c r="E47" s="38"/>
      <c r="F47" s="34">
        <f>B47</f>
        <v>2020</v>
      </c>
      <c r="G47" s="34">
        <f>C47</f>
        <v>2025</v>
      </c>
      <c r="H47" s="34">
        <f>D47</f>
        <v>2035</v>
      </c>
      <c r="I47" s="38"/>
      <c r="J47" s="34">
        <f>B47</f>
        <v>2020</v>
      </c>
      <c r="K47" s="34">
        <f>C47</f>
        <v>2025</v>
      </c>
      <c r="L47" s="34">
        <f>D47</f>
        <v>2035</v>
      </c>
      <c r="M47" s="38"/>
      <c r="N47" s="34">
        <f>B47</f>
        <v>2020</v>
      </c>
      <c r="O47" s="34">
        <f>C47</f>
        <v>2025</v>
      </c>
      <c r="P47" s="34">
        <f>D47</f>
        <v>2035</v>
      </c>
      <c r="Q47" s="38"/>
      <c r="R47" s="34">
        <f>F47</f>
        <v>2020</v>
      </c>
      <c r="S47" s="34">
        <f>G47</f>
        <v>2025</v>
      </c>
      <c r="T47" s="34">
        <f>H47</f>
        <v>2035</v>
      </c>
      <c r="U47" s="38"/>
      <c r="V47" s="34">
        <f>J47</f>
        <v>2020</v>
      </c>
      <c r="W47" s="34">
        <f>K47</f>
        <v>2025</v>
      </c>
      <c r="X47" s="34">
        <f>L47</f>
        <v>2035</v>
      </c>
      <c r="Y47" s="38"/>
      <c r="Z47" s="34">
        <f>N47</f>
        <v>2020</v>
      </c>
      <c r="AA47" s="34">
        <f>O47</f>
        <v>2025</v>
      </c>
      <c r="AB47" s="34">
        <f>P47</f>
        <v>2035</v>
      </c>
      <c r="AC47" s="38"/>
      <c r="AD47" s="34">
        <f>R47</f>
        <v>2020</v>
      </c>
      <c r="AE47" s="34">
        <f>S47</f>
        <v>2025</v>
      </c>
      <c r="AF47" s="34">
        <f>T47</f>
        <v>2035</v>
      </c>
      <c r="AG47" s="38"/>
      <c r="AH47" s="34">
        <f>V47</f>
        <v>2020</v>
      </c>
      <c r="AI47" s="34">
        <f>W47</f>
        <v>2025</v>
      </c>
      <c r="AJ47" s="34">
        <f>X47</f>
        <v>2035</v>
      </c>
      <c r="AK47" s="38"/>
      <c r="AL47" s="34">
        <f>Z47</f>
        <v>2020</v>
      </c>
      <c r="AM47" s="34">
        <f>AA47</f>
        <v>2025</v>
      </c>
      <c r="AN47" s="34">
        <f>AB47</f>
        <v>2035</v>
      </c>
    </row>
    <row r="48" spans="1:40" x14ac:dyDescent="0.3">
      <c r="B48" s="31"/>
      <c r="C48" s="31"/>
      <c r="D48" s="31"/>
    </row>
    <row r="49" spans="1:40" x14ac:dyDescent="0.3">
      <c r="A49" s="1" t="str">
        <f>name!C6</f>
        <v>Construction</v>
      </c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</row>
    <row r="50" spans="1:40" x14ac:dyDescent="0.3">
      <c r="A50" s="13" t="str">
        <f t="shared" ref="A50:A59" si="67">A8</f>
        <v>All occupations</v>
      </c>
      <c r="B50" s="305">
        <f>SUM(B51:B59)</f>
        <v>273.41399999809221</v>
      </c>
      <c r="C50" s="305">
        <f>SUM(C51:C59)</f>
        <v>297.71799999340305</v>
      </c>
      <c r="D50" s="305">
        <f>SUM(D51:D59)</f>
        <v>329.19799999638519</v>
      </c>
      <c r="E50" s="304"/>
      <c r="F50" s="305">
        <f>SUM(F51:F59)</f>
        <v>0.79993645264822466</v>
      </c>
      <c r="G50" s="305">
        <f>SUM(G51:G59)</f>
        <v>1.1361670299304469</v>
      </c>
      <c r="H50" s="305">
        <f>SUM(H51:H59)</f>
        <v>1.7171467732889309</v>
      </c>
      <c r="I50" s="304"/>
      <c r="J50" s="305">
        <f>SUM(J51:J59)</f>
        <v>13.382090474408162</v>
      </c>
      <c r="K50" s="305">
        <f>SUM(K51:K59)</f>
        <v>19.045802840220414</v>
      </c>
      <c r="L50" s="305">
        <f>SUM(L51:L59)</f>
        <v>27.293860554834655</v>
      </c>
      <c r="M50" s="304"/>
      <c r="N50" s="305">
        <f>SUM(N51:N59)</f>
        <v>27.665536336928543</v>
      </c>
      <c r="O50" s="305">
        <f>SUM(O51:O59)</f>
        <v>31.229221607634418</v>
      </c>
      <c r="P50" s="305">
        <f>SUM(P51:P59)</f>
        <v>39.545514767261196</v>
      </c>
      <c r="Q50" s="304"/>
      <c r="R50" s="305">
        <f>SUM(R51:R59)</f>
        <v>9.7379679463127164</v>
      </c>
      <c r="S50" s="305">
        <f>SUM(S51:S59)</f>
        <v>10.839262507412537</v>
      </c>
      <c r="T50" s="305">
        <f>SUM(T51:T59)</f>
        <v>14.303017251383308</v>
      </c>
      <c r="U50" s="304"/>
      <c r="V50" s="305">
        <f>SUM(V51:V59)</f>
        <v>19.554358127263797</v>
      </c>
      <c r="W50" s="305">
        <f>SUM(W51:W59)</f>
        <v>21.309742563198043</v>
      </c>
      <c r="X50" s="305">
        <f>SUM(X51:X59)</f>
        <v>26.112509371569121</v>
      </c>
      <c r="Y50" s="304"/>
      <c r="Z50" s="305">
        <f>SUM(Z51:Z59)</f>
        <v>73.542015840891807</v>
      </c>
      <c r="AA50" s="305">
        <f>SUM(AA51:AA59)</f>
        <v>85.919298700878983</v>
      </c>
      <c r="AB50" s="305">
        <f>SUM(AB51:AB59)</f>
        <v>98.677388416186588</v>
      </c>
      <c r="AC50" s="304"/>
      <c r="AD50" s="305">
        <f>SUM(AD51:AD59)</f>
        <v>72.525981071758807</v>
      </c>
      <c r="AE50" s="305">
        <f>SUM(AE51:AE59)</f>
        <v>73.161177322292232</v>
      </c>
      <c r="AF50" s="305">
        <f>SUM(AF51:AF59)</f>
        <v>76.855722146198033</v>
      </c>
      <c r="AG50" s="304"/>
      <c r="AH50" s="305">
        <f>SUM(AH51:AH59)</f>
        <v>44.444760895054301</v>
      </c>
      <c r="AI50" s="305">
        <f>SUM(AI51:AI59)</f>
        <v>45.929224435977083</v>
      </c>
      <c r="AJ50" s="305">
        <f>SUM(AJ51:AJ59)</f>
        <v>40.477340223775364</v>
      </c>
      <c r="AK50" s="304"/>
      <c r="AL50" s="305">
        <f>SUM(AL51:AL59)</f>
        <v>11.761352852825802</v>
      </c>
      <c r="AM50" s="305">
        <f>SUM(AM51:AM59)</f>
        <v>9.1481029858589462</v>
      </c>
      <c r="AN50" s="305">
        <f>SUM(AN51:AN59)</f>
        <v>4.215500491887977</v>
      </c>
    </row>
    <row r="51" spans="1:40" x14ac:dyDescent="0.3">
      <c r="A51" s="13" t="str">
        <f t="shared" si="67"/>
        <v>Managers, directors and senior officials</v>
      </c>
      <c r="B51" s="304">
        <f>SUM(F51,J51,N51,R51,V51,Z51,AD51,AH51,AL51)</f>
        <v>40.301037085473254</v>
      </c>
      <c r="C51" s="304">
        <f t="shared" ref="C51:D51" si="68">SUM(G51,K51,O51,S51,W51,AA51,AE51,AI51,AM51)</f>
        <v>41.559144773094253</v>
      </c>
      <c r="D51" s="304">
        <f t="shared" si="68"/>
        <v>50.020837283632574</v>
      </c>
      <c r="E51" s="304"/>
      <c r="F51" s="304">
        <v>0.16477339873210617</v>
      </c>
      <c r="G51" s="304">
        <v>0.23827505462083307</v>
      </c>
      <c r="H51" s="304">
        <v>0.34672055208961294</v>
      </c>
      <c r="I51" s="304"/>
      <c r="J51" s="304">
        <v>3.5134597855404253</v>
      </c>
      <c r="K51" s="304">
        <v>4.8765729520325802</v>
      </c>
      <c r="L51" s="304">
        <v>7.1819410894168678</v>
      </c>
      <c r="M51" s="304"/>
      <c r="N51" s="304">
        <v>6.7750243353185891</v>
      </c>
      <c r="O51" s="304">
        <v>7.1888050128891097</v>
      </c>
      <c r="P51" s="304">
        <v>9.0796053543120152</v>
      </c>
      <c r="Q51" s="304"/>
      <c r="R51" s="304">
        <v>1.8095762570371086</v>
      </c>
      <c r="S51" s="304">
        <v>1.7125408317853648</v>
      </c>
      <c r="T51" s="304">
        <v>1.9479768471491878</v>
      </c>
      <c r="U51" s="304"/>
      <c r="V51" s="304">
        <v>4.6181457722693766</v>
      </c>
      <c r="W51" s="304">
        <v>4.6377614173333574</v>
      </c>
      <c r="X51" s="304">
        <v>5.80123995991966</v>
      </c>
      <c r="Y51" s="304"/>
      <c r="Z51" s="304">
        <v>10.035159020852031</v>
      </c>
      <c r="AA51" s="304">
        <v>10.53730938914671</v>
      </c>
      <c r="AB51" s="304">
        <v>13.563825918175466</v>
      </c>
      <c r="AC51" s="304"/>
      <c r="AD51" s="304">
        <v>7.6260017648221261</v>
      </c>
      <c r="AE51" s="304">
        <v>6.7077611350266357</v>
      </c>
      <c r="AF51" s="304">
        <v>6.9445100748155983</v>
      </c>
      <c r="AG51" s="304"/>
      <c r="AH51" s="304">
        <v>4.4041818243455584</v>
      </c>
      <c r="AI51" s="304">
        <v>4.2279886263463249</v>
      </c>
      <c r="AJ51" s="304">
        <v>3.9501911278165518</v>
      </c>
      <c r="AK51" s="304"/>
      <c r="AL51" s="304">
        <v>1.3547149265559357</v>
      </c>
      <c r="AM51" s="304">
        <v>1.4321303539133374</v>
      </c>
      <c r="AN51" s="304">
        <v>1.2048263599376154</v>
      </c>
    </row>
    <row r="52" spans="1:40" x14ac:dyDescent="0.3">
      <c r="A52" s="13" t="str">
        <f t="shared" si="67"/>
        <v>Professional occupations</v>
      </c>
      <c r="B52" s="304">
        <f t="shared" ref="B52:B59" si="69">SUM(F52,J52,N52,R52,V52,Z52,AD52,AH52,AL52)</f>
        <v>38.919045632190837</v>
      </c>
      <c r="C52" s="304">
        <f t="shared" ref="C52:C59" si="70">SUM(G52,K52,O52,S52,W52,AA52,AE52,AI52,AM52)</f>
        <v>44.194389969559417</v>
      </c>
      <c r="D52" s="304">
        <f t="shared" ref="D52:D59" si="71">SUM(H52,L52,P52,T52,X52,AB52,AF52,AJ52,AN52)</f>
        <v>54.180512038001716</v>
      </c>
      <c r="E52" s="304"/>
      <c r="F52" s="304">
        <v>0.32615730338898846</v>
      </c>
      <c r="G52" s="304">
        <v>0.41423964597058399</v>
      </c>
      <c r="H52" s="304">
        <v>0.52727813949407654</v>
      </c>
      <c r="I52" s="304"/>
      <c r="J52" s="304">
        <v>5.3993641831214205</v>
      </c>
      <c r="K52" s="304">
        <v>7.8038682189158006</v>
      </c>
      <c r="L52" s="304">
        <v>11.114753613118459</v>
      </c>
      <c r="M52" s="304"/>
      <c r="N52" s="304">
        <v>8.377575340585496</v>
      </c>
      <c r="O52" s="304">
        <v>8.982848234303427</v>
      </c>
      <c r="P52" s="304">
        <v>10.372413055897471</v>
      </c>
      <c r="Q52" s="304"/>
      <c r="R52" s="304">
        <v>1.1765232723441834</v>
      </c>
      <c r="S52" s="304">
        <v>1.0734823774118245</v>
      </c>
      <c r="T52" s="304">
        <v>1.3795435778703575</v>
      </c>
      <c r="U52" s="304"/>
      <c r="V52" s="304">
        <v>3.2923209045292761</v>
      </c>
      <c r="W52" s="304">
        <v>2.8571043908454787</v>
      </c>
      <c r="X52" s="304">
        <v>2.3820771220433725</v>
      </c>
      <c r="Y52" s="304"/>
      <c r="Z52" s="304">
        <v>10.061631421124481</v>
      </c>
      <c r="AA52" s="304">
        <v>12.568154999257485</v>
      </c>
      <c r="AB52" s="304">
        <v>17.632296375292437</v>
      </c>
      <c r="AC52" s="304"/>
      <c r="AD52" s="304">
        <v>6.8529225310825428</v>
      </c>
      <c r="AE52" s="304">
        <v>6.8140851643046769</v>
      </c>
      <c r="AF52" s="304">
        <v>7.5519785907472308</v>
      </c>
      <c r="AG52" s="304"/>
      <c r="AH52" s="304">
        <v>2.6647709204467325</v>
      </c>
      <c r="AI52" s="304">
        <v>2.8613228058689986</v>
      </c>
      <c r="AJ52" s="304">
        <v>2.6610660391133072</v>
      </c>
      <c r="AK52" s="304"/>
      <c r="AL52" s="304">
        <v>0.76777975556771738</v>
      </c>
      <c r="AM52" s="304">
        <v>0.81928413268113875</v>
      </c>
      <c r="AN52" s="304">
        <v>0.55910552442499839</v>
      </c>
    </row>
    <row r="53" spans="1:40" x14ac:dyDescent="0.3">
      <c r="A53" s="13" t="str">
        <f t="shared" si="67"/>
        <v>Associate professional occupations</v>
      </c>
      <c r="B53" s="304">
        <f t="shared" si="69"/>
        <v>23.159329691677669</v>
      </c>
      <c r="C53" s="304">
        <f t="shared" si="70"/>
        <v>23.08422234388372</v>
      </c>
      <c r="D53" s="304">
        <f t="shared" si="71"/>
        <v>27.179547308329397</v>
      </c>
      <c r="E53" s="304"/>
      <c r="F53" s="304">
        <v>5.3570983506935108E-2</v>
      </c>
      <c r="G53" s="304">
        <v>7.1374289196167423E-2</v>
      </c>
      <c r="H53" s="304">
        <v>0.10406563735606339</v>
      </c>
      <c r="I53" s="304"/>
      <c r="J53" s="304">
        <v>1.6627454199105183</v>
      </c>
      <c r="K53" s="304">
        <v>2.2074251735383537</v>
      </c>
      <c r="L53" s="304">
        <v>3.1134582681241607</v>
      </c>
      <c r="M53" s="304"/>
      <c r="N53" s="304">
        <v>3.572438495681737</v>
      </c>
      <c r="O53" s="304">
        <v>3.6628585599996186</v>
      </c>
      <c r="P53" s="304">
        <v>4.4799637805171892</v>
      </c>
      <c r="Q53" s="304"/>
      <c r="R53" s="304">
        <v>1.6515578808046598</v>
      </c>
      <c r="S53" s="304">
        <v>1.8470459395909018</v>
      </c>
      <c r="T53" s="304">
        <v>2.5019983335834293</v>
      </c>
      <c r="U53" s="304"/>
      <c r="V53" s="304">
        <v>3.1601098949686195</v>
      </c>
      <c r="W53" s="304">
        <v>2.9533720078288375</v>
      </c>
      <c r="X53" s="304">
        <v>3.6700268219530963</v>
      </c>
      <c r="Y53" s="304"/>
      <c r="Z53" s="304">
        <v>4.4365943950649598</v>
      </c>
      <c r="AA53" s="304">
        <v>4.1394889808239324</v>
      </c>
      <c r="AB53" s="304">
        <v>4.4239441303917637</v>
      </c>
      <c r="AC53" s="304"/>
      <c r="AD53" s="304">
        <v>4.8976492482674692</v>
      </c>
      <c r="AE53" s="304">
        <v>4.5310518794379062</v>
      </c>
      <c r="AF53" s="304">
        <v>5.1209374470566624</v>
      </c>
      <c r="AG53" s="304"/>
      <c r="AH53" s="304">
        <v>3.2802360178847101</v>
      </c>
      <c r="AI53" s="304">
        <v>3.3428742837633303</v>
      </c>
      <c r="AJ53" s="304">
        <v>3.436385813004962</v>
      </c>
      <c r="AK53" s="304"/>
      <c r="AL53" s="304">
        <v>0.44442735558806057</v>
      </c>
      <c r="AM53" s="304">
        <v>0.32873122970467394</v>
      </c>
      <c r="AN53" s="304">
        <v>0.32876707634207486</v>
      </c>
    </row>
    <row r="54" spans="1:40" x14ac:dyDescent="0.3">
      <c r="A54" s="13" t="str">
        <f t="shared" si="67"/>
        <v>Administrative and secretarial occupations</v>
      </c>
      <c r="B54" s="304">
        <f t="shared" si="69"/>
        <v>26.175702648026846</v>
      </c>
      <c r="C54" s="304">
        <f t="shared" si="70"/>
        <v>26.915153245113913</v>
      </c>
      <c r="D54" s="304">
        <f t="shared" si="71"/>
        <v>27.798502513388524</v>
      </c>
      <c r="E54" s="304"/>
      <c r="F54" s="304">
        <v>0.16931045498191508</v>
      </c>
      <c r="G54" s="304">
        <v>0.25817490149514788</v>
      </c>
      <c r="H54" s="304">
        <v>0.51475971442714263</v>
      </c>
      <c r="I54" s="304"/>
      <c r="J54" s="304">
        <v>1.358462864877499</v>
      </c>
      <c r="K54" s="304">
        <v>1.9619228053760203</v>
      </c>
      <c r="L54" s="304">
        <v>2.9244754647021205</v>
      </c>
      <c r="M54" s="304"/>
      <c r="N54" s="304">
        <v>4.3488793479157906</v>
      </c>
      <c r="O54" s="304">
        <v>5.2644881953051108</v>
      </c>
      <c r="P54" s="304">
        <v>7.6527939694414941</v>
      </c>
      <c r="Q54" s="304"/>
      <c r="R54" s="304">
        <v>2.5857299476771423</v>
      </c>
      <c r="S54" s="304">
        <v>2.8306611782897404</v>
      </c>
      <c r="T54" s="304">
        <v>4.0142623671041742</v>
      </c>
      <c r="U54" s="304"/>
      <c r="V54" s="304">
        <v>1.3667088629232254</v>
      </c>
      <c r="W54" s="304">
        <v>1.4717837490813772</v>
      </c>
      <c r="X54" s="304">
        <v>2.0503045826971587</v>
      </c>
      <c r="Y54" s="304"/>
      <c r="Z54" s="304">
        <v>4.1939040768932241</v>
      </c>
      <c r="AA54" s="304">
        <v>4.0663293987267579</v>
      </c>
      <c r="AB54" s="304">
        <v>3.4225553605614012</v>
      </c>
      <c r="AC54" s="304"/>
      <c r="AD54" s="304">
        <v>4.3896136547790929</v>
      </c>
      <c r="AE54" s="304">
        <v>3.5673713394607476</v>
      </c>
      <c r="AF54" s="304">
        <v>1.8692282908163644</v>
      </c>
      <c r="AG54" s="304"/>
      <c r="AH54" s="304">
        <v>6.6252225545994596</v>
      </c>
      <c r="AI54" s="304">
        <v>6.8297391025982783</v>
      </c>
      <c r="AJ54" s="304">
        <v>5.1097152875195562</v>
      </c>
      <c r="AK54" s="304"/>
      <c r="AL54" s="304">
        <v>1.1378708833794948</v>
      </c>
      <c r="AM54" s="304">
        <v>0.66468257478073589</v>
      </c>
      <c r="AN54" s="304">
        <v>0.24040747611911323</v>
      </c>
    </row>
    <row r="55" spans="1:40" x14ac:dyDescent="0.3">
      <c r="A55" s="13" t="str">
        <f t="shared" si="67"/>
        <v>Skilled trades occupations</v>
      </c>
      <c r="B55" s="304">
        <f t="shared" si="69"/>
        <v>95.667598242820844</v>
      </c>
      <c r="C55" s="304">
        <f t="shared" si="70"/>
        <v>104.05330857773738</v>
      </c>
      <c r="D55" s="304">
        <f t="shared" si="71"/>
        <v>104.90866498434872</v>
      </c>
      <c r="E55" s="304"/>
      <c r="F55" s="304">
        <v>1.2463430097798702E-2</v>
      </c>
      <c r="G55" s="304">
        <v>1.7331961974098965E-2</v>
      </c>
      <c r="H55" s="304">
        <v>2.0165513048916249E-2</v>
      </c>
      <c r="I55" s="304"/>
      <c r="J55" s="304">
        <v>0.66763410675580315</v>
      </c>
      <c r="K55" s="304">
        <v>1.0193021906851549</v>
      </c>
      <c r="L55" s="304">
        <v>1.3617440829464498</v>
      </c>
      <c r="M55" s="304"/>
      <c r="N55" s="304">
        <v>2.8040534419914382</v>
      </c>
      <c r="O55" s="304">
        <v>3.8261376983799851</v>
      </c>
      <c r="P55" s="304">
        <v>4.8904140336519637</v>
      </c>
      <c r="Q55" s="304"/>
      <c r="R55" s="304">
        <v>1.7400997626659933</v>
      </c>
      <c r="S55" s="304">
        <v>2.2579682120446649</v>
      </c>
      <c r="T55" s="304">
        <v>2.8563138920496458</v>
      </c>
      <c r="U55" s="304"/>
      <c r="V55" s="304">
        <v>4.9110510266407852</v>
      </c>
      <c r="W55" s="304">
        <v>6.3903373068988198</v>
      </c>
      <c r="X55" s="304">
        <v>8.3849297704582781</v>
      </c>
      <c r="Y55" s="304"/>
      <c r="Z55" s="304">
        <v>32.281132114002155</v>
      </c>
      <c r="AA55" s="304">
        <v>36.928235837793139</v>
      </c>
      <c r="AB55" s="304">
        <v>35.514388084164949</v>
      </c>
      <c r="AC55" s="304"/>
      <c r="AD55" s="304">
        <v>33.179380922868816</v>
      </c>
      <c r="AE55" s="304">
        <v>33.724728978950999</v>
      </c>
      <c r="AF55" s="304">
        <v>34.975924391960312</v>
      </c>
      <c r="AG55" s="304"/>
      <c r="AH55" s="304">
        <v>15.190619163250645</v>
      </c>
      <c r="AI55" s="304">
        <v>16.13304102972479</v>
      </c>
      <c r="AJ55" s="304">
        <v>16.160582478701549</v>
      </c>
      <c r="AK55" s="304"/>
      <c r="AL55" s="304">
        <v>4.8811642745473947</v>
      </c>
      <c r="AM55" s="304">
        <v>3.7562253612857357</v>
      </c>
      <c r="AN55" s="304">
        <v>0.74420273736665643</v>
      </c>
    </row>
    <row r="56" spans="1:40" x14ac:dyDescent="0.3">
      <c r="A56" s="13" t="str">
        <f t="shared" si="67"/>
        <v>Caring, leisure and other service occupations</v>
      </c>
      <c r="B56" s="304">
        <f t="shared" si="69"/>
        <v>0.98035066055296805</v>
      </c>
      <c r="C56" s="304">
        <f t="shared" si="70"/>
        <v>1.0653825615877941</v>
      </c>
      <c r="D56" s="304">
        <f t="shared" si="71"/>
        <v>1.2142147103951144</v>
      </c>
      <c r="E56" s="304"/>
      <c r="F56" s="304">
        <v>8.1952453209948304E-4</v>
      </c>
      <c r="G56" s="304">
        <v>9.27620401881579E-4</v>
      </c>
      <c r="H56" s="304">
        <v>1.3795286233015415E-3</v>
      </c>
      <c r="I56" s="304"/>
      <c r="J56" s="304">
        <v>2.3105875323919174E-2</v>
      </c>
      <c r="K56" s="304">
        <v>3.2235625419537832E-2</v>
      </c>
      <c r="L56" s="304">
        <v>4.2276710569610416E-2</v>
      </c>
      <c r="M56" s="304"/>
      <c r="N56" s="304">
        <v>4.0614499063743988E-2</v>
      </c>
      <c r="O56" s="304">
        <v>4.1511487571242109E-2</v>
      </c>
      <c r="P56" s="304">
        <v>5.1914336365117331E-2</v>
      </c>
      <c r="Q56" s="304"/>
      <c r="R56" s="304">
        <v>8.1450859699762346E-3</v>
      </c>
      <c r="S56" s="304">
        <v>9.0661055789117029E-3</v>
      </c>
      <c r="T56" s="304">
        <v>1.095409772498967E-2</v>
      </c>
      <c r="U56" s="304"/>
      <c r="V56" s="304">
        <v>2.8092225075392292E-2</v>
      </c>
      <c r="W56" s="304">
        <v>3.0265717704851126E-2</v>
      </c>
      <c r="X56" s="304">
        <v>3.566567866408088E-2</v>
      </c>
      <c r="Y56" s="304"/>
      <c r="Z56" s="304">
        <v>0.2773348724328128</v>
      </c>
      <c r="AA56" s="304">
        <v>0.36431543987074916</v>
      </c>
      <c r="AB56" s="304">
        <v>0.4893164199921205</v>
      </c>
      <c r="AC56" s="304"/>
      <c r="AD56" s="304">
        <v>6.110620211401091E-2</v>
      </c>
      <c r="AE56" s="304">
        <v>5.6495491191489507E-2</v>
      </c>
      <c r="AF56" s="304">
        <v>6.851998132642223E-2</v>
      </c>
      <c r="AG56" s="304"/>
      <c r="AH56" s="304">
        <v>0.3264612190510246</v>
      </c>
      <c r="AI56" s="304">
        <v>0.30420766857114634</v>
      </c>
      <c r="AJ56" s="304">
        <v>0.34855163615035056</v>
      </c>
      <c r="AK56" s="304"/>
      <c r="AL56" s="304">
        <v>0.21467115698998851</v>
      </c>
      <c r="AM56" s="304">
        <v>0.22635740527798467</v>
      </c>
      <c r="AN56" s="304">
        <v>0.16563632097912118</v>
      </c>
    </row>
    <row r="57" spans="1:40" x14ac:dyDescent="0.3">
      <c r="A57" s="13" t="str">
        <f t="shared" si="67"/>
        <v>Sales and customer service occupations</v>
      </c>
      <c r="B57" s="304">
        <f t="shared" si="69"/>
        <v>6.0803253670755186</v>
      </c>
      <c r="C57" s="304">
        <f t="shared" si="70"/>
        <v>7.3499277990133374</v>
      </c>
      <c r="D57" s="304">
        <f t="shared" si="71"/>
        <v>8.2017615070004322</v>
      </c>
      <c r="E57" s="304"/>
      <c r="F57" s="304">
        <v>1.3502867201184847E-2</v>
      </c>
      <c r="G57" s="304">
        <v>2.1332376705696553E-2</v>
      </c>
      <c r="H57" s="304">
        <v>3.3292280862999027E-2</v>
      </c>
      <c r="I57" s="304"/>
      <c r="J57" s="304">
        <v>0.38946400229926859</v>
      </c>
      <c r="K57" s="304">
        <v>0.49896071715818247</v>
      </c>
      <c r="L57" s="304">
        <v>0.60752059113854995</v>
      </c>
      <c r="M57" s="304"/>
      <c r="N57" s="304">
        <v>0.95678973807034162</v>
      </c>
      <c r="O57" s="304">
        <v>1.1929304950746908</v>
      </c>
      <c r="P57" s="304">
        <v>1.5577815819064853</v>
      </c>
      <c r="Q57" s="304"/>
      <c r="R57" s="304">
        <v>0.25682622912849978</v>
      </c>
      <c r="S57" s="304">
        <v>0.34697194605664627</v>
      </c>
      <c r="T57" s="304">
        <v>0.46894993351022374</v>
      </c>
      <c r="U57" s="304"/>
      <c r="V57" s="304">
        <v>0.3831653455389582</v>
      </c>
      <c r="W57" s="304">
        <v>0.48055498783374023</v>
      </c>
      <c r="X57" s="304">
        <v>0.60987888071282281</v>
      </c>
      <c r="Y57" s="304"/>
      <c r="Z57" s="304">
        <v>2.3731833522238457</v>
      </c>
      <c r="AA57" s="304">
        <v>2.9966181190023735</v>
      </c>
      <c r="AB57" s="304">
        <v>3.7450228299496393</v>
      </c>
      <c r="AC57" s="304"/>
      <c r="AD57" s="304">
        <v>0.45173922204072431</v>
      </c>
      <c r="AE57" s="304">
        <v>0.35053898607288891</v>
      </c>
      <c r="AF57" s="304">
        <v>0.18900317120684784</v>
      </c>
      <c r="AG57" s="304"/>
      <c r="AH57" s="304">
        <v>0.70057295329206948</v>
      </c>
      <c r="AI57" s="304">
        <v>0.80962755597074376</v>
      </c>
      <c r="AJ57" s="304">
        <v>0.42646022877990858</v>
      </c>
      <c r="AK57" s="304"/>
      <c r="AL57" s="304">
        <v>0.55508165728062631</v>
      </c>
      <c r="AM57" s="304">
        <v>0.65239261513837399</v>
      </c>
      <c r="AN57" s="304">
        <v>0.56385200893295584</v>
      </c>
    </row>
    <row r="58" spans="1:40" x14ac:dyDescent="0.3">
      <c r="A58" s="13" t="str">
        <f t="shared" si="67"/>
        <v>Process, plant and machine operatives</v>
      </c>
      <c r="B58" s="304">
        <f t="shared" si="69"/>
        <v>24.042381975194623</v>
      </c>
      <c r="C58" s="304">
        <f t="shared" si="70"/>
        <v>30.608678695153483</v>
      </c>
      <c r="D58" s="304">
        <f t="shared" si="71"/>
        <v>33.972411159334264</v>
      </c>
      <c r="E58" s="304"/>
      <c r="F58" s="304">
        <v>5.7983110064623804E-2</v>
      </c>
      <c r="G58" s="304">
        <v>0.11240879651341271</v>
      </c>
      <c r="H58" s="304">
        <v>0.1662418597741924</v>
      </c>
      <c r="I58" s="304"/>
      <c r="J58" s="304">
        <v>0.20283771273321302</v>
      </c>
      <c r="K58" s="304">
        <v>0.38055744409071174</v>
      </c>
      <c r="L58" s="304">
        <v>0.58189000464975538</v>
      </c>
      <c r="M58" s="304"/>
      <c r="N58" s="304">
        <v>0.36509861189506981</v>
      </c>
      <c r="O58" s="304">
        <v>0.56428233079677426</v>
      </c>
      <c r="P58" s="304">
        <v>0.91183029047579056</v>
      </c>
      <c r="Q58" s="304"/>
      <c r="R58" s="304">
        <v>0.41709150220309366</v>
      </c>
      <c r="S58" s="304">
        <v>0.65863538810111222</v>
      </c>
      <c r="T58" s="304">
        <v>1.0194031660329341</v>
      </c>
      <c r="U58" s="304"/>
      <c r="V58" s="304">
        <v>1.0081076917120668</v>
      </c>
      <c r="W58" s="304">
        <v>1.4879344927259219</v>
      </c>
      <c r="X58" s="304">
        <v>1.9775626971331752</v>
      </c>
      <c r="Y58" s="304"/>
      <c r="Z58" s="304">
        <v>5.7154358605444928</v>
      </c>
      <c r="AA58" s="304">
        <v>8.5990146765345639</v>
      </c>
      <c r="AB58" s="304">
        <v>11.372132636022211</v>
      </c>
      <c r="AC58" s="304"/>
      <c r="AD58" s="304">
        <v>9.4590459597681473</v>
      </c>
      <c r="AE58" s="304">
        <v>11.813649174291646</v>
      </c>
      <c r="AF58" s="304">
        <v>13.8521721613092</v>
      </c>
      <c r="AG58" s="304"/>
      <c r="AH58" s="304">
        <v>5.7564037778579609</v>
      </c>
      <c r="AI58" s="304">
        <v>6.0782618549281144</v>
      </c>
      <c r="AJ58" s="304">
        <v>3.8142461599619226</v>
      </c>
      <c r="AK58" s="304"/>
      <c r="AL58" s="304">
        <v>1.0603777484159518</v>
      </c>
      <c r="AM58" s="304">
        <v>0.91393453717122608</v>
      </c>
      <c r="AN58" s="304">
        <v>0.27693218397507463</v>
      </c>
    </row>
    <row r="59" spans="1:40" x14ac:dyDescent="0.3">
      <c r="A59" s="13" t="str">
        <f t="shared" si="67"/>
        <v>Elementary occupations</v>
      </c>
      <c r="B59" s="304">
        <f t="shared" si="69"/>
        <v>18.088228695079618</v>
      </c>
      <c r="C59" s="304">
        <f t="shared" si="70"/>
        <v>18.887792028259749</v>
      </c>
      <c r="D59" s="304">
        <f t="shared" si="71"/>
        <v>21.721548491954437</v>
      </c>
      <c r="E59" s="304"/>
      <c r="F59" s="304">
        <v>1.3553801425730482E-3</v>
      </c>
      <c r="G59" s="304">
        <v>2.1023830526249541E-3</v>
      </c>
      <c r="H59" s="304">
        <v>3.2435476126261766E-3</v>
      </c>
      <c r="I59" s="304"/>
      <c r="J59" s="304">
        <v>0.16501652384609478</v>
      </c>
      <c r="K59" s="304">
        <v>0.26495771300407006</v>
      </c>
      <c r="L59" s="304">
        <v>0.36580073016868342</v>
      </c>
      <c r="M59" s="304"/>
      <c r="N59" s="304">
        <v>0.42506252640633546</v>
      </c>
      <c r="O59" s="304">
        <v>0.50535959331445424</v>
      </c>
      <c r="P59" s="304">
        <v>0.54879836469367638</v>
      </c>
      <c r="Q59" s="304"/>
      <c r="R59" s="304">
        <v>9.2418008482058209E-2</v>
      </c>
      <c r="S59" s="304">
        <v>0.1028905285533695</v>
      </c>
      <c r="T59" s="304">
        <v>0.10361503635836612</v>
      </c>
      <c r="U59" s="304"/>
      <c r="V59" s="304">
        <v>0.78665640360609523</v>
      </c>
      <c r="W59" s="304">
        <v>1.0006284929456541</v>
      </c>
      <c r="X59" s="304">
        <v>1.2008238579874755</v>
      </c>
      <c r="Y59" s="304"/>
      <c r="Z59" s="304">
        <v>4.1676407277538026</v>
      </c>
      <c r="AA59" s="304">
        <v>5.71983185972325</v>
      </c>
      <c r="AB59" s="304">
        <v>8.5139066616366001</v>
      </c>
      <c r="AC59" s="304"/>
      <c r="AD59" s="304">
        <v>5.6085215660158863</v>
      </c>
      <c r="AE59" s="304">
        <v>5.5954951735552303</v>
      </c>
      <c r="AF59" s="304">
        <v>6.2834480369593857</v>
      </c>
      <c r="AG59" s="304"/>
      <c r="AH59" s="304">
        <v>5.4962924643261388</v>
      </c>
      <c r="AI59" s="304">
        <v>5.3421615082053577</v>
      </c>
      <c r="AJ59" s="304">
        <v>4.5701414527272544</v>
      </c>
      <c r="AK59" s="304"/>
      <c r="AL59" s="304">
        <v>1.3452650945006326</v>
      </c>
      <c r="AM59" s="304">
        <v>0.35436477590574011</v>
      </c>
      <c r="AN59" s="304">
        <v>0.13177080381036727</v>
      </c>
    </row>
    <row r="60" spans="1:40" x14ac:dyDescent="0.3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3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3">
      <c r="A62" s="13" t="str">
        <f t="shared" ref="A62:A71" si="72">A8</f>
        <v>All occupations</v>
      </c>
      <c r="B62" s="305">
        <f>SUM(B63:B71)</f>
        <v>840.56900000112478</v>
      </c>
      <c r="C62" s="305">
        <f>SUM(C63:C71)</f>
        <v>867.31800001808972</v>
      </c>
      <c r="D62" s="305">
        <f>SUM(D63:D71)</f>
        <v>905.46000000168897</v>
      </c>
      <c r="E62" s="304"/>
      <c r="F62" s="305">
        <f>SUM(F63:F71)</f>
        <v>2.4942892522837372</v>
      </c>
      <c r="G62" s="305">
        <f>SUM(G63:G71)</f>
        <v>3.5546993326497525</v>
      </c>
      <c r="H62" s="305">
        <f>SUM(H63:H71)</f>
        <v>5.3779652009260781</v>
      </c>
      <c r="I62" s="304"/>
      <c r="J62" s="305">
        <f>SUM(J63:J71)</f>
        <v>26.935309386642068</v>
      </c>
      <c r="K62" s="305">
        <f>SUM(K63:K71)</f>
        <v>37.119966410666926</v>
      </c>
      <c r="L62" s="305">
        <f>SUM(L63:L71)</f>
        <v>56.442491072325822</v>
      </c>
      <c r="M62" s="304"/>
      <c r="N62" s="305">
        <f>SUM(N63:N71)</f>
        <v>113.62585146340848</v>
      </c>
      <c r="O62" s="305">
        <f>SUM(O63:O71)</f>
        <v>128.06457577734952</v>
      </c>
      <c r="P62" s="305">
        <f>SUM(P63:P71)</f>
        <v>176.1546858228759</v>
      </c>
      <c r="Q62" s="304"/>
      <c r="R62" s="305">
        <f>SUM(R63:R71)</f>
        <v>35.503283964332809</v>
      </c>
      <c r="S62" s="305">
        <f>SUM(S63:S71)</f>
        <v>38.554892557447616</v>
      </c>
      <c r="T62" s="305">
        <f>SUM(T63:T71)</f>
        <v>52.677734263738841</v>
      </c>
      <c r="U62" s="304"/>
      <c r="V62" s="305">
        <f>SUM(V63:V71)</f>
        <v>39.968540867368318</v>
      </c>
      <c r="W62" s="305">
        <f>SUM(W63:W71)</f>
        <v>43.241075765248667</v>
      </c>
      <c r="X62" s="305">
        <f>SUM(X63:X71)</f>
        <v>57.019419525785452</v>
      </c>
      <c r="Y62" s="304"/>
      <c r="Z62" s="305">
        <f>SUM(Z63:Z71)</f>
        <v>184.79732961832406</v>
      </c>
      <c r="AA62" s="305">
        <f>SUM(AA63:AA71)</f>
        <v>203.07655819921138</v>
      </c>
      <c r="AB62" s="305">
        <f>SUM(AB63:AB71)</f>
        <v>225.84880342558068</v>
      </c>
      <c r="AC62" s="304"/>
      <c r="AD62" s="305">
        <f>SUM(AD63:AD71)</f>
        <v>231.91248568402341</v>
      </c>
      <c r="AE62" s="305">
        <f>SUM(AE63:AE71)</f>
        <v>230.10159327404324</v>
      </c>
      <c r="AF62" s="305">
        <f>SUM(AF63:AF71)</f>
        <v>211.16636516980304</v>
      </c>
      <c r="AG62" s="304"/>
      <c r="AH62" s="305">
        <f>SUM(AH63:AH71)</f>
        <v>159.88465195733556</v>
      </c>
      <c r="AI62" s="305">
        <f>SUM(AI63:AI71)</f>
        <v>146.60210063647474</v>
      </c>
      <c r="AJ62" s="305">
        <f>SUM(AJ63:AJ71)</f>
        <v>94.842514268710289</v>
      </c>
      <c r="AK62" s="304"/>
      <c r="AL62" s="305">
        <f>SUM(AL63:AL71)</f>
        <v>45.447257807406345</v>
      </c>
      <c r="AM62" s="305">
        <f>SUM(AM63:AM71)</f>
        <v>37.002538064997985</v>
      </c>
      <c r="AN62" s="305">
        <f>SUM(AN63:AN71)</f>
        <v>25.930021251942804</v>
      </c>
    </row>
    <row r="63" spans="1:40" x14ac:dyDescent="0.3">
      <c r="A63" s="13" t="str">
        <f t="shared" si="72"/>
        <v>Managers, directors and senior officials</v>
      </c>
      <c r="B63" s="304">
        <f>SUM(F63,J63,N63,R63,V63,Z63,AD63,AH63,AL63)</f>
        <v>105.61547890895854</v>
      </c>
      <c r="C63" s="304">
        <f t="shared" ref="C63:C71" si="73">SUM(G63,K63,O63,S63,W63,AA63,AE63,AI63,AM63)</f>
        <v>110.95381196869906</v>
      </c>
      <c r="D63" s="304">
        <f t="shared" ref="D63:D71" si="74">SUM(H63,L63,P63,T63,X63,AB63,AF63,AJ63,AN63)</f>
        <v>127.9961286030767</v>
      </c>
      <c r="E63" s="304"/>
      <c r="F63" s="304">
        <v>0.42706708341545002</v>
      </c>
      <c r="G63" s="304">
        <v>0.62231761154544962</v>
      </c>
      <c r="H63" s="304">
        <v>0.99201180162319347</v>
      </c>
      <c r="I63" s="304"/>
      <c r="J63" s="304">
        <v>5.318751277143094</v>
      </c>
      <c r="K63" s="304">
        <v>7.1281027687734984</v>
      </c>
      <c r="L63" s="304">
        <v>10.782694298327545</v>
      </c>
      <c r="M63" s="304"/>
      <c r="N63" s="304">
        <v>23.545187221860761</v>
      </c>
      <c r="O63" s="304">
        <v>26.350893429712713</v>
      </c>
      <c r="P63" s="304">
        <v>36.144865879143239</v>
      </c>
      <c r="Q63" s="304"/>
      <c r="R63" s="304">
        <v>4.9818906416739122</v>
      </c>
      <c r="S63" s="304">
        <v>5.2324550277172879</v>
      </c>
      <c r="T63" s="304">
        <v>7.2034148390901755</v>
      </c>
      <c r="U63" s="304"/>
      <c r="V63" s="304">
        <v>6.3945280932935331</v>
      </c>
      <c r="W63" s="304">
        <v>6.6070875180674644</v>
      </c>
      <c r="X63" s="304">
        <v>8.2748064853842305</v>
      </c>
      <c r="Y63" s="304"/>
      <c r="Z63" s="304">
        <v>20.537621028681759</v>
      </c>
      <c r="AA63" s="304">
        <v>22.577822518159174</v>
      </c>
      <c r="AB63" s="304">
        <v>27.62598961691539</v>
      </c>
      <c r="AC63" s="304"/>
      <c r="AD63" s="304">
        <v>23.682877239101124</v>
      </c>
      <c r="AE63" s="304">
        <v>22.580766987743917</v>
      </c>
      <c r="AF63" s="304">
        <v>20.362811919696011</v>
      </c>
      <c r="AG63" s="304"/>
      <c r="AH63" s="304">
        <v>18.207833495690263</v>
      </c>
      <c r="AI63" s="304">
        <v>17.595882082573109</v>
      </c>
      <c r="AJ63" s="304">
        <v>14.616419618478089</v>
      </c>
      <c r="AK63" s="304"/>
      <c r="AL63" s="304">
        <v>2.5197228280986406</v>
      </c>
      <c r="AM63" s="304">
        <v>2.258484024406449</v>
      </c>
      <c r="AN63" s="304">
        <v>1.9931141444188147</v>
      </c>
    </row>
    <row r="64" spans="1:40" x14ac:dyDescent="0.3">
      <c r="A64" s="13" t="str">
        <f t="shared" si="72"/>
        <v>Professional occupations</v>
      </c>
      <c r="B64" s="304">
        <f t="shared" ref="B64:B71" si="75">SUM(F64,J64,N64,R64,V64,Z64,AD64,AH64,AL64)</f>
        <v>68.221216116710991</v>
      </c>
      <c r="C64" s="304">
        <f t="shared" si="73"/>
        <v>76.299795867092101</v>
      </c>
      <c r="D64" s="304">
        <f t="shared" si="74"/>
        <v>88.726052544789525</v>
      </c>
      <c r="E64" s="304"/>
      <c r="F64" s="304">
        <v>1.0564040322837236</v>
      </c>
      <c r="G64" s="304">
        <v>1.5049084454259103</v>
      </c>
      <c r="H64" s="304">
        <v>2.2217278931543789</v>
      </c>
      <c r="I64" s="304"/>
      <c r="J64" s="304">
        <v>6.3332486012004434</v>
      </c>
      <c r="K64" s="304">
        <v>8.8678416271880742</v>
      </c>
      <c r="L64" s="304">
        <v>13.180765646887387</v>
      </c>
      <c r="M64" s="304"/>
      <c r="N64" s="304">
        <v>18.127381959851057</v>
      </c>
      <c r="O64" s="304">
        <v>20.655901418643648</v>
      </c>
      <c r="P64" s="304">
        <v>27.181746049382603</v>
      </c>
      <c r="Q64" s="304"/>
      <c r="R64" s="304">
        <v>3.3639956513441098</v>
      </c>
      <c r="S64" s="304">
        <v>3.5991812124935643</v>
      </c>
      <c r="T64" s="304">
        <v>4.3420540520880282</v>
      </c>
      <c r="U64" s="304"/>
      <c r="V64" s="304">
        <v>4.1537566839310021</v>
      </c>
      <c r="W64" s="304">
        <v>4.5072622481259881</v>
      </c>
      <c r="X64" s="304">
        <v>5.8991953270866624</v>
      </c>
      <c r="Y64" s="304"/>
      <c r="Z64" s="304">
        <v>13.510505734222329</v>
      </c>
      <c r="AA64" s="304">
        <v>15.946077319571474</v>
      </c>
      <c r="AB64" s="304">
        <v>19.232513756596138</v>
      </c>
      <c r="AC64" s="304"/>
      <c r="AD64" s="304">
        <v>12.119723053814841</v>
      </c>
      <c r="AE64" s="304">
        <v>11.813739398609798</v>
      </c>
      <c r="AF64" s="304">
        <v>9.9331587042350087</v>
      </c>
      <c r="AG64" s="304"/>
      <c r="AH64" s="304">
        <v>8.1137228012945268</v>
      </c>
      <c r="AI64" s="304">
        <v>8.077298748944532</v>
      </c>
      <c r="AJ64" s="304">
        <v>5.3171210556849342</v>
      </c>
      <c r="AK64" s="304"/>
      <c r="AL64" s="304">
        <v>1.4424775987689669</v>
      </c>
      <c r="AM64" s="304">
        <v>1.3275854480891032</v>
      </c>
      <c r="AN64" s="304">
        <v>1.4177700596743763</v>
      </c>
    </row>
    <row r="65" spans="1:40" x14ac:dyDescent="0.3">
      <c r="A65" s="13" t="str">
        <f t="shared" si="72"/>
        <v>Associate professional occupations</v>
      </c>
      <c r="B65" s="304">
        <f t="shared" si="75"/>
        <v>64.525806640621155</v>
      </c>
      <c r="C65" s="304">
        <f t="shared" si="73"/>
        <v>64.069024432056622</v>
      </c>
      <c r="D65" s="304">
        <f t="shared" si="74"/>
        <v>71.203817396629432</v>
      </c>
      <c r="E65" s="304"/>
      <c r="F65" s="304">
        <v>0.30682358645066632</v>
      </c>
      <c r="G65" s="304">
        <v>0.37056581911233522</v>
      </c>
      <c r="H65" s="304">
        <v>0.50670312648079519</v>
      </c>
      <c r="I65" s="304"/>
      <c r="J65" s="304">
        <v>2.9852113936995419</v>
      </c>
      <c r="K65" s="304">
        <v>3.7952671292227995</v>
      </c>
      <c r="L65" s="304">
        <v>5.3384742518847634</v>
      </c>
      <c r="M65" s="304"/>
      <c r="N65" s="304">
        <v>12.757156885426898</v>
      </c>
      <c r="O65" s="304">
        <v>13.183085413770838</v>
      </c>
      <c r="P65" s="304">
        <v>16.971628384271341</v>
      </c>
      <c r="Q65" s="304"/>
      <c r="R65" s="304">
        <v>3.1583161748858881</v>
      </c>
      <c r="S65" s="304">
        <v>3.1801015576896456</v>
      </c>
      <c r="T65" s="304">
        <v>4.230001342331815</v>
      </c>
      <c r="U65" s="304"/>
      <c r="V65" s="304">
        <v>3.8833158875592924</v>
      </c>
      <c r="W65" s="304">
        <v>3.8621978926775933</v>
      </c>
      <c r="X65" s="304">
        <v>4.8151526054546743</v>
      </c>
      <c r="Y65" s="304"/>
      <c r="Z65" s="304">
        <v>14.645168592974663</v>
      </c>
      <c r="AA65" s="304">
        <v>15.331166110327525</v>
      </c>
      <c r="AB65" s="304">
        <v>17.895974542198321</v>
      </c>
      <c r="AC65" s="304"/>
      <c r="AD65" s="304">
        <v>15.761147019931752</v>
      </c>
      <c r="AE65" s="304">
        <v>15.130117012257617</v>
      </c>
      <c r="AF65" s="304">
        <v>15.252757678724555</v>
      </c>
      <c r="AG65" s="304"/>
      <c r="AH65" s="304">
        <v>9.0870531654220486</v>
      </c>
      <c r="AI65" s="304">
        <v>7.7353272238242576</v>
      </c>
      <c r="AJ65" s="304">
        <v>4.5522123527929663</v>
      </c>
      <c r="AK65" s="304"/>
      <c r="AL65" s="304">
        <v>1.9416139342704035</v>
      </c>
      <c r="AM65" s="304">
        <v>1.4811962731740091</v>
      </c>
      <c r="AN65" s="304">
        <v>1.6409131124902152</v>
      </c>
    </row>
    <row r="66" spans="1:40" x14ac:dyDescent="0.3">
      <c r="A66" s="13" t="str">
        <f t="shared" si="72"/>
        <v>Administrative and secretarial occupations</v>
      </c>
      <c r="B66" s="304">
        <f t="shared" si="75"/>
        <v>74.051331422205777</v>
      </c>
      <c r="C66" s="304">
        <f t="shared" si="73"/>
        <v>72.947678538793681</v>
      </c>
      <c r="D66" s="304">
        <f t="shared" si="74"/>
        <v>73.322196417061733</v>
      </c>
      <c r="E66" s="304"/>
      <c r="F66" s="304">
        <v>0.14143521547511428</v>
      </c>
      <c r="G66" s="304">
        <v>0.20154591193697843</v>
      </c>
      <c r="H66" s="304">
        <v>0.34017069512274556</v>
      </c>
      <c r="I66" s="304"/>
      <c r="J66" s="304">
        <v>2.6983584855272245</v>
      </c>
      <c r="K66" s="304">
        <v>3.6146536529130566</v>
      </c>
      <c r="L66" s="304">
        <v>5.5415669402087051</v>
      </c>
      <c r="M66" s="304"/>
      <c r="N66" s="304">
        <v>11.011401638409739</v>
      </c>
      <c r="O66" s="304">
        <v>12.05927512503234</v>
      </c>
      <c r="P66" s="304">
        <v>16.332773343122444</v>
      </c>
      <c r="Q66" s="304"/>
      <c r="R66" s="304">
        <v>3.761764958054326</v>
      </c>
      <c r="S66" s="304">
        <v>3.9541362919322602</v>
      </c>
      <c r="T66" s="304">
        <v>5.0657916112530099</v>
      </c>
      <c r="U66" s="304"/>
      <c r="V66" s="304">
        <v>3.4589416822075405</v>
      </c>
      <c r="W66" s="304">
        <v>3.4395271439493489</v>
      </c>
      <c r="X66" s="304">
        <v>4.2402283959073168</v>
      </c>
      <c r="Y66" s="304"/>
      <c r="Z66" s="304">
        <v>16.908310788031557</v>
      </c>
      <c r="AA66" s="304">
        <v>17.816878180408519</v>
      </c>
      <c r="AB66" s="304">
        <v>17.863161581473626</v>
      </c>
      <c r="AC66" s="304"/>
      <c r="AD66" s="304">
        <v>24.202392051198384</v>
      </c>
      <c r="AE66" s="304">
        <v>23.966712506259849</v>
      </c>
      <c r="AF66" s="304">
        <v>20.877853532890505</v>
      </c>
      <c r="AG66" s="304"/>
      <c r="AH66" s="304">
        <v>10.292715335272515</v>
      </c>
      <c r="AI66" s="304">
        <v>6.6586110806092016</v>
      </c>
      <c r="AJ66" s="304">
        <v>2.2497478278197938</v>
      </c>
      <c r="AK66" s="304"/>
      <c r="AL66" s="304">
        <v>1.5760112680293781</v>
      </c>
      <c r="AM66" s="304">
        <v>1.2363386457521279</v>
      </c>
      <c r="AN66" s="304">
        <v>0.81090248926359676</v>
      </c>
    </row>
    <row r="67" spans="1:40" x14ac:dyDescent="0.3">
      <c r="A67" s="13" t="str">
        <f t="shared" si="72"/>
        <v>Skilled trades occupations</v>
      </c>
      <c r="B67" s="304">
        <f t="shared" si="75"/>
        <v>71.871093746964803</v>
      </c>
      <c r="C67" s="304">
        <f t="shared" si="73"/>
        <v>73.314023249226665</v>
      </c>
      <c r="D67" s="304">
        <f t="shared" si="74"/>
        <v>73.600197903375957</v>
      </c>
      <c r="E67" s="304"/>
      <c r="F67" s="304">
        <v>3.4837063401629322E-2</v>
      </c>
      <c r="G67" s="304">
        <v>4.6383368320134025E-2</v>
      </c>
      <c r="H67" s="304">
        <v>8.5506349278087132E-2</v>
      </c>
      <c r="I67" s="304"/>
      <c r="J67" s="304">
        <v>1.0207710093846107</v>
      </c>
      <c r="K67" s="304">
        <v>1.4759795287804995</v>
      </c>
      <c r="L67" s="304">
        <v>2.2679986961748382</v>
      </c>
      <c r="M67" s="304"/>
      <c r="N67" s="304">
        <v>4.2045615903929017</v>
      </c>
      <c r="O67" s="304">
        <v>5.2063524820790237</v>
      </c>
      <c r="P67" s="304">
        <v>7.0594143014256154</v>
      </c>
      <c r="Q67" s="304"/>
      <c r="R67" s="304">
        <v>2.2144047650756873</v>
      </c>
      <c r="S67" s="304">
        <v>2.3758944087846365</v>
      </c>
      <c r="T67" s="304">
        <v>3.0521183241594785</v>
      </c>
      <c r="U67" s="304"/>
      <c r="V67" s="304">
        <v>3.5455469357756111</v>
      </c>
      <c r="W67" s="304">
        <v>4.0227371403429437</v>
      </c>
      <c r="X67" s="304">
        <v>5.1125394835997522</v>
      </c>
      <c r="Y67" s="304"/>
      <c r="Z67" s="304">
        <v>22.688605616276327</v>
      </c>
      <c r="AA67" s="304">
        <v>25.699680064340971</v>
      </c>
      <c r="AB67" s="304">
        <v>28.112283775343894</v>
      </c>
      <c r="AC67" s="304"/>
      <c r="AD67" s="304">
        <v>18.950712364519688</v>
      </c>
      <c r="AE67" s="304">
        <v>16.565298755342262</v>
      </c>
      <c r="AF67" s="304">
        <v>14.743530003981469</v>
      </c>
      <c r="AG67" s="304"/>
      <c r="AH67" s="304">
        <v>14.341751277034048</v>
      </c>
      <c r="AI67" s="304">
        <v>13.904135399846334</v>
      </c>
      <c r="AJ67" s="304">
        <v>10.376944063113875</v>
      </c>
      <c r="AK67" s="304"/>
      <c r="AL67" s="304">
        <v>4.8699031251043063</v>
      </c>
      <c r="AM67" s="304">
        <v>4.0175621013898564</v>
      </c>
      <c r="AN67" s="304">
        <v>2.7898629062989473</v>
      </c>
    </row>
    <row r="68" spans="1:40" x14ac:dyDescent="0.3">
      <c r="A68" s="13" t="str">
        <f t="shared" si="72"/>
        <v>Caring, leisure and other service occupations</v>
      </c>
      <c r="B68" s="304">
        <f t="shared" si="75"/>
        <v>23.756558533748887</v>
      </c>
      <c r="C68" s="304">
        <f t="shared" si="73"/>
        <v>25.009796529671654</v>
      </c>
      <c r="D68" s="304">
        <f t="shared" si="74"/>
        <v>28.598029250592464</v>
      </c>
      <c r="E68" s="304"/>
      <c r="F68" s="304">
        <v>2.7415659329676923E-2</v>
      </c>
      <c r="G68" s="304">
        <v>4.1558117244094778E-2</v>
      </c>
      <c r="H68" s="304">
        <v>6.8108674013272641E-2</v>
      </c>
      <c r="I68" s="304"/>
      <c r="J68" s="304">
        <v>0.46622849098807773</v>
      </c>
      <c r="K68" s="304">
        <v>0.71834607819724217</v>
      </c>
      <c r="L68" s="304">
        <v>1.1402955773377512</v>
      </c>
      <c r="M68" s="304"/>
      <c r="N68" s="304">
        <v>3.0166326833609043</v>
      </c>
      <c r="O68" s="304">
        <v>3.3722226804588713</v>
      </c>
      <c r="P68" s="304">
        <v>4.3739086890451286</v>
      </c>
      <c r="Q68" s="304"/>
      <c r="R68" s="304">
        <v>2.5156038212517342</v>
      </c>
      <c r="S68" s="304">
        <v>2.8852234923352169</v>
      </c>
      <c r="T68" s="304">
        <v>4.3978055006750827</v>
      </c>
      <c r="U68" s="304"/>
      <c r="V68" s="304">
        <v>2.3302594020397827</v>
      </c>
      <c r="W68" s="304">
        <v>2.6076710350920309</v>
      </c>
      <c r="X68" s="304">
        <v>3.6789090181605437</v>
      </c>
      <c r="Y68" s="304"/>
      <c r="Z68" s="304">
        <v>4.1673750675100578</v>
      </c>
      <c r="AA68" s="304">
        <v>4.5892748381675084</v>
      </c>
      <c r="AB68" s="304">
        <v>5.2511881865703725</v>
      </c>
      <c r="AC68" s="304"/>
      <c r="AD68" s="304">
        <v>6.0768182429795994</v>
      </c>
      <c r="AE68" s="304">
        <v>5.9765036904288014</v>
      </c>
      <c r="AF68" s="304">
        <v>5.9069593163324079</v>
      </c>
      <c r="AG68" s="304"/>
      <c r="AH68" s="304">
        <v>3.5326259770521977</v>
      </c>
      <c r="AI68" s="304">
        <v>3.3805212699817955</v>
      </c>
      <c r="AJ68" s="304">
        <v>2.6064811163052406</v>
      </c>
      <c r="AK68" s="304"/>
      <c r="AL68" s="304">
        <v>1.6235991892368544</v>
      </c>
      <c r="AM68" s="304">
        <v>1.4384753277660947</v>
      </c>
      <c r="AN68" s="304">
        <v>1.1743731721526653</v>
      </c>
    </row>
    <row r="69" spans="1:40" x14ac:dyDescent="0.3">
      <c r="A69" s="13" t="str">
        <f t="shared" si="72"/>
        <v>Sales and customer service occupations</v>
      </c>
      <c r="B69" s="304">
        <f t="shared" si="75"/>
        <v>169.50239358840457</v>
      </c>
      <c r="C69" s="304">
        <f t="shared" si="73"/>
        <v>163.23730959181913</v>
      </c>
      <c r="D69" s="304">
        <f t="shared" si="74"/>
        <v>158.53835148753413</v>
      </c>
      <c r="E69" s="304"/>
      <c r="F69" s="304">
        <v>0.197218534010172</v>
      </c>
      <c r="G69" s="304">
        <v>0.27377920988447801</v>
      </c>
      <c r="H69" s="304">
        <v>0.37121391374553581</v>
      </c>
      <c r="I69" s="304"/>
      <c r="J69" s="304">
        <v>3.6553506145055241</v>
      </c>
      <c r="K69" s="304">
        <v>4.9674503156765066</v>
      </c>
      <c r="L69" s="304">
        <v>7.5389668225043183</v>
      </c>
      <c r="M69" s="304"/>
      <c r="N69" s="304">
        <v>19.848818275862907</v>
      </c>
      <c r="O69" s="304">
        <v>21.679150481403703</v>
      </c>
      <c r="P69" s="304">
        <v>30.327172111243623</v>
      </c>
      <c r="Q69" s="304"/>
      <c r="R69" s="304">
        <v>6.35483677672564</v>
      </c>
      <c r="S69" s="304">
        <v>6.5286893878856267</v>
      </c>
      <c r="T69" s="304">
        <v>8.5804082534298995</v>
      </c>
      <c r="U69" s="304"/>
      <c r="V69" s="304">
        <v>5.1346284999897582</v>
      </c>
      <c r="W69" s="304">
        <v>4.9507254219782073</v>
      </c>
      <c r="X69" s="304">
        <v>6.1152081639158249</v>
      </c>
      <c r="Y69" s="304"/>
      <c r="Z69" s="304">
        <v>45.01429337419043</v>
      </c>
      <c r="AA69" s="304">
        <v>47.140533833764785</v>
      </c>
      <c r="AB69" s="304">
        <v>52.087556891373609</v>
      </c>
      <c r="AC69" s="304"/>
      <c r="AD69" s="304">
        <v>47.648460114991828</v>
      </c>
      <c r="AE69" s="304">
        <v>44.376496321475763</v>
      </c>
      <c r="AF69" s="304">
        <v>36.455809165157021</v>
      </c>
      <c r="AG69" s="304"/>
      <c r="AH69" s="304">
        <v>32.290639406801205</v>
      </c>
      <c r="AI69" s="304">
        <v>26.204464994266999</v>
      </c>
      <c r="AJ69" s="304">
        <v>12.787621691883849</v>
      </c>
      <c r="AK69" s="304"/>
      <c r="AL69" s="304">
        <v>9.3581479913271135</v>
      </c>
      <c r="AM69" s="304">
        <v>7.116019625483057</v>
      </c>
      <c r="AN69" s="304">
        <v>4.2743944742804221</v>
      </c>
    </row>
    <row r="70" spans="1:40" x14ac:dyDescent="0.3">
      <c r="A70" s="13" t="str">
        <f t="shared" si="72"/>
        <v>Process, plant and machine operatives</v>
      </c>
      <c r="B70" s="304">
        <f t="shared" si="75"/>
        <v>94.270770544551098</v>
      </c>
      <c r="C70" s="304">
        <f t="shared" si="73"/>
        <v>109.60779658284974</v>
      </c>
      <c r="D70" s="304">
        <f t="shared" si="74"/>
        <v>113.15101754649437</v>
      </c>
      <c r="E70" s="304"/>
      <c r="F70" s="304">
        <v>0.26207703410106648</v>
      </c>
      <c r="G70" s="304">
        <v>0.4391774683789445</v>
      </c>
      <c r="H70" s="304">
        <v>0.71951654853311486</v>
      </c>
      <c r="I70" s="304"/>
      <c r="J70" s="304">
        <v>1.0904918186241803</v>
      </c>
      <c r="K70" s="304">
        <v>1.6846850900051766</v>
      </c>
      <c r="L70" s="304">
        <v>2.4220847226897915</v>
      </c>
      <c r="M70" s="304"/>
      <c r="N70" s="304">
        <v>4.93387668733945</v>
      </c>
      <c r="O70" s="304">
        <v>6.8047185484170241</v>
      </c>
      <c r="P70" s="304">
        <v>10.609563279656822</v>
      </c>
      <c r="Q70" s="304"/>
      <c r="R70" s="304">
        <v>2.1815822469267392</v>
      </c>
      <c r="S70" s="304">
        <v>2.8950186763236134</v>
      </c>
      <c r="T70" s="304">
        <v>3.7932622955311412</v>
      </c>
      <c r="U70" s="304"/>
      <c r="V70" s="304">
        <v>3.2942023990427125</v>
      </c>
      <c r="W70" s="304">
        <v>4.418213635983558</v>
      </c>
      <c r="X70" s="304">
        <v>6.0209206227005936</v>
      </c>
      <c r="Y70" s="304"/>
      <c r="Z70" s="304">
        <v>15.328725039688296</v>
      </c>
      <c r="AA70" s="304">
        <v>20.436697943332558</v>
      </c>
      <c r="AB70" s="304">
        <v>23.620458766914901</v>
      </c>
      <c r="AC70" s="304"/>
      <c r="AD70" s="304">
        <v>32.076903218148487</v>
      </c>
      <c r="AE70" s="304">
        <v>37.129035364263061</v>
      </c>
      <c r="AF70" s="304">
        <v>38.850179252511921</v>
      </c>
      <c r="AG70" s="304"/>
      <c r="AH70" s="304">
        <v>26.631871114190794</v>
      </c>
      <c r="AI70" s="304">
        <v>29.117415923315299</v>
      </c>
      <c r="AJ70" s="304">
        <v>23.047160955363974</v>
      </c>
      <c r="AK70" s="304"/>
      <c r="AL70" s="304">
        <v>8.4710409864893688</v>
      </c>
      <c r="AM70" s="304">
        <v>6.682833932830512</v>
      </c>
      <c r="AN70" s="304">
        <v>4.0678711025921013</v>
      </c>
    </row>
    <row r="71" spans="1:40" x14ac:dyDescent="0.3">
      <c r="A71" s="13" t="str">
        <f t="shared" si="72"/>
        <v>Elementary occupations</v>
      </c>
      <c r="B71" s="304">
        <f t="shared" si="75"/>
        <v>168.75435049895893</v>
      </c>
      <c r="C71" s="304">
        <f t="shared" si="73"/>
        <v>171.87876325788116</v>
      </c>
      <c r="D71" s="304">
        <f t="shared" si="74"/>
        <v>170.32420885213466</v>
      </c>
      <c r="E71" s="304"/>
      <c r="F71" s="304">
        <v>4.1011043816238296E-2</v>
      </c>
      <c r="G71" s="304">
        <v>5.4463380801428075E-2</v>
      </c>
      <c r="H71" s="304">
        <v>7.3006198974954764E-2</v>
      </c>
      <c r="I71" s="304"/>
      <c r="J71" s="304">
        <v>3.3668976955693717</v>
      </c>
      <c r="K71" s="304">
        <v>4.8676402199100739</v>
      </c>
      <c r="L71" s="304">
        <v>8.2296441163107268</v>
      </c>
      <c r="M71" s="304"/>
      <c r="N71" s="304">
        <v>16.180834520903851</v>
      </c>
      <c r="O71" s="304">
        <v>18.752976197831327</v>
      </c>
      <c r="P71" s="304">
        <v>27.153613785585105</v>
      </c>
      <c r="Q71" s="304"/>
      <c r="R71" s="304">
        <v>6.9708889283947704</v>
      </c>
      <c r="S71" s="304">
        <v>7.9041925022857615</v>
      </c>
      <c r="T71" s="304">
        <v>12.012878045180212</v>
      </c>
      <c r="U71" s="304"/>
      <c r="V71" s="304">
        <v>7.7733612835290851</v>
      </c>
      <c r="W71" s="304">
        <v>8.82565372903154</v>
      </c>
      <c r="X71" s="304">
        <v>12.862459423575846</v>
      </c>
      <c r="Y71" s="304"/>
      <c r="Z71" s="304">
        <v>31.996724376748627</v>
      </c>
      <c r="AA71" s="304">
        <v>33.538427391138875</v>
      </c>
      <c r="AB71" s="304">
        <v>34.159676308194427</v>
      </c>
      <c r="AC71" s="304"/>
      <c r="AD71" s="304">
        <v>51.393452379337702</v>
      </c>
      <c r="AE71" s="304">
        <v>52.562923237662183</v>
      </c>
      <c r="AF71" s="304">
        <v>48.783305596274161</v>
      </c>
      <c r="AG71" s="304"/>
      <c r="AH71" s="304">
        <v>37.386439384577969</v>
      </c>
      <c r="AI71" s="304">
        <v>33.928443913113213</v>
      </c>
      <c r="AJ71" s="304">
        <v>19.288805587267554</v>
      </c>
      <c r="AK71" s="304"/>
      <c r="AL71" s="304">
        <v>13.644740886081312</v>
      </c>
      <c r="AM71" s="304">
        <v>11.444042686106775</v>
      </c>
      <c r="AN71" s="304">
        <v>7.7608197907716674</v>
      </c>
    </row>
    <row r="72" spans="1:40" x14ac:dyDescent="0.3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3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3">
      <c r="A74" s="13" t="str">
        <f t="shared" ref="A74:A83" si="76">A8</f>
        <v>All occupations</v>
      </c>
      <c r="B74" s="305">
        <f>SUM(B75:B83)</f>
        <v>1044.4069999964181</v>
      </c>
      <c r="C74" s="305">
        <f>SUM(C75:C83)</f>
        <v>1074.6150000076557</v>
      </c>
      <c r="D74" s="305">
        <f>SUM(D75:D83)</f>
        <v>1133.4689999983548</v>
      </c>
      <c r="E74" s="304"/>
      <c r="F74" s="305">
        <f>SUM(F75:F83)</f>
        <v>18.389490589152022</v>
      </c>
      <c r="G74" s="305">
        <f>SUM(G75:G83)</f>
        <v>23.42351891205487</v>
      </c>
      <c r="H74" s="305">
        <f>SUM(H75:H83)</f>
        <v>30.342081792205448</v>
      </c>
      <c r="I74" s="304"/>
      <c r="J74" s="305">
        <f>SUM(J75:J83)</f>
        <v>130.78889035143885</v>
      </c>
      <c r="K74" s="305">
        <f>SUM(K75:K83)</f>
        <v>167.08835276208907</v>
      </c>
      <c r="L74" s="305">
        <f>SUM(L75:L83)</f>
        <v>219.55909678352376</v>
      </c>
      <c r="M74" s="304"/>
      <c r="N74" s="305">
        <f>SUM(N75:N83)</f>
        <v>288.2183154521901</v>
      </c>
      <c r="O74" s="305">
        <f>SUM(O75:O83)</f>
        <v>291.81393208196801</v>
      </c>
      <c r="P74" s="305">
        <f>SUM(P75:P83)</f>
        <v>333.59947687570047</v>
      </c>
      <c r="Q74" s="304"/>
      <c r="R74" s="305">
        <f>SUM(R75:R83)</f>
        <v>53.525687390914939</v>
      </c>
      <c r="S74" s="305">
        <f>SUM(S75:S83)</f>
        <v>55.388332084688713</v>
      </c>
      <c r="T74" s="305">
        <f>SUM(T75:T83)</f>
        <v>68.186469895030726</v>
      </c>
      <c r="U74" s="304"/>
      <c r="V74" s="305">
        <f>SUM(V75:V83)</f>
        <v>64.724073917330571</v>
      </c>
      <c r="W74" s="305">
        <f>SUM(W75:W83)</f>
        <v>64.410141668230636</v>
      </c>
      <c r="X74" s="305">
        <f>SUM(X75:X83)</f>
        <v>75.815879347186069</v>
      </c>
      <c r="Y74" s="304"/>
      <c r="Z74" s="305">
        <f>SUM(Z75:Z83)</f>
        <v>149.13727188838789</v>
      </c>
      <c r="AA74" s="305">
        <f>SUM(AA75:AA83)</f>
        <v>147.9412998888368</v>
      </c>
      <c r="AB74" s="305">
        <f>SUM(AB75:AB83)</f>
        <v>137.2693996076618</v>
      </c>
      <c r="AC74" s="304"/>
      <c r="AD74" s="305">
        <f>SUM(AD75:AD83)</f>
        <v>172.60025567878859</v>
      </c>
      <c r="AE74" s="305">
        <f>SUM(AE75:AE83)</f>
        <v>165.28466586573458</v>
      </c>
      <c r="AF74" s="305">
        <f>SUM(AF75:AF83)</f>
        <v>141.26119169810073</v>
      </c>
      <c r="AG74" s="304"/>
      <c r="AH74" s="305">
        <f>SUM(AH75:AH83)</f>
        <v>130.3582724932532</v>
      </c>
      <c r="AI74" s="305">
        <f>SUM(AI75:AI83)</f>
        <v>126.7643586713356</v>
      </c>
      <c r="AJ74" s="305">
        <f>SUM(AJ75:AJ83)</f>
        <v>102.88870332049046</v>
      </c>
      <c r="AK74" s="304"/>
      <c r="AL74" s="305">
        <f>SUM(AL75:AL83)</f>
        <v>36.664742234962027</v>
      </c>
      <c r="AM74" s="305">
        <f>SUM(AM75:AM83)</f>
        <v>32.500398072717374</v>
      </c>
      <c r="AN74" s="305">
        <f>SUM(AN75:AN83)</f>
        <v>24.546700678455366</v>
      </c>
    </row>
    <row r="75" spans="1:40" x14ac:dyDescent="0.3">
      <c r="A75" s="13" t="str">
        <f t="shared" si="76"/>
        <v>Managers, directors and senior officials</v>
      </c>
      <c r="B75" s="305">
        <f>SUM(F75,J75,N75,R75,V75,Z75,AD75,AH75,AL75)</f>
        <v>147.55201530670465</v>
      </c>
      <c r="C75" s="305">
        <f t="shared" ref="C75:C83" si="77">SUM(G75,K75,O75,S75,W75,AA75,AE75,AI75,AM75)</f>
        <v>153.54572230422008</v>
      </c>
      <c r="D75" s="305">
        <f t="shared" ref="D75:D83" si="78">SUM(H75,L75,P75,T75,X75,AB75,AF75,AJ75,AN75)</f>
        <v>171.92172433720393</v>
      </c>
      <c r="E75" s="304"/>
      <c r="F75" s="304">
        <v>3.0871519586191503</v>
      </c>
      <c r="G75" s="304">
        <v>3.9291654459134198</v>
      </c>
      <c r="H75" s="304">
        <v>5.2446689789833316</v>
      </c>
      <c r="I75" s="304"/>
      <c r="J75" s="304">
        <v>19.782280726182616</v>
      </c>
      <c r="K75" s="304">
        <v>25.007992874092242</v>
      </c>
      <c r="L75" s="304">
        <v>34.244861642546446</v>
      </c>
      <c r="M75" s="304"/>
      <c r="N75" s="304">
        <v>45.514718158052155</v>
      </c>
      <c r="O75" s="304">
        <v>45.600759436960836</v>
      </c>
      <c r="P75" s="304">
        <v>54.004160502928364</v>
      </c>
      <c r="Q75" s="304"/>
      <c r="R75" s="304">
        <v>6.4100705813360381</v>
      </c>
      <c r="S75" s="304">
        <v>6.5663150673750073</v>
      </c>
      <c r="T75" s="304">
        <v>7.9185204411545573</v>
      </c>
      <c r="U75" s="304"/>
      <c r="V75" s="304">
        <v>12.130330358697828</v>
      </c>
      <c r="W75" s="304">
        <v>12.529780573866464</v>
      </c>
      <c r="X75" s="304">
        <v>15.463510508509142</v>
      </c>
      <c r="Y75" s="304"/>
      <c r="Z75" s="304">
        <v>23.371200999014704</v>
      </c>
      <c r="AA75" s="304">
        <v>23.203589239557193</v>
      </c>
      <c r="AB75" s="304">
        <v>23.123301959225074</v>
      </c>
      <c r="AC75" s="304"/>
      <c r="AD75" s="304">
        <v>21.197774240825741</v>
      </c>
      <c r="AE75" s="304">
        <v>20.771230636814511</v>
      </c>
      <c r="AF75" s="304">
        <v>18.427850903368739</v>
      </c>
      <c r="AG75" s="304"/>
      <c r="AH75" s="304">
        <v>13.06548869279489</v>
      </c>
      <c r="AI75" s="304">
        <v>12.859290573429481</v>
      </c>
      <c r="AJ75" s="304">
        <v>10.859404730630393</v>
      </c>
      <c r="AK75" s="304"/>
      <c r="AL75" s="304">
        <v>2.992999591181503</v>
      </c>
      <c r="AM75" s="304">
        <v>3.0775984562109242</v>
      </c>
      <c r="AN75" s="304">
        <v>2.6354446698578688</v>
      </c>
    </row>
    <row r="76" spans="1:40" x14ac:dyDescent="0.3">
      <c r="A76" s="13" t="str">
        <f t="shared" si="76"/>
        <v>Professional occupations</v>
      </c>
      <c r="B76" s="305">
        <f t="shared" ref="B76:B83" si="79">SUM(F76,J76,N76,R76,V76,Z76,AD76,AH76,AL76)</f>
        <v>275.54416703294572</v>
      </c>
      <c r="C76" s="305">
        <f t="shared" si="77"/>
        <v>298.7628169137144</v>
      </c>
      <c r="D76" s="305">
        <f>SUM(H76,L76,P76,T76,X76,AB76,AF76,AJ76,AN76)</f>
        <v>332.13231982185823</v>
      </c>
      <c r="E76" s="304"/>
      <c r="F76" s="304">
        <v>10.67571254055955</v>
      </c>
      <c r="G76" s="304">
        <v>13.479575947378301</v>
      </c>
      <c r="H76" s="304">
        <v>16.773999076245715</v>
      </c>
      <c r="I76" s="304"/>
      <c r="J76" s="304">
        <v>60.855141423650259</v>
      </c>
      <c r="K76" s="304">
        <v>78.362400917744992</v>
      </c>
      <c r="L76" s="304">
        <v>99.687497841131758</v>
      </c>
      <c r="M76" s="304"/>
      <c r="N76" s="304">
        <v>109.83093112397813</v>
      </c>
      <c r="O76" s="304">
        <v>112.03235019375192</v>
      </c>
      <c r="P76" s="304">
        <v>122.08771394254634</v>
      </c>
      <c r="Q76" s="304"/>
      <c r="R76" s="304">
        <v>9.2968559542499936</v>
      </c>
      <c r="S76" s="304">
        <v>9.4820063059740392</v>
      </c>
      <c r="T76" s="304">
        <v>11.358672547814825</v>
      </c>
      <c r="U76" s="304"/>
      <c r="V76" s="304">
        <v>17.101208429275157</v>
      </c>
      <c r="W76" s="304">
        <v>16.873958563287285</v>
      </c>
      <c r="X76" s="304">
        <v>19.412853781636649</v>
      </c>
      <c r="Y76" s="304"/>
      <c r="Z76" s="304">
        <v>25.59434554538834</v>
      </c>
      <c r="AA76" s="304">
        <v>26.519852714804646</v>
      </c>
      <c r="AB76" s="304">
        <v>25.559863774401929</v>
      </c>
      <c r="AC76" s="304"/>
      <c r="AD76" s="304">
        <v>24.781783906535647</v>
      </c>
      <c r="AE76" s="304">
        <v>24.349808822775767</v>
      </c>
      <c r="AF76" s="304">
        <v>23.514980627285322</v>
      </c>
      <c r="AG76" s="304"/>
      <c r="AH76" s="304">
        <v>14.564222613824949</v>
      </c>
      <c r="AI76" s="304">
        <v>14.300690942501896</v>
      </c>
      <c r="AJ76" s="304">
        <v>10.584879790154465</v>
      </c>
      <c r="AK76" s="304"/>
      <c r="AL76" s="304">
        <v>2.8439654954837144</v>
      </c>
      <c r="AM76" s="304">
        <v>3.3621725054955469</v>
      </c>
      <c r="AN76" s="304">
        <v>3.1518584406412748</v>
      </c>
    </row>
    <row r="77" spans="1:40" x14ac:dyDescent="0.3">
      <c r="A77" s="13" t="str">
        <f t="shared" si="76"/>
        <v>Associate professional occupations</v>
      </c>
      <c r="B77" s="305">
        <f t="shared" si="79"/>
        <v>201.8214329251885</v>
      </c>
      <c r="C77" s="305">
        <f t="shared" si="77"/>
        <v>193.94659704890111</v>
      </c>
      <c r="D77" s="305">
        <f t="shared" si="78"/>
        <v>209.53453512935053</v>
      </c>
      <c r="E77" s="304"/>
      <c r="F77" s="304">
        <v>3.3502665035200097</v>
      </c>
      <c r="G77" s="304">
        <v>4.2221420177800919</v>
      </c>
      <c r="H77" s="304">
        <v>5.8145687197893379</v>
      </c>
      <c r="I77" s="304"/>
      <c r="J77" s="304">
        <v>31.910050646596218</v>
      </c>
      <c r="K77" s="304">
        <v>38.588494546800746</v>
      </c>
      <c r="L77" s="304">
        <v>51.532714807965483</v>
      </c>
      <c r="M77" s="304"/>
      <c r="N77" s="304">
        <v>70.665301341167293</v>
      </c>
      <c r="O77" s="304">
        <v>66.40160425861238</v>
      </c>
      <c r="P77" s="304">
        <v>74.548665384810533</v>
      </c>
      <c r="Q77" s="304"/>
      <c r="R77" s="304">
        <v>12.199665205451707</v>
      </c>
      <c r="S77" s="304">
        <v>11.909956161969427</v>
      </c>
      <c r="T77" s="304">
        <v>14.88641751842891</v>
      </c>
      <c r="U77" s="304"/>
      <c r="V77" s="304">
        <v>12.642380211253043</v>
      </c>
      <c r="W77" s="304">
        <v>11.237369134951557</v>
      </c>
      <c r="X77" s="304">
        <v>11.517158156825346</v>
      </c>
      <c r="Y77" s="304"/>
      <c r="Z77" s="304">
        <v>26.999491176461394</v>
      </c>
      <c r="AA77" s="304">
        <v>24.309318496247858</v>
      </c>
      <c r="AB77" s="304">
        <v>21.529802840882432</v>
      </c>
      <c r="AC77" s="304"/>
      <c r="AD77" s="304">
        <v>23.530810777405552</v>
      </c>
      <c r="AE77" s="304">
        <v>19.349780861637861</v>
      </c>
      <c r="AF77" s="304">
        <v>14.582112652883664</v>
      </c>
      <c r="AG77" s="304"/>
      <c r="AH77" s="304">
        <v>16.994548599654589</v>
      </c>
      <c r="AI77" s="304">
        <v>14.568471313230612</v>
      </c>
      <c r="AJ77" s="304">
        <v>11.918617656479993</v>
      </c>
      <c r="AK77" s="304"/>
      <c r="AL77" s="304">
        <v>3.5289184636786906</v>
      </c>
      <c r="AM77" s="304">
        <v>3.3594602576705528</v>
      </c>
      <c r="AN77" s="304">
        <v>3.2044773912847848</v>
      </c>
    </row>
    <row r="78" spans="1:40" x14ac:dyDescent="0.3">
      <c r="A78" s="13" t="str">
        <f t="shared" si="76"/>
        <v>Administrative and secretarial occupations</v>
      </c>
      <c r="B78" s="305">
        <f t="shared" si="79"/>
        <v>122.48992048931406</v>
      </c>
      <c r="C78" s="305">
        <f t="shared" si="77"/>
        <v>114.28267370645237</v>
      </c>
      <c r="D78" s="305">
        <f t="shared" si="78"/>
        <v>100.76265368475414</v>
      </c>
      <c r="E78" s="304"/>
      <c r="F78" s="304">
        <v>0.6296525759915732</v>
      </c>
      <c r="G78" s="304">
        <v>0.84279897177842134</v>
      </c>
      <c r="H78" s="304">
        <v>1.1876283662419118</v>
      </c>
      <c r="I78" s="304"/>
      <c r="J78" s="304">
        <v>7.9748435523416799</v>
      </c>
      <c r="K78" s="304">
        <v>10.396283967356236</v>
      </c>
      <c r="L78" s="304">
        <v>14.117627246811901</v>
      </c>
      <c r="M78" s="304"/>
      <c r="N78" s="304">
        <v>27.523367414067657</v>
      </c>
      <c r="O78" s="304">
        <v>27.960433678269755</v>
      </c>
      <c r="P78" s="304">
        <v>31.482694466003633</v>
      </c>
      <c r="Q78" s="304"/>
      <c r="R78" s="304">
        <v>8.9109335229593523</v>
      </c>
      <c r="S78" s="304">
        <v>8.6221013454821112</v>
      </c>
      <c r="T78" s="304">
        <v>9.5385108822181284</v>
      </c>
      <c r="U78" s="304"/>
      <c r="V78" s="304">
        <v>9.6751866204043555</v>
      </c>
      <c r="W78" s="304">
        <v>9.4480109787540698</v>
      </c>
      <c r="X78" s="304">
        <v>10.877995437757411</v>
      </c>
      <c r="Y78" s="304"/>
      <c r="Z78" s="304">
        <v>19.956723109749667</v>
      </c>
      <c r="AA78" s="304">
        <v>17.812095370261286</v>
      </c>
      <c r="AB78" s="304">
        <v>11.872220057840067</v>
      </c>
      <c r="AC78" s="304"/>
      <c r="AD78" s="304">
        <v>26.479144631577181</v>
      </c>
      <c r="AE78" s="304">
        <v>22.037630258441865</v>
      </c>
      <c r="AF78" s="304">
        <v>12.069225003430704</v>
      </c>
      <c r="AG78" s="304"/>
      <c r="AH78" s="304">
        <v>15.747675364393041</v>
      </c>
      <c r="AI78" s="304">
        <v>11.516696079763815</v>
      </c>
      <c r="AJ78" s="304">
        <v>3.0803915774202797</v>
      </c>
      <c r="AK78" s="304"/>
      <c r="AL78" s="304">
        <v>5.5923936978295368</v>
      </c>
      <c r="AM78" s="304">
        <v>5.6466230563448132</v>
      </c>
      <c r="AN78" s="304">
        <v>6.5363606470301034</v>
      </c>
    </row>
    <row r="79" spans="1:40" x14ac:dyDescent="0.3">
      <c r="A79" s="13" t="str">
        <f t="shared" si="76"/>
        <v>Skilled trades occupations</v>
      </c>
      <c r="B79" s="305">
        <f t="shared" si="79"/>
        <v>40.840983538823224</v>
      </c>
      <c r="C79" s="305">
        <f t="shared" si="77"/>
        <v>43.614151045233704</v>
      </c>
      <c r="D79" s="305">
        <f t="shared" si="78"/>
        <v>45.677924930082767</v>
      </c>
      <c r="E79" s="304"/>
      <c r="F79" s="304">
        <v>0.16025164589158972</v>
      </c>
      <c r="G79" s="304">
        <v>0.24211228207838176</v>
      </c>
      <c r="H79" s="304">
        <v>0.33361408478468352</v>
      </c>
      <c r="I79" s="304"/>
      <c r="J79" s="304">
        <v>1.9354228467936196</v>
      </c>
      <c r="K79" s="304">
        <v>2.7855229160638246</v>
      </c>
      <c r="L79" s="304">
        <v>3.9658649626777498</v>
      </c>
      <c r="M79" s="304"/>
      <c r="N79" s="304">
        <v>5.9880306829595416</v>
      </c>
      <c r="O79" s="304">
        <v>6.7969026785413647</v>
      </c>
      <c r="P79" s="304">
        <v>8.8874847745235783</v>
      </c>
      <c r="Q79" s="304"/>
      <c r="R79" s="304">
        <v>2.1852057541102274</v>
      </c>
      <c r="S79" s="304">
        <v>2.4383093723853984</v>
      </c>
      <c r="T79" s="304">
        <v>3.3320303609835396</v>
      </c>
      <c r="U79" s="304"/>
      <c r="V79" s="304">
        <v>2.7366405630260178</v>
      </c>
      <c r="W79" s="304">
        <v>2.8889518194793902</v>
      </c>
      <c r="X79" s="304">
        <v>3.433952552247582</v>
      </c>
      <c r="Y79" s="304"/>
      <c r="Z79" s="304">
        <v>8.7370583951962821</v>
      </c>
      <c r="AA79" s="304">
        <v>9.2179349090936018</v>
      </c>
      <c r="AB79" s="304">
        <v>8.4599642349013671</v>
      </c>
      <c r="AC79" s="304"/>
      <c r="AD79" s="304">
        <v>10.581691717403803</v>
      </c>
      <c r="AE79" s="304">
        <v>10.451520215435568</v>
      </c>
      <c r="AF79" s="304">
        <v>9.9108864308045312</v>
      </c>
      <c r="AG79" s="304"/>
      <c r="AH79" s="304">
        <v>5.8585212409268426</v>
      </c>
      <c r="AI79" s="304">
        <v>5.9210644909170238</v>
      </c>
      <c r="AJ79" s="304">
        <v>4.9691761803353796</v>
      </c>
      <c r="AK79" s="304"/>
      <c r="AL79" s="304">
        <v>2.6581606925153047</v>
      </c>
      <c r="AM79" s="304">
        <v>2.871832361239147</v>
      </c>
      <c r="AN79" s="304">
        <v>2.3849513488243583</v>
      </c>
    </row>
    <row r="80" spans="1:40" x14ac:dyDescent="0.3">
      <c r="A80" s="13" t="str">
        <f t="shared" si="76"/>
        <v>Caring, leisure and other service occupations</v>
      </c>
      <c r="B80" s="305">
        <f t="shared" si="79"/>
        <v>73.047786474066001</v>
      </c>
      <c r="C80" s="305">
        <f t="shared" si="77"/>
        <v>76.238981406652414</v>
      </c>
      <c r="D80" s="305">
        <f t="shared" si="78"/>
        <v>80.615738214871087</v>
      </c>
      <c r="E80" s="304"/>
      <c r="F80" s="304">
        <v>5.2279142846474141E-2</v>
      </c>
      <c r="G80" s="304">
        <v>7.7684718811835904E-2</v>
      </c>
      <c r="H80" s="304">
        <v>0.12213950263352517</v>
      </c>
      <c r="I80" s="304"/>
      <c r="J80" s="304">
        <v>2.9184721761787138</v>
      </c>
      <c r="K80" s="304">
        <v>4.0951726204636323</v>
      </c>
      <c r="L80" s="304">
        <v>5.775160913813016</v>
      </c>
      <c r="M80" s="304"/>
      <c r="N80" s="304">
        <v>10.857483959653534</v>
      </c>
      <c r="O80" s="304">
        <v>12.81082625675311</v>
      </c>
      <c r="P80" s="304">
        <v>17.781540466499553</v>
      </c>
      <c r="Q80" s="304"/>
      <c r="R80" s="304">
        <v>6.5371192364211357</v>
      </c>
      <c r="S80" s="304">
        <v>6.8833607641012922</v>
      </c>
      <c r="T80" s="304">
        <v>8.8881131811453837</v>
      </c>
      <c r="U80" s="304"/>
      <c r="V80" s="304">
        <v>4.7787247255509433</v>
      </c>
      <c r="W80" s="304">
        <v>5.3803014115593086</v>
      </c>
      <c r="X80" s="304">
        <v>7.6016677566889861</v>
      </c>
      <c r="Y80" s="304"/>
      <c r="Z80" s="304">
        <v>18.048948276954874</v>
      </c>
      <c r="AA80" s="304">
        <v>18.554532545678704</v>
      </c>
      <c r="AB80" s="304">
        <v>18.606571317999784</v>
      </c>
      <c r="AC80" s="304"/>
      <c r="AD80" s="304">
        <v>16.812325461157847</v>
      </c>
      <c r="AE80" s="304">
        <v>15.854345979541529</v>
      </c>
      <c r="AF80" s="304">
        <v>12.117256250491769</v>
      </c>
      <c r="AG80" s="304"/>
      <c r="AH80" s="304">
        <v>10.993294539854972</v>
      </c>
      <c r="AI80" s="304">
        <v>10.776489230154755</v>
      </c>
      <c r="AJ80" s="304">
        <v>8.3438767366583715</v>
      </c>
      <c r="AK80" s="304"/>
      <c r="AL80" s="304">
        <v>2.0491389554475061</v>
      </c>
      <c r="AM80" s="304">
        <v>1.8062678795882541</v>
      </c>
      <c r="AN80" s="304">
        <v>1.3794120889407073</v>
      </c>
    </row>
    <row r="81" spans="1:40" x14ac:dyDescent="0.3">
      <c r="A81" s="13" t="str">
        <f t="shared" si="76"/>
        <v>Sales and customer service occupations</v>
      </c>
      <c r="B81" s="305">
        <f t="shared" si="79"/>
        <v>50.100606289610241</v>
      </c>
      <c r="C81" s="305">
        <f t="shared" si="77"/>
        <v>54.668255102783959</v>
      </c>
      <c r="D81" s="305">
        <f t="shared" si="78"/>
        <v>58.480738674243277</v>
      </c>
      <c r="E81" s="304"/>
      <c r="F81" s="304">
        <v>0.2930142755526568</v>
      </c>
      <c r="G81" s="304">
        <v>0.40844592119204914</v>
      </c>
      <c r="H81" s="304">
        <v>0.56857337657961005</v>
      </c>
      <c r="I81" s="304"/>
      <c r="J81" s="304">
        <v>2.5506659900318693</v>
      </c>
      <c r="K81" s="304">
        <v>3.5833405379220133</v>
      </c>
      <c r="L81" s="304">
        <v>5.112203727412032</v>
      </c>
      <c r="M81" s="304"/>
      <c r="N81" s="304">
        <v>10.181670359373198</v>
      </c>
      <c r="O81" s="304">
        <v>11.244568160813945</v>
      </c>
      <c r="P81" s="304">
        <v>14.222010013995295</v>
      </c>
      <c r="Q81" s="304"/>
      <c r="R81" s="304">
        <v>2.8814207351934393</v>
      </c>
      <c r="S81" s="304">
        <v>3.1286107169296429</v>
      </c>
      <c r="T81" s="304">
        <v>4.1318178394848042</v>
      </c>
      <c r="U81" s="304"/>
      <c r="V81" s="304">
        <v>2.9949479595712178</v>
      </c>
      <c r="W81" s="304">
        <v>3.2782434020325422</v>
      </c>
      <c r="X81" s="304">
        <v>3.9618874742200174</v>
      </c>
      <c r="Y81" s="304"/>
      <c r="Z81" s="304">
        <v>9.6466725330658178</v>
      </c>
      <c r="AA81" s="304">
        <v>10.344724577607959</v>
      </c>
      <c r="AB81" s="304">
        <v>9.5626373371299138</v>
      </c>
      <c r="AC81" s="304"/>
      <c r="AD81" s="304">
        <v>13.292464449138802</v>
      </c>
      <c r="AE81" s="304">
        <v>14.965608694064404</v>
      </c>
      <c r="AF81" s="304">
        <v>14.227291249404129</v>
      </c>
      <c r="AG81" s="304"/>
      <c r="AH81" s="304">
        <v>6.4254368045919978</v>
      </c>
      <c r="AI81" s="304">
        <v>5.8646563724705523</v>
      </c>
      <c r="AJ81" s="304">
        <v>4.8318873001032872</v>
      </c>
      <c r="AK81" s="304"/>
      <c r="AL81" s="304">
        <v>1.8343131830912434</v>
      </c>
      <c r="AM81" s="304">
        <v>1.8500567197508566</v>
      </c>
      <c r="AN81" s="304">
        <v>1.8624303559141899</v>
      </c>
    </row>
    <row r="82" spans="1:40" x14ac:dyDescent="0.3">
      <c r="A82" s="13" t="str">
        <f t="shared" si="76"/>
        <v>Process, plant and machine operatives</v>
      </c>
      <c r="B82" s="305">
        <f t="shared" si="79"/>
        <v>19.874402992524598</v>
      </c>
      <c r="C82" s="305">
        <f t="shared" si="77"/>
        <v>22.502273947820555</v>
      </c>
      <c r="D82" s="305">
        <f t="shared" si="78"/>
        <v>22.982034038826097</v>
      </c>
      <c r="E82" s="304"/>
      <c r="F82" s="304">
        <v>4.0745716769586465E-2</v>
      </c>
      <c r="G82" s="304">
        <v>6.5464291749382938E-2</v>
      </c>
      <c r="H82" s="304">
        <v>8.0975018955790554E-2</v>
      </c>
      <c r="I82" s="304"/>
      <c r="J82" s="304">
        <v>0.73344158858272024</v>
      </c>
      <c r="K82" s="304">
        <v>1.0648158494224151</v>
      </c>
      <c r="L82" s="304">
        <v>1.5306904441320721</v>
      </c>
      <c r="M82" s="304"/>
      <c r="N82" s="304">
        <v>1.5800781312880796</v>
      </c>
      <c r="O82" s="304">
        <v>1.9787801446920779</v>
      </c>
      <c r="P82" s="304">
        <v>2.6591795795573976</v>
      </c>
      <c r="Q82" s="304"/>
      <c r="R82" s="304">
        <v>0.54312945862299122</v>
      </c>
      <c r="S82" s="304">
        <v>0.68352813306750282</v>
      </c>
      <c r="T82" s="304">
        <v>0.91190484805358241</v>
      </c>
      <c r="U82" s="304"/>
      <c r="V82" s="304">
        <v>0.57941941575581313</v>
      </c>
      <c r="W82" s="304">
        <v>0.7166686530150046</v>
      </c>
      <c r="X82" s="304">
        <v>0.88944433459977779</v>
      </c>
      <c r="Y82" s="304"/>
      <c r="Z82" s="304">
        <v>4.5413256893394376</v>
      </c>
      <c r="AA82" s="304">
        <v>5.7284945205608579</v>
      </c>
      <c r="AB82" s="304">
        <v>7.092477298061616</v>
      </c>
      <c r="AC82" s="304"/>
      <c r="AD82" s="304">
        <v>4.7732205086440516</v>
      </c>
      <c r="AE82" s="304">
        <v>5.1145668435023852</v>
      </c>
      <c r="AF82" s="304">
        <v>5.2042638716919605</v>
      </c>
      <c r="AG82" s="304"/>
      <c r="AH82" s="304">
        <v>4.3583770159807855</v>
      </c>
      <c r="AI82" s="304">
        <v>4.4049718839028031</v>
      </c>
      <c r="AJ82" s="304">
        <v>3.175056213771712</v>
      </c>
      <c r="AK82" s="304"/>
      <c r="AL82" s="304">
        <v>2.7246654675411315</v>
      </c>
      <c r="AM82" s="304">
        <v>2.7449836279081259</v>
      </c>
      <c r="AN82" s="304">
        <v>1.4380424300021888</v>
      </c>
    </row>
    <row r="83" spans="1:40" x14ac:dyDescent="0.3">
      <c r="A83" s="38" t="str">
        <f t="shared" si="76"/>
        <v>Elementary occupations</v>
      </c>
      <c r="B83" s="307">
        <f t="shared" si="79"/>
        <v>113.13568494724126</v>
      </c>
      <c r="C83" s="307">
        <f t="shared" si="77"/>
        <v>117.05352853187705</v>
      </c>
      <c r="D83" s="307">
        <f t="shared" si="78"/>
        <v>111.36133116716476</v>
      </c>
      <c r="E83" s="307"/>
      <c r="F83" s="307">
        <v>0.1004162294014298</v>
      </c>
      <c r="G83" s="307">
        <v>0.15612931537299105</v>
      </c>
      <c r="H83" s="307">
        <v>0.21591466799153633</v>
      </c>
      <c r="I83" s="307"/>
      <c r="J83" s="307">
        <v>2.1285714010811603</v>
      </c>
      <c r="K83" s="307">
        <v>3.2043285322229638</v>
      </c>
      <c r="L83" s="307">
        <v>3.5924751970333104</v>
      </c>
      <c r="M83" s="307"/>
      <c r="N83" s="307">
        <v>6.0767342816505527</v>
      </c>
      <c r="O83" s="307">
        <v>6.9877072735725827</v>
      </c>
      <c r="P83" s="307">
        <v>7.9260277448357499</v>
      </c>
      <c r="Q83" s="307"/>
      <c r="R83" s="307">
        <v>4.5612869425700584</v>
      </c>
      <c r="S83" s="307">
        <v>5.6741442174042991</v>
      </c>
      <c r="T83" s="307">
        <v>7.2204822757470062</v>
      </c>
      <c r="U83" s="307"/>
      <c r="V83" s="307">
        <v>2.085235633796199</v>
      </c>
      <c r="W83" s="307">
        <v>2.0568571312850192</v>
      </c>
      <c r="X83" s="307">
        <v>2.6574093447011577</v>
      </c>
      <c r="Y83" s="307"/>
      <c r="Z83" s="307">
        <v>12.241506163217386</v>
      </c>
      <c r="AA83" s="307">
        <v>12.250757515024693</v>
      </c>
      <c r="AB83" s="307">
        <v>11.462560787219626</v>
      </c>
      <c r="AC83" s="307"/>
      <c r="AD83" s="307">
        <v>31.151039986099956</v>
      </c>
      <c r="AE83" s="307">
        <v>32.39017355352069</v>
      </c>
      <c r="AF83" s="307">
        <v>31.207324708739915</v>
      </c>
      <c r="AG83" s="307"/>
      <c r="AH83" s="307">
        <v>42.350707621231116</v>
      </c>
      <c r="AI83" s="307">
        <v>46.552027784964658</v>
      </c>
      <c r="AJ83" s="307">
        <v>45.125413134936572</v>
      </c>
      <c r="AK83" s="307"/>
      <c r="AL83" s="307">
        <v>12.440186688193391</v>
      </c>
      <c r="AM83" s="307">
        <v>7.781403208509154</v>
      </c>
      <c r="AN83" s="307">
        <v>1.9537233059598909</v>
      </c>
    </row>
    <row r="84" spans="1:40" x14ac:dyDescent="0.3">
      <c r="B84" s="31"/>
      <c r="C84" s="31"/>
      <c r="D84" s="31"/>
    </row>
    <row r="85" spans="1:40" ht="15.45" x14ac:dyDescent="0.4">
      <c r="A85" s="18" t="str">
        <f>CONCATENATE(A1," (Continued)")</f>
        <v>Basic Table 1  Employment by Industry Sector, Occupation Group and Qualification, 2020-2035, East (Continued)</v>
      </c>
    </row>
    <row r="86" spans="1:40" ht="12.75" customHeight="1" x14ac:dyDescent="0.4">
      <c r="A86" s="18"/>
    </row>
    <row r="87" spans="1:40" ht="12.75" customHeight="1" x14ac:dyDescent="0.4">
      <c r="A87" s="18"/>
    </row>
    <row r="88" spans="1:40" ht="26.25" customHeight="1" x14ac:dyDescent="0.3">
      <c r="A88" s="77"/>
      <c r="B88" s="77"/>
      <c r="C88" s="78" t="str">
        <f>B4</f>
        <v>All qualifications</v>
      </c>
      <c r="D88" s="77"/>
      <c r="E88" s="77"/>
      <c r="F88" s="77"/>
      <c r="G88" s="78" t="str">
        <f>F4</f>
        <v>RQF8 Doctorate</v>
      </c>
      <c r="H88" s="77"/>
      <c r="I88" s="77"/>
      <c r="J88" s="77"/>
      <c r="K88" s="78" t="str">
        <f>J4</f>
        <v>RQF7 Other higher degree</v>
      </c>
      <c r="L88" s="77"/>
      <c r="M88" s="77"/>
      <c r="N88" s="380" t="str">
        <f>N4</f>
        <v>RQF6 First degree</v>
      </c>
      <c r="O88" s="380"/>
      <c r="P88" s="380"/>
      <c r="Q88" s="77"/>
      <c r="R88" s="380" t="str">
        <f>R4</f>
        <v>RQF5 Foundation degree;Nursing;Teaching</v>
      </c>
      <c r="S88" s="380"/>
      <c r="T88" s="380"/>
      <c r="U88" s="77"/>
      <c r="V88" s="380" t="str">
        <f>V4</f>
        <v>RQF4 HE below degree level</v>
      </c>
      <c r="W88" s="380"/>
      <c r="X88" s="380"/>
      <c r="Y88" s="77"/>
      <c r="Z88" s="380" t="str">
        <f>Z4</f>
        <v>RQF3 A level &amp; equivalent</v>
      </c>
      <c r="AA88" s="380"/>
      <c r="AB88" s="380"/>
      <c r="AC88" s="77"/>
      <c r="AD88" s="380" t="str">
        <f>AD4</f>
        <v>RQF2 GCSE(A-C) &amp; equivalent</v>
      </c>
      <c r="AE88" s="380"/>
      <c r="AF88" s="380"/>
      <c r="AG88" s="77"/>
      <c r="AH88" s="380" t="str">
        <f>AH4</f>
        <v>RQF1 GCSE(below grade C) &amp; equivalent</v>
      </c>
      <c r="AI88" s="380"/>
      <c r="AJ88" s="380"/>
      <c r="AK88" s="77"/>
      <c r="AL88" s="77"/>
      <c r="AM88" s="78" t="str">
        <f>AL4</f>
        <v>No Qualification</v>
      </c>
      <c r="AN88" s="77"/>
    </row>
    <row r="89" spans="1:40" x14ac:dyDescent="0.3">
      <c r="A89" s="38"/>
      <c r="B89" s="41">
        <f>B5</f>
        <v>2020</v>
      </c>
      <c r="C89" s="41">
        <f>C5</f>
        <v>2025</v>
      </c>
      <c r="D89" s="41">
        <f>D5</f>
        <v>2035</v>
      </c>
      <c r="E89" s="38"/>
      <c r="F89" s="34">
        <f>B89</f>
        <v>2020</v>
      </c>
      <c r="G89" s="34">
        <f>C89</f>
        <v>2025</v>
      </c>
      <c r="H89" s="34">
        <f>D89</f>
        <v>2035</v>
      </c>
      <c r="I89" s="38"/>
      <c r="J89" s="34">
        <f>B89</f>
        <v>2020</v>
      </c>
      <c r="K89" s="34">
        <f>C89</f>
        <v>2025</v>
      </c>
      <c r="L89" s="34">
        <f>D89</f>
        <v>2035</v>
      </c>
      <c r="M89" s="38"/>
      <c r="N89" s="34">
        <f>B89</f>
        <v>2020</v>
      </c>
      <c r="O89" s="34">
        <f>C89</f>
        <v>2025</v>
      </c>
      <c r="P89" s="34">
        <f>D89</f>
        <v>2035</v>
      </c>
      <c r="Q89" s="38"/>
      <c r="R89" s="34">
        <f>F89</f>
        <v>2020</v>
      </c>
      <c r="S89" s="34">
        <f>G89</f>
        <v>2025</v>
      </c>
      <c r="T89" s="34">
        <f>H89</f>
        <v>2035</v>
      </c>
      <c r="U89" s="38"/>
      <c r="V89" s="34">
        <f>J89</f>
        <v>2020</v>
      </c>
      <c r="W89" s="34">
        <f>K89</f>
        <v>2025</v>
      </c>
      <c r="X89" s="34">
        <f>L89</f>
        <v>2035</v>
      </c>
      <c r="Y89" s="38"/>
      <c r="Z89" s="34">
        <f>N89</f>
        <v>2020</v>
      </c>
      <c r="AA89" s="34">
        <f>O89</f>
        <v>2025</v>
      </c>
      <c r="AB89" s="34">
        <f>P89</f>
        <v>2035</v>
      </c>
      <c r="AC89" s="38"/>
      <c r="AD89" s="34">
        <f>R89</f>
        <v>2020</v>
      </c>
      <c r="AE89" s="34">
        <f>S89</f>
        <v>2025</v>
      </c>
      <c r="AF89" s="34">
        <f>T89</f>
        <v>2035</v>
      </c>
      <c r="AG89" s="38"/>
      <c r="AH89" s="34">
        <f>V89</f>
        <v>2020</v>
      </c>
      <c r="AI89" s="34">
        <f>W89</f>
        <v>2025</v>
      </c>
      <c r="AJ89" s="34">
        <f>X89</f>
        <v>2035</v>
      </c>
      <c r="AK89" s="38"/>
      <c r="AL89" s="34">
        <f>Z89</f>
        <v>2020</v>
      </c>
      <c r="AM89" s="34">
        <f>AA89</f>
        <v>2025</v>
      </c>
      <c r="AN89" s="34">
        <f>AB89</f>
        <v>2035</v>
      </c>
    </row>
    <row r="90" spans="1:40" x14ac:dyDescent="0.3">
      <c r="B90" s="31"/>
      <c r="C90" s="31"/>
      <c r="D90" s="31"/>
    </row>
    <row r="91" spans="1:40" x14ac:dyDescent="0.3">
      <c r="A91" s="1" t="str">
        <f>name!C9</f>
        <v>Non-marketed services</v>
      </c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</row>
    <row r="92" spans="1:40" x14ac:dyDescent="0.3">
      <c r="A92" s="13" t="str">
        <f t="shared" ref="A92:A101" si="80">A8</f>
        <v>All occupations</v>
      </c>
      <c r="B92" s="305">
        <f>SUM(B93:B101)</f>
        <v>739.61800000320511</v>
      </c>
      <c r="C92" s="305">
        <f>SUM(C93:C101)</f>
        <v>771.2509999788374</v>
      </c>
      <c r="D92" s="305">
        <f>SUM(D93:D101)</f>
        <v>823.28000000067459</v>
      </c>
      <c r="E92" s="304"/>
      <c r="F92" s="305">
        <f>SUM(F93:F101)</f>
        <v>20.86583761895012</v>
      </c>
      <c r="G92" s="305">
        <f>SUM(G93:G101)</f>
        <v>26.178373877360762</v>
      </c>
      <c r="H92" s="305">
        <f>SUM(H93:H101)</f>
        <v>33.490449191788926</v>
      </c>
      <c r="I92" s="304"/>
      <c r="J92" s="305">
        <f>SUM(J93:J101)</f>
        <v>121.71723023572245</v>
      </c>
      <c r="K92" s="305">
        <f>SUM(K93:K101)</f>
        <v>151.89617693096486</v>
      </c>
      <c r="L92" s="305">
        <f>SUM(L93:L101)</f>
        <v>190.48603645156925</v>
      </c>
      <c r="M92" s="304"/>
      <c r="N92" s="305">
        <f>SUM(N93:N101)</f>
        <v>184.88007676205197</v>
      </c>
      <c r="O92" s="305">
        <f>SUM(O93:O101)</f>
        <v>191.02596157816453</v>
      </c>
      <c r="P92" s="305">
        <f>SUM(P93:P101)</f>
        <v>226.39941957737165</v>
      </c>
      <c r="Q92" s="304"/>
      <c r="R92" s="305">
        <f>SUM(R93:R101)</f>
        <v>70.625393631130194</v>
      </c>
      <c r="S92" s="305">
        <f>SUM(S93:S101)</f>
        <v>60.37029027905173</v>
      </c>
      <c r="T92" s="305">
        <f>SUM(T93:T101)</f>
        <v>58.347764524659127</v>
      </c>
      <c r="U92" s="304"/>
      <c r="V92" s="305">
        <f>SUM(V93:V101)</f>
        <v>35.128783126431586</v>
      </c>
      <c r="W92" s="305">
        <f>SUM(W93:W101)</f>
        <v>34.504561593890855</v>
      </c>
      <c r="X92" s="305">
        <f>SUM(X93:X101)</f>
        <v>39.157354786938114</v>
      </c>
      <c r="Y92" s="304"/>
      <c r="Z92" s="305">
        <f>SUM(Z93:Z101)</f>
        <v>140.56791573421611</v>
      </c>
      <c r="AA92" s="305">
        <f>SUM(AA93:AA101)</f>
        <v>156.74608500982544</v>
      </c>
      <c r="AB92" s="305">
        <f>SUM(AB93:AB101)</f>
        <v>168.59343244437605</v>
      </c>
      <c r="AC92" s="304"/>
      <c r="AD92" s="305">
        <f>SUM(AD93:AD101)</f>
        <v>115.25485424623358</v>
      </c>
      <c r="AE92" s="305">
        <f>SUM(AE93:AE101)</f>
        <v>112.88735891883394</v>
      </c>
      <c r="AF92" s="305">
        <f>SUM(AF93:AF101)</f>
        <v>86.549103971618109</v>
      </c>
      <c r="AG92" s="304"/>
      <c r="AH92" s="305">
        <f>SUM(AH93:AH101)</f>
        <v>43.68990305973059</v>
      </c>
      <c r="AI92" s="305">
        <f>SUM(AI93:AI101)</f>
        <v>32.3604688024814</v>
      </c>
      <c r="AJ92" s="305">
        <f>SUM(AJ93:AJ101)</f>
        <v>15.542917355933385</v>
      </c>
      <c r="AK92" s="304"/>
      <c r="AL92" s="305">
        <f>SUM(AL93:AL101)</f>
        <v>6.8880055887386122</v>
      </c>
      <c r="AM92" s="305">
        <f>SUM(AM93:AM101)</f>
        <v>5.2817229882639589</v>
      </c>
      <c r="AN92" s="305">
        <f>SUM(AN93:AN101)</f>
        <v>4.7135216964200088</v>
      </c>
    </row>
    <row r="93" spans="1:40" x14ac:dyDescent="0.3">
      <c r="A93" s="13" t="str">
        <f t="shared" si="80"/>
        <v>Managers, directors and senior officials</v>
      </c>
      <c r="B93" s="305">
        <f>SUM(F93,J93,N93,R93,V93,Z93,AD93,AH93,AL93)</f>
        <v>34.018042071489262</v>
      </c>
      <c r="C93" s="305">
        <f t="shared" ref="C93:D93" si="81">SUM(G93,K93,O93,S93,W93,AA93,AE93,AI93,AM93)</f>
        <v>35.392133426538535</v>
      </c>
      <c r="D93" s="305">
        <f t="shared" si="81"/>
        <v>40.94352284601193</v>
      </c>
      <c r="E93" s="304"/>
      <c r="F93" s="304">
        <v>0.61249434635072741</v>
      </c>
      <c r="G93" s="304">
        <v>0.78167048635013159</v>
      </c>
      <c r="H93" s="304">
        <v>1.0785149775522731</v>
      </c>
      <c r="I93" s="304"/>
      <c r="J93" s="304">
        <v>5.6325932315536109</v>
      </c>
      <c r="K93" s="304">
        <v>6.8878067755287775</v>
      </c>
      <c r="L93" s="304">
        <v>8.7068808704489609</v>
      </c>
      <c r="M93" s="304"/>
      <c r="N93" s="304">
        <v>10.785259752219273</v>
      </c>
      <c r="O93" s="304">
        <v>11.176497892424603</v>
      </c>
      <c r="P93" s="304">
        <v>14.028640241349393</v>
      </c>
      <c r="Q93" s="304"/>
      <c r="R93" s="304">
        <v>6.284018333709982</v>
      </c>
      <c r="S93" s="304">
        <v>6.2482715170441061</v>
      </c>
      <c r="T93" s="304">
        <v>7.1929678124713634</v>
      </c>
      <c r="U93" s="304"/>
      <c r="V93" s="304">
        <v>1.4556404814320787</v>
      </c>
      <c r="W93" s="304">
        <v>1.3098152012564319</v>
      </c>
      <c r="X93" s="304">
        <v>1.3519256291247332</v>
      </c>
      <c r="Y93" s="304"/>
      <c r="Z93" s="304">
        <v>5.0906266994456253</v>
      </c>
      <c r="AA93" s="304">
        <v>5.0848440777019599</v>
      </c>
      <c r="AB93" s="304">
        <v>5.1500489282362034</v>
      </c>
      <c r="AC93" s="304"/>
      <c r="AD93" s="304">
        <v>2.6026302706067517</v>
      </c>
      <c r="AE93" s="304">
        <v>2.3923140947354118</v>
      </c>
      <c r="AF93" s="304">
        <v>2.083300049646327</v>
      </c>
      <c r="AG93" s="304"/>
      <c r="AH93" s="304">
        <v>1.0414302535314395</v>
      </c>
      <c r="AI93" s="304">
        <v>0.91284403358241417</v>
      </c>
      <c r="AJ93" s="304">
        <v>0.68466463992742543</v>
      </c>
      <c r="AK93" s="304"/>
      <c r="AL93" s="304">
        <v>0.51334870263978449</v>
      </c>
      <c r="AM93" s="304">
        <v>0.59806934791469746</v>
      </c>
      <c r="AN93" s="304">
        <v>0.66657969725525168</v>
      </c>
    </row>
    <row r="94" spans="1:40" x14ac:dyDescent="0.3">
      <c r="A94" s="13" t="str">
        <f t="shared" si="80"/>
        <v>Professional occupations</v>
      </c>
      <c r="B94" s="305">
        <f t="shared" ref="B94:B101" si="82">SUM(F94,J94,N94,R94,V94,Z94,AD94,AH94,AL94)</f>
        <v>271.70821108256843</v>
      </c>
      <c r="C94" s="305">
        <f t="shared" ref="C94:C101" si="83">SUM(G94,K94,O94,S94,W94,AA94,AE94,AI94,AM94)</f>
        <v>289.9346579850789</v>
      </c>
      <c r="D94" s="305">
        <f t="shared" ref="D94:D101" si="84">SUM(H94,L94,P94,T94,X94,AB94,AF94,AJ94,AN94)</f>
        <v>324.94724590219192</v>
      </c>
      <c r="E94" s="305"/>
      <c r="F94" s="304">
        <v>18.717119276535261</v>
      </c>
      <c r="G94" s="304">
        <v>23.30053298193738</v>
      </c>
      <c r="H94" s="304">
        <v>29.344417948944617</v>
      </c>
      <c r="I94" s="304"/>
      <c r="J94" s="304">
        <v>92.883072004135087</v>
      </c>
      <c r="K94" s="304">
        <v>113.89448425024561</v>
      </c>
      <c r="L94" s="304">
        <v>139.88708340894951</v>
      </c>
      <c r="M94" s="304"/>
      <c r="N94" s="304">
        <v>99.332039952585134</v>
      </c>
      <c r="O94" s="304">
        <v>98.082031247862503</v>
      </c>
      <c r="P94" s="304">
        <v>108.38973222924618</v>
      </c>
      <c r="Q94" s="304"/>
      <c r="R94" s="304">
        <v>18.26947317688899</v>
      </c>
      <c r="S94" s="304">
        <v>10.40301281092691</v>
      </c>
      <c r="T94" s="304">
        <v>5.4380820341525089</v>
      </c>
      <c r="U94" s="304"/>
      <c r="V94" s="304">
        <v>6.1736938067689717</v>
      </c>
      <c r="W94" s="304">
        <v>6.0326594430846381</v>
      </c>
      <c r="X94" s="304">
        <v>6.9051386198243963</v>
      </c>
      <c r="Y94" s="304"/>
      <c r="Z94" s="304">
        <v>16.168893278653005</v>
      </c>
      <c r="AA94" s="304">
        <v>18.002905382940124</v>
      </c>
      <c r="AB94" s="304">
        <v>19.381984209224541</v>
      </c>
      <c r="AC94" s="304"/>
      <c r="AD94" s="304">
        <v>11.627846658766542</v>
      </c>
      <c r="AE94" s="304">
        <v>11.671589651280952</v>
      </c>
      <c r="AF94" s="304">
        <v>9.4261208345021466</v>
      </c>
      <c r="AG94" s="304"/>
      <c r="AH94" s="304">
        <v>7.6503802924591868</v>
      </c>
      <c r="AI94" s="304">
        <v>7.5354225215813155</v>
      </c>
      <c r="AJ94" s="304">
        <v>5.1455094566747759</v>
      </c>
      <c r="AK94" s="304"/>
      <c r="AL94" s="304">
        <v>0.88569263577626078</v>
      </c>
      <c r="AM94" s="304">
        <v>1.0120196952194787</v>
      </c>
      <c r="AN94" s="304">
        <v>1.0291771606732385</v>
      </c>
    </row>
    <row r="95" spans="1:40" x14ac:dyDescent="0.3">
      <c r="A95" s="13" t="str">
        <f t="shared" si="80"/>
        <v>Associate professional occupations</v>
      </c>
      <c r="B95" s="305">
        <f t="shared" si="82"/>
        <v>98.339229815858644</v>
      </c>
      <c r="C95" s="305">
        <f t="shared" si="83"/>
        <v>101.71283313938901</v>
      </c>
      <c r="D95" s="305">
        <f t="shared" si="84"/>
        <v>113.69351611431942</v>
      </c>
      <c r="E95" s="305"/>
      <c r="F95" s="304">
        <v>0.81273576349700682</v>
      </c>
      <c r="G95" s="304">
        <v>1.1096002021788276</v>
      </c>
      <c r="H95" s="304">
        <v>1.699290446705281</v>
      </c>
      <c r="I95" s="304"/>
      <c r="J95" s="304">
        <v>10.603098204055247</v>
      </c>
      <c r="K95" s="304">
        <v>13.427624445024627</v>
      </c>
      <c r="L95" s="304">
        <v>18.233771365669384</v>
      </c>
      <c r="M95" s="304"/>
      <c r="N95" s="304">
        <v>29.454304122515953</v>
      </c>
      <c r="O95" s="304">
        <v>31.880715591295932</v>
      </c>
      <c r="P95" s="304">
        <v>41.824763424847859</v>
      </c>
      <c r="Q95" s="304"/>
      <c r="R95" s="304">
        <v>12.322739940389891</v>
      </c>
      <c r="S95" s="304">
        <v>10.025328788320264</v>
      </c>
      <c r="T95" s="304">
        <v>9.0273490830108365</v>
      </c>
      <c r="U95" s="304"/>
      <c r="V95" s="304">
        <v>5.6143023740264635</v>
      </c>
      <c r="W95" s="304">
        <v>5.1660289913574333</v>
      </c>
      <c r="X95" s="304">
        <v>6.10896064107596</v>
      </c>
      <c r="Y95" s="304"/>
      <c r="Z95" s="304">
        <v>18.294112264937127</v>
      </c>
      <c r="AA95" s="304">
        <v>19.478802659271501</v>
      </c>
      <c r="AB95" s="304">
        <v>20.763485747582717</v>
      </c>
      <c r="AC95" s="304"/>
      <c r="AD95" s="304">
        <v>13.940966823803898</v>
      </c>
      <c r="AE95" s="304">
        <v>13.655221330374436</v>
      </c>
      <c r="AF95" s="304">
        <v>11.140604808191039</v>
      </c>
      <c r="AG95" s="304"/>
      <c r="AH95" s="304">
        <v>6.5028647623960349</v>
      </c>
      <c r="AI95" s="304">
        <v>6.2781442398640666</v>
      </c>
      <c r="AJ95" s="304">
        <v>3.9559973381803175</v>
      </c>
      <c r="AK95" s="304"/>
      <c r="AL95" s="304">
        <v>0.7941055602370094</v>
      </c>
      <c r="AM95" s="304">
        <v>0.69136689170193144</v>
      </c>
      <c r="AN95" s="304">
        <v>0.93929325905603789</v>
      </c>
    </row>
    <row r="96" spans="1:40" x14ac:dyDescent="0.3">
      <c r="A96" s="13" t="str">
        <f t="shared" si="80"/>
        <v>Administrative and secretarial occupations</v>
      </c>
      <c r="B96" s="305">
        <f t="shared" si="82"/>
        <v>86.361221763183849</v>
      </c>
      <c r="C96" s="305">
        <f t="shared" si="83"/>
        <v>79.93962009174804</v>
      </c>
      <c r="D96" s="305">
        <f t="shared" si="84"/>
        <v>62.568213920175047</v>
      </c>
      <c r="E96" s="305"/>
      <c r="F96" s="304">
        <v>0.43728145466109214</v>
      </c>
      <c r="G96" s="304">
        <v>0.55891610915377243</v>
      </c>
      <c r="H96" s="304">
        <v>0.76926315408177792</v>
      </c>
      <c r="I96" s="304"/>
      <c r="J96" s="304">
        <v>5.0428524909006365</v>
      </c>
      <c r="K96" s="304">
        <v>6.6351983293377623</v>
      </c>
      <c r="L96" s="304">
        <v>7.4477663140475032</v>
      </c>
      <c r="M96" s="304"/>
      <c r="N96" s="304">
        <v>16.257176355374941</v>
      </c>
      <c r="O96" s="304">
        <v>16.639592190874826</v>
      </c>
      <c r="P96" s="304">
        <v>18.45152544512607</v>
      </c>
      <c r="Q96" s="304"/>
      <c r="R96" s="304">
        <v>10.116720747981491</v>
      </c>
      <c r="S96" s="304">
        <v>10.55133655076256</v>
      </c>
      <c r="T96" s="304">
        <v>11.361906093311513</v>
      </c>
      <c r="U96" s="304"/>
      <c r="V96" s="304">
        <v>6.2182534309539363</v>
      </c>
      <c r="W96" s="304">
        <v>5.8653729356112239</v>
      </c>
      <c r="X96" s="304">
        <v>5.3380407052050272</v>
      </c>
      <c r="Y96" s="304"/>
      <c r="Z96" s="304">
        <v>18.245031314227383</v>
      </c>
      <c r="AA96" s="304">
        <v>19.808484283079586</v>
      </c>
      <c r="AB96" s="304">
        <v>15.334660456644597</v>
      </c>
      <c r="AC96" s="304"/>
      <c r="AD96" s="304">
        <v>18.316063922319557</v>
      </c>
      <c r="AE96" s="304">
        <v>13.918122033390485</v>
      </c>
      <c r="AF96" s="304">
        <v>3.3461567013362239</v>
      </c>
      <c r="AG96" s="304"/>
      <c r="AH96" s="304">
        <v>10.6992025403234</v>
      </c>
      <c r="AI96" s="304">
        <v>5.3994830241803973</v>
      </c>
      <c r="AJ96" s="304">
        <v>0.38621070283833858</v>
      </c>
      <c r="AK96" s="304"/>
      <c r="AL96" s="304">
        <v>1.0286395064414271</v>
      </c>
      <c r="AM96" s="304">
        <v>0.56311463535742012</v>
      </c>
      <c r="AN96" s="304">
        <v>0.132684347583997</v>
      </c>
    </row>
    <row r="97" spans="1:40" x14ac:dyDescent="0.3">
      <c r="A97" s="13" t="str">
        <f t="shared" si="80"/>
        <v>Skilled trades occupations</v>
      </c>
      <c r="B97" s="305">
        <f t="shared" si="82"/>
        <v>8.0900718211425851</v>
      </c>
      <c r="C97" s="305">
        <f t="shared" si="83"/>
        <v>7.7533449375185137</v>
      </c>
      <c r="D97" s="305">
        <f t="shared" si="84"/>
        <v>6.9691304138162975</v>
      </c>
      <c r="E97" s="304"/>
      <c r="F97" s="304">
        <v>7.6574840626152677E-2</v>
      </c>
      <c r="G97" s="304">
        <v>0.10420332285064036</v>
      </c>
      <c r="H97" s="304">
        <v>0.14772090075453415</v>
      </c>
      <c r="I97" s="304"/>
      <c r="J97" s="304">
        <v>0.16130169128151581</v>
      </c>
      <c r="K97" s="304">
        <v>0.24757438340582694</v>
      </c>
      <c r="L97" s="304">
        <v>0.36792375471378175</v>
      </c>
      <c r="M97" s="304"/>
      <c r="N97" s="304">
        <v>0.90694107242049804</v>
      </c>
      <c r="O97" s="304">
        <v>1.1307524634241852</v>
      </c>
      <c r="P97" s="304">
        <v>1.4404444976084985</v>
      </c>
      <c r="Q97" s="304"/>
      <c r="R97" s="304">
        <v>0.43664157083367894</v>
      </c>
      <c r="S97" s="304">
        <v>0.45706294797664104</v>
      </c>
      <c r="T97" s="304">
        <v>0.50807726003249742</v>
      </c>
      <c r="U97" s="304"/>
      <c r="V97" s="304">
        <v>0.40807222173239172</v>
      </c>
      <c r="W97" s="304">
        <v>0.40699018566501893</v>
      </c>
      <c r="X97" s="304">
        <v>0.51589868903015412</v>
      </c>
      <c r="Y97" s="304"/>
      <c r="Z97" s="304">
        <v>1.8001375804169097</v>
      </c>
      <c r="AA97" s="304">
        <v>1.7338868021902807</v>
      </c>
      <c r="AB97" s="304">
        <v>1.5664036558410188</v>
      </c>
      <c r="AC97" s="304"/>
      <c r="AD97" s="304">
        <v>2.7812015229496856</v>
      </c>
      <c r="AE97" s="304">
        <v>2.3087150068018758</v>
      </c>
      <c r="AF97" s="304">
        <v>1.2805233827898064</v>
      </c>
      <c r="AG97" s="304"/>
      <c r="AH97" s="304">
        <v>1.2127954884790006</v>
      </c>
      <c r="AI97" s="304">
        <v>1.1138375611200302</v>
      </c>
      <c r="AJ97" s="304">
        <v>0.97784784195056718</v>
      </c>
      <c r="AK97" s="304"/>
      <c r="AL97" s="304">
        <v>0.30640583240275165</v>
      </c>
      <c r="AM97" s="304">
        <v>0.25032226408401492</v>
      </c>
      <c r="AN97" s="304">
        <v>0.1642904310954387</v>
      </c>
    </row>
    <row r="98" spans="1:40" x14ac:dyDescent="0.3">
      <c r="A98" s="13" t="str">
        <f t="shared" si="80"/>
        <v>Caring, leisure and other service occupations</v>
      </c>
      <c r="B98" s="305">
        <f t="shared" si="82"/>
        <v>196.72706860876099</v>
      </c>
      <c r="C98" s="305">
        <f t="shared" si="83"/>
        <v>213.31769163916545</v>
      </c>
      <c r="D98" s="305">
        <f t="shared" si="84"/>
        <v>237.80636671959752</v>
      </c>
      <c r="E98" s="304"/>
      <c r="F98" s="304">
        <v>0.11408393388816793</v>
      </c>
      <c r="G98" s="304">
        <v>0.17823111949971132</v>
      </c>
      <c r="H98" s="304">
        <v>0.26424326279048649</v>
      </c>
      <c r="I98" s="304"/>
      <c r="J98" s="304">
        <v>6.2192464737487994</v>
      </c>
      <c r="K98" s="304">
        <v>9.1393597494342167</v>
      </c>
      <c r="L98" s="304">
        <v>13.658656577453433</v>
      </c>
      <c r="M98" s="304"/>
      <c r="N98" s="304">
        <v>24.064938680509478</v>
      </c>
      <c r="O98" s="304">
        <v>27.46694881629254</v>
      </c>
      <c r="P98" s="304">
        <v>36.570209308949728</v>
      </c>
      <c r="Q98" s="304"/>
      <c r="R98" s="304">
        <v>20.561179896459503</v>
      </c>
      <c r="S98" s="304">
        <v>20.032795068402049</v>
      </c>
      <c r="T98" s="304">
        <v>21.835146121743751</v>
      </c>
      <c r="U98" s="304"/>
      <c r="V98" s="304">
        <v>13.120055299233858</v>
      </c>
      <c r="W98" s="304">
        <v>13.352422504233276</v>
      </c>
      <c r="X98" s="304">
        <v>16.081426138365924</v>
      </c>
      <c r="Y98" s="304"/>
      <c r="Z98" s="304">
        <v>72.214528384862703</v>
      </c>
      <c r="AA98" s="304">
        <v>82.97819146548747</v>
      </c>
      <c r="AB98" s="304">
        <v>96.874977006445945</v>
      </c>
      <c r="AC98" s="304"/>
      <c r="AD98" s="304">
        <v>52.983535241724901</v>
      </c>
      <c r="AE98" s="304">
        <v>55.973065261291651</v>
      </c>
      <c r="AF98" s="304">
        <v>50.017984581668983</v>
      </c>
      <c r="AG98" s="304"/>
      <c r="AH98" s="304">
        <v>6.5641661153619877</v>
      </c>
      <c r="AI98" s="304">
        <v>3.4419012092280856</v>
      </c>
      <c r="AJ98" s="304">
        <v>1.9803141764762633</v>
      </c>
      <c r="AK98" s="304"/>
      <c r="AL98" s="304">
        <v>0.88533458297157219</v>
      </c>
      <c r="AM98" s="304">
        <v>0.75477644529645316</v>
      </c>
      <c r="AN98" s="304">
        <v>0.52340954570298537</v>
      </c>
    </row>
    <row r="99" spans="1:40" x14ac:dyDescent="0.3">
      <c r="A99" s="13" t="str">
        <f t="shared" si="80"/>
        <v>Sales and customer service occupations</v>
      </c>
      <c r="B99" s="305">
        <f t="shared" si="82"/>
        <v>9.240767614114743</v>
      </c>
      <c r="C99" s="305">
        <f t="shared" si="83"/>
        <v>10.494077766135355</v>
      </c>
      <c r="D99" s="305">
        <f>SUM(H99,L99,P99,T99,X99,AB99,AF99,AJ99,AN99)</f>
        <v>11.039103969790915</v>
      </c>
      <c r="E99" s="304"/>
      <c r="F99" s="304">
        <v>4.0859864112639067E-2</v>
      </c>
      <c r="G99" s="304">
        <v>6.0760403353929328E-2</v>
      </c>
      <c r="H99" s="304">
        <v>8.1985021397445748E-2</v>
      </c>
      <c r="I99" s="304"/>
      <c r="J99" s="304">
        <v>0.73398134260506254</v>
      </c>
      <c r="K99" s="304">
        <v>1.0438249668768611</v>
      </c>
      <c r="L99" s="304">
        <v>1.358151076542865</v>
      </c>
      <c r="M99" s="304"/>
      <c r="N99" s="304">
        <v>2.2998386152113537</v>
      </c>
      <c r="O99" s="304">
        <v>2.6205829336691675</v>
      </c>
      <c r="P99" s="304">
        <v>3.1175052933041525</v>
      </c>
      <c r="Q99" s="304"/>
      <c r="R99" s="304">
        <v>1.2365355239170162</v>
      </c>
      <c r="S99" s="304">
        <v>1.1800459377446617</v>
      </c>
      <c r="T99" s="304">
        <v>1.272617034324498</v>
      </c>
      <c r="U99" s="304"/>
      <c r="V99" s="304">
        <v>0.87013761310365167</v>
      </c>
      <c r="W99" s="304">
        <v>0.95273093972568934</v>
      </c>
      <c r="X99" s="304">
        <v>1.141614452166259</v>
      </c>
      <c r="Y99" s="304"/>
      <c r="Z99" s="304">
        <v>1.75115517798062</v>
      </c>
      <c r="AA99" s="304">
        <v>2.1250012599381267</v>
      </c>
      <c r="AB99" s="304">
        <v>2.2753233728582254</v>
      </c>
      <c r="AC99" s="304"/>
      <c r="AD99" s="304">
        <v>1.6045077458328407</v>
      </c>
      <c r="AE99" s="304">
        <v>1.7722230406563384</v>
      </c>
      <c r="AF99" s="304">
        <v>1.2096396631846009</v>
      </c>
      <c r="AG99" s="304"/>
      <c r="AH99" s="304">
        <v>0.5362021692774448</v>
      </c>
      <c r="AI99" s="304">
        <v>0.52185996610619001</v>
      </c>
      <c r="AJ99" s="304">
        <v>0.32197499381692257</v>
      </c>
      <c r="AK99" s="304"/>
      <c r="AL99" s="304">
        <v>0.16754956207411362</v>
      </c>
      <c r="AM99" s="304">
        <v>0.21704831806439115</v>
      </c>
      <c r="AN99" s="304">
        <v>0.2602930621959445</v>
      </c>
    </row>
    <row r="100" spans="1:40" x14ac:dyDescent="0.3">
      <c r="A100" s="13" t="str">
        <f t="shared" si="80"/>
        <v>Process, plant and machine operatives</v>
      </c>
      <c r="B100" s="305">
        <f t="shared" si="82"/>
        <v>5.2200043451790936</v>
      </c>
      <c r="C100" s="305">
        <f t="shared" si="83"/>
        <v>6.1081181074900304</v>
      </c>
      <c r="D100" s="305">
        <f t="shared" si="84"/>
        <v>5.4412080121015789</v>
      </c>
      <c r="E100" s="304"/>
      <c r="F100" s="304">
        <v>3.9447553777000773E-2</v>
      </c>
      <c r="G100" s="304">
        <v>6.326372082937011E-2</v>
      </c>
      <c r="H100" s="304">
        <v>8.3672361232861259E-2</v>
      </c>
      <c r="I100" s="304"/>
      <c r="J100" s="304">
        <v>0.10480507310570793</v>
      </c>
      <c r="K100" s="304">
        <v>0.18306929066505712</v>
      </c>
      <c r="L100" s="304">
        <v>0.2191206947533155</v>
      </c>
      <c r="M100" s="304"/>
      <c r="N100" s="304">
        <v>0.44673106260443801</v>
      </c>
      <c r="O100" s="304">
        <v>0.58405607130235959</v>
      </c>
      <c r="P100" s="304">
        <v>0.69564931709149613</v>
      </c>
      <c r="Q100" s="304"/>
      <c r="R100" s="304">
        <v>0.19522726959652342</v>
      </c>
      <c r="S100" s="304">
        <v>0.27550664756080351</v>
      </c>
      <c r="T100" s="304">
        <v>0.32949036272325011</v>
      </c>
      <c r="U100" s="304"/>
      <c r="V100" s="304">
        <v>0.49133451973434839</v>
      </c>
      <c r="W100" s="304">
        <v>0.637753137775805</v>
      </c>
      <c r="X100" s="304">
        <v>0.83621698116389276</v>
      </c>
      <c r="Y100" s="304"/>
      <c r="Z100" s="304">
        <v>1.0846479060168166</v>
      </c>
      <c r="AA100" s="304">
        <v>1.3692319882166986</v>
      </c>
      <c r="AB100" s="304">
        <v>1.4256436551027187</v>
      </c>
      <c r="AC100" s="304"/>
      <c r="AD100" s="304">
        <v>1.2648713363683681</v>
      </c>
      <c r="AE100" s="304">
        <v>1.3882084380244215</v>
      </c>
      <c r="AF100" s="304">
        <v>0.86568929651568405</v>
      </c>
      <c r="AG100" s="304"/>
      <c r="AH100" s="304">
        <v>1.3346129495650365</v>
      </c>
      <c r="AI100" s="304">
        <v>1.3462643137330876</v>
      </c>
      <c r="AJ100" s="304">
        <v>0.69271034566261769</v>
      </c>
      <c r="AK100" s="304"/>
      <c r="AL100" s="304">
        <v>0.25832667441085383</v>
      </c>
      <c r="AM100" s="304">
        <v>0.26076449938242718</v>
      </c>
      <c r="AN100" s="304">
        <v>0.29301499785574309</v>
      </c>
    </row>
    <row r="101" spans="1:40" x14ac:dyDescent="0.3">
      <c r="A101" s="38" t="str">
        <f t="shared" si="80"/>
        <v>Elementary occupations</v>
      </c>
      <c r="B101" s="307">
        <f t="shared" si="82"/>
        <v>29.913382880907644</v>
      </c>
      <c r="C101" s="307">
        <f t="shared" si="83"/>
        <v>26.598522885773587</v>
      </c>
      <c r="D101" s="307">
        <f t="shared" si="84"/>
        <v>19.871692102669975</v>
      </c>
      <c r="E101" s="307"/>
      <c r="F101" s="307">
        <v>1.5240585502068735E-2</v>
      </c>
      <c r="G101" s="307">
        <v>2.1195531207002814E-2</v>
      </c>
      <c r="H101" s="307">
        <v>2.1341118329641941E-2</v>
      </c>
      <c r="I101" s="307"/>
      <c r="J101" s="307">
        <v>0.33627972433677938</v>
      </c>
      <c r="K101" s="307">
        <v>0.43723474044610566</v>
      </c>
      <c r="L101" s="307">
        <v>0.6066823889904871</v>
      </c>
      <c r="M101" s="307"/>
      <c r="N101" s="307">
        <v>1.3328471486109139</v>
      </c>
      <c r="O101" s="307">
        <v>1.4447843710184178</v>
      </c>
      <c r="P101" s="307">
        <v>1.880949819848277</v>
      </c>
      <c r="Q101" s="307"/>
      <c r="R101" s="307">
        <v>1.2028571713531226</v>
      </c>
      <c r="S101" s="307">
        <v>1.1969300103137439</v>
      </c>
      <c r="T101" s="307">
        <v>1.3821287228889045</v>
      </c>
      <c r="U101" s="307"/>
      <c r="V101" s="307">
        <v>0.77729337944588006</v>
      </c>
      <c r="W101" s="307">
        <v>0.78078825518134498</v>
      </c>
      <c r="X101" s="307">
        <v>0.87813293098176692</v>
      </c>
      <c r="Y101" s="307"/>
      <c r="Z101" s="307">
        <v>5.9187831276759413</v>
      </c>
      <c r="AA101" s="307">
        <v>6.1647370909996564</v>
      </c>
      <c r="AB101" s="307">
        <v>5.8209054124400543</v>
      </c>
      <c r="AC101" s="307"/>
      <c r="AD101" s="307">
        <v>10.133230723861038</v>
      </c>
      <c r="AE101" s="307">
        <v>9.8079000622783585</v>
      </c>
      <c r="AF101" s="307">
        <v>7.1790846537833133</v>
      </c>
      <c r="AG101" s="307"/>
      <c r="AH101" s="307">
        <v>8.1482484883370621</v>
      </c>
      <c r="AI101" s="307">
        <v>5.8107119330858117</v>
      </c>
      <c r="AJ101" s="307">
        <v>1.3976878604061564</v>
      </c>
      <c r="AK101" s="307"/>
      <c r="AL101" s="307">
        <v>2.04860253178484</v>
      </c>
      <c r="AM101" s="307">
        <v>0.9342408912431448</v>
      </c>
      <c r="AN101" s="307">
        <v>0.70477919500137165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43" orientation="landscape" r:id="rId1"/>
  <headerFooter alignWithMargins="0"/>
  <rowBreaks count="1" manualBreakCount="1">
    <brk id="42" max="39" man="1"/>
  </row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5234375" defaultRowHeight="12.45" x14ac:dyDescent="0.3"/>
  <cols>
    <col min="1" max="1" width="54.69140625" customWidth="1"/>
    <col min="2" max="6" width="8" customWidth="1"/>
    <col min="7" max="7" width="6.69140625" customWidth="1"/>
    <col min="8" max="10" width="10.69140625" customWidth="1"/>
    <col min="11" max="11" width="9.15234375" customWidth="1"/>
    <col min="12" max="12" width="17.53515625" customWidth="1"/>
    <col min="13" max="17" width="8" customWidth="1"/>
    <col min="18" max="18" width="6.69140625" customWidth="1"/>
    <col min="19" max="21" width="10.69140625" customWidth="1"/>
    <col min="23" max="23" width="17.69140625" customWidth="1"/>
    <col min="24" max="28" width="8" customWidth="1"/>
    <col min="29" max="29" width="6.69140625" customWidth="1"/>
    <col min="30" max="32" width="10.69140625" customWidth="1"/>
    <col min="34" max="34" width="17.69140625" customWidth="1"/>
    <col min="35" max="39" width="7" customWidth="1"/>
    <col min="40" max="40" width="6.69140625" customWidth="1"/>
    <col min="41" max="43" width="10.69140625" customWidth="1"/>
    <col min="44" max="44" width="9.15234375" customWidth="1"/>
    <col min="45" max="45" width="17.69140625" customWidth="1"/>
    <col min="46" max="50" width="8" customWidth="1"/>
    <col min="51" max="51" width="6.69140625" customWidth="1"/>
    <col min="52" max="54" width="10.69140625" customWidth="1"/>
    <col min="56" max="56" width="17.69140625" customWidth="1"/>
    <col min="57" max="61" width="8" customWidth="1"/>
    <col min="62" max="62" width="6.69140625" customWidth="1"/>
    <col min="63" max="65" width="10.69140625" customWidth="1"/>
    <col min="67" max="67" width="17.69140625" customWidth="1"/>
    <col min="68" max="72" width="8" customWidth="1"/>
    <col min="73" max="73" width="6.69140625" customWidth="1"/>
    <col min="74" max="76" width="10.69140625" customWidth="1"/>
    <col min="78" max="78" width="17.53515625" customWidth="1"/>
    <col min="79" max="83" width="8" customWidth="1"/>
    <col min="84" max="84" width="5.84375" customWidth="1"/>
    <col min="85" max="87" width="10.69140625" customWidth="1"/>
    <col min="88" max="88" width="5.84375" customWidth="1"/>
    <col min="89" max="89" width="17.69140625" customWidth="1"/>
    <col min="90" max="94" width="8" customWidth="1"/>
    <col min="95" max="95" width="6.84375" customWidth="1"/>
    <col min="96" max="98" width="10.69140625" customWidth="1"/>
  </cols>
  <sheetData>
    <row r="1" spans="1:98" ht="49.5" customHeight="1" x14ac:dyDescent="0.3">
      <c r="A1" s="379" t="str">
        <f>CONCATENATE("Basic Table 2  Employment Change by Occupation and Replacement Demand, ",name!F4,", ",B$6,"-",F$6,", ",Info!B5)</f>
        <v>Basic Table 2  Employment Change by Occupation and Replacement Demand, RQF8 Doctorate, 2015-2035, East</v>
      </c>
      <c r="B1" s="379"/>
      <c r="C1" s="379"/>
      <c r="D1" s="379"/>
      <c r="E1" s="379"/>
      <c r="F1" s="379"/>
      <c r="G1" s="379"/>
      <c r="H1" s="379"/>
      <c r="I1" s="379"/>
      <c r="J1" s="379"/>
      <c r="L1" s="379" t="str">
        <f>CONCATENATE("Basic Table 2.1  Employment Change by Occupation and Replacement Demand, ",name!F5,", ",M$6,"-",Q$6,", ",Info!B5)</f>
        <v>Basic Table 2.1  Employment Change by Occupation and Replacement Demand, RQF7 Other higher degree, 2015-2035, East</v>
      </c>
      <c r="M1" s="379"/>
      <c r="N1" s="379"/>
      <c r="O1" s="379"/>
      <c r="P1" s="379"/>
      <c r="Q1" s="379"/>
      <c r="R1" s="379"/>
      <c r="S1" s="379"/>
      <c r="T1" s="379"/>
      <c r="U1" s="379"/>
      <c r="W1" s="379" t="str">
        <f>CONCATENATE("Basic Table 2.2  Employment Change by Occupation and Replacement Demand, ",name!F6,", ",X$6,"-",AB$6,", ",Info!B5)</f>
        <v>Basic Table 2.2  Employment Change by Occupation and Replacement Demand, RQF6 First degree, 2015-2035, East</v>
      </c>
      <c r="X1" s="379"/>
      <c r="Y1" s="379"/>
      <c r="Z1" s="379"/>
      <c r="AA1" s="379"/>
      <c r="AB1" s="379"/>
      <c r="AC1" s="379"/>
      <c r="AD1" s="379"/>
      <c r="AE1" s="379"/>
      <c r="AF1" s="379"/>
      <c r="AH1" s="379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East</v>
      </c>
      <c r="AI1" s="379"/>
      <c r="AJ1" s="379"/>
      <c r="AK1" s="379"/>
      <c r="AL1" s="379"/>
      <c r="AM1" s="379"/>
      <c r="AN1" s="379"/>
      <c r="AO1" s="379"/>
      <c r="AP1" s="379"/>
      <c r="AQ1" s="379"/>
      <c r="AS1" s="379" t="str">
        <f>CONCATENATE("Basic Table 2.4  Employment Change by Occupation and Replacement Demand, ",name!F8,", ",AT$6,"-",AX$6,", ",Info!B5)</f>
        <v>Basic Table 2.4  Employment Change by Occupation and Replacement Demand, RQF4 HE below degree level, 2015-2035, East</v>
      </c>
      <c r="AT1" s="379"/>
      <c r="AU1" s="379"/>
      <c r="AV1" s="379"/>
      <c r="AW1" s="379"/>
      <c r="AX1" s="379"/>
      <c r="AY1" s="379"/>
      <c r="AZ1" s="379"/>
      <c r="BA1" s="379"/>
      <c r="BB1" s="379"/>
      <c r="BD1" s="379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East</v>
      </c>
      <c r="BE1" s="379"/>
      <c r="BF1" s="379"/>
      <c r="BG1" s="379"/>
      <c r="BH1" s="379"/>
      <c r="BI1" s="379"/>
      <c r="BJ1" s="379"/>
      <c r="BK1" s="379"/>
      <c r="BL1" s="379"/>
      <c r="BM1" s="379"/>
      <c r="BO1" s="379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East</v>
      </c>
      <c r="BP1" s="379"/>
      <c r="BQ1" s="379"/>
      <c r="BR1" s="379"/>
      <c r="BS1" s="379"/>
      <c r="BT1" s="379"/>
      <c r="BU1" s="379"/>
      <c r="BV1" s="379"/>
      <c r="BW1" s="379"/>
      <c r="BX1" s="379"/>
      <c r="BZ1" s="379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East</v>
      </c>
      <c r="CA1" s="379"/>
      <c r="CB1" s="379"/>
      <c r="CC1" s="379"/>
      <c r="CD1" s="379"/>
      <c r="CE1" s="379"/>
      <c r="CF1" s="379"/>
      <c r="CG1" s="379"/>
      <c r="CH1" s="379"/>
      <c r="CI1" s="379"/>
      <c r="CK1" s="379" t="str">
        <f>CONCATENATE("Basic Table 2.8  Employment Change by Occupation and Replacement Demand, ",name!F12,", ",CL$6,"-",CP$6,", ",Info!B5)</f>
        <v>Basic Table 2.8  Employment Change by Occupation and Replacement Demand, No Qualification, 2015-2035, East</v>
      </c>
      <c r="CL1" s="379"/>
      <c r="CM1" s="379"/>
      <c r="CN1" s="379"/>
      <c r="CO1" s="379"/>
      <c r="CP1" s="379"/>
      <c r="CQ1" s="379"/>
      <c r="CR1" s="379"/>
      <c r="CS1" s="379"/>
      <c r="CT1" s="379"/>
    </row>
    <row r="2" spans="1:98" ht="12.75" customHeight="1" x14ac:dyDescent="0.35">
      <c r="A2" s="181" t="s">
        <v>542</v>
      </c>
      <c r="L2" s="85"/>
      <c r="W2" s="85"/>
      <c r="AH2" s="85"/>
      <c r="AS2" s="85"/>
      <c r="BD2" s="85"/>
      <c r="BO2" s="85"/>
      <c r="BZ2" s="85"/>
      <c r="CK2" s="85"/>
    </row>
    <row r="3" spans="1:98" x14ac:dyDescent="0.3">
      <c r="F3" s="15" t="s">
        <v>35</v>
      </c>
      <c r="J3" s="15" t="s">
        <v>35</v>
      </c>
      <c r="Q3" s="15" t="s">
        <v>35</v>
      </c>
      <c r="U3" s="15" t="s">
        <v>35</v>
      </c>
      <c r="AB3" s="15" t="s">
        <v>35</v>
      </c>
      <c r="AF3" s="15" t="s">
        <v>35</v>
      </c>
      <c r="AM3" s="15" t="s">
        <v>35</v>
      </c>
      <c r="AQ3" s="15" t="s">
        <v>35</v>
      </c>
      <c r="AX3" s="15" t="s">
        <v>35</v>
      </c>
      <c r="BB3" s="15" t="s">
        <v>35</v>
      </c>
      <c r="BI3" s="15" t="s">
        <v>35</v>
      </c>
      <c r="BM3" s="15" t="s">
        <v>35</v>
      </c>
      <c r="BT3" s="15" t="s">
        <v>35</v>
      </c>
      <c r="BX3" s="15" t="s">
        <v>35</v>
      </c>
      <c r="CE3" s="15" t="s">
        <v>35</v>
      </c>
      <c r="CI3" s="15" t="s">
        <v>35</v>
      </c>
      <c r="CP3" s="15" t="s">
        <v>35</v>
      </c>
      <c r="CT3" s="15" t="s">
        <v>35</v>
      </c>
    </row>
    <row r="4" spans="1:98" x14ac:dyDescent="0.3">
      <c r="A4" s="35"/>
      <c r="B4" s="35"/>
      <c r="C4" s="35"/>
      <c r="D4" s="35"/>
      <c r="E4" s="35"/>
      <c r="F4" s="35"/>
      <c r="H4" s="27" t="str">
        <f>CONCATENATE(D6,"-",F6)</f>
        <v>2020-2035</v>
      </c>
      <c r="I4" s="35"/>
      <c r="J4" s="35"/>
      <c r="L4" s="35"/>
      <c r="M4" s="35"/>
      <c r="N4" s="35"/>
      <c r="O4" s="35"/>
      <c r="P4" s="35"/>
      <c r="Q4" s="35"/>
      <c r="S4" s="27" t="str">
        <f>H4</f>
        <v>2020-2035</v>
      </c>
      <c r="T4" s="35"/>
      <c r="U4" s="35"/>
      <c r="W4" s="35"/>
      <c r="X4" s="35"/>
      <c r="Y4" s="35"/>
      <c r="Z4" s="35"/>
      <c r="AA4" s="35"/>
      <c r="AB4" s="35"/>
      <c r="AD4" s="27" t="str">
        <f>S4</f>
        <v>2020-2035</v>
      </c>
      <c r="AE4" s="35"/>
      <c r="AF4" s="35"/>
      <c r="AH4" s="35"/>
      <c r="AI4" s="35"/>
      <c r="AJ4" s="35"/>
      <c r="AK4" s="35"/>
      <c r="AL4" s="35"/>
      <c r="AM4" s="35"/>
      <c r="AO4" s="27" t="str">
        <f>AD4</f>
        <v>2020-2035</v>
      </c>
      <c r="AP4" s="35"/>
      <c r="AQ4" s="35"/>
      <c r="AS4" s="35"/>
      <c r="AT4" s="35"/>
      <c r="AU4" s="35"/>
      <c r="AV4" s="35"/>
      <c r="AW4" s="35"/>
      <c r="AX4" s="35"/>
      <c r="AZ4" s="27" t="str">
        <f>AO4</f>
        <v>2020-2035</v>
      </c>
      <c r="BA4" s="35"/>
      <c r="BB4" s="35"/>
      <c r="BD4" s="35"/>
      <c r="BE4" s="35"/>
      <c r="BF4" s="35"/>
      <c r="BG4" s="35"/>
      <c r="BH4" s="35"/>
      <c r="BI4" s="35"/>
      <c r="BK4" s="27" t="str">
        <f>AZ4</f>
        <v>2020-2035</v>
      </c>
      <c r="BL4" s="35"/>
      <c r="BM4" s="35"/>
      <c r="BO4" s="35"/>
      <c r="BP4" s="35"/>
      <c r="BQ4" s="35"/>
      <c r="BR4" s="35"/>
      <c r="BS4" s="35"/>
      <c r="BT4" s="35"/>
      <c r="BV4" s="27" t="str">
        <f>BK4</f>
        <v>2020-2035</v>
      </c>
      <c r="BW4" s="35"/>
      <c r="BX4" s="35"/>
      <c r="BZ4" s="35"/>
      <c r="CA4" s="35"/>
      <c r="CB4" s="35"/>
      <c r="CC4" s="35"/>
      <c r="CD4" s="35"/>
      <c r="CE4" s="35"/>
      <c r="CG4" s="27" t="str">
        <f>BV4</f>
        <v>2020-2035</v>
      </c>
      <c r="CH4" s="35"/>
      <c r="CI4" s="35"/>
      <c r="CK4" s="35"/>
      <c r="CL4" s="35"/>
      <c r="CM4" s="35"/>
      <c r="CN4" s="35"/>
      <c r="CO4" s="35"/>
      <c r="CP4" s="35"/>
      <c r="CR4" s="27" t="str">
        <f>CG4</f>
        <v>2020-2035</v>
      </c>
      <c r="CS4" s="35"/>
      <c r="CT4" s="35"/>
    </row>
    <row r="5" spans="1:98" x14ac:dyDescent="0.3">
      <c r="H5" s="15" t="s">
        <v>29</v>
      </c>
      <c r="I5" s="15" t="s">
        <v>30</v>
      </c>
      <c r="J5" s="15" t="s">
        <v>32</v>
      </c>
      <c r="S5" s="15" t="s">
        <v>29</v>
      </c>
      <c r="T5" s="15" t="s">
        <v>30</v>
      </c>
      <c r="U5" s="15" t="s">
        <v>32</v>
      </c>
      <c r="AD5" s="15" t="s">
        <v>29</v>
      </c>
      <c r="AE5" s="15" t="s">
        <v>30</v>
      </c>
      <c r="AF5" s="15" t="s">
        <v>32</v>
      </c>
      <c r="AO5" s="15" t="s">
        <v>29</v>
      </c>
      <c r="AP5" s="15" t="s">
        <v>30</v>
      </c>
      <c r="AQ5" s="15" t="s">
        <v>32</v>
      </c>
      <c r="AZ5" s="15" t="s">
        <v>29</v>
      </c>
      <c r="BA5" s="15" t="s">
        <v>30</v>
      </c>
      <c r="BB5" s="15" t="s">
        <v>32</v>
      </c>
      <c r="BK5" s="15" t="s">
        <v>29</v>
      </c>
      <c r="BL5" s="15" t="s">
        <v>30</v>
      </c>
      <c r="BM5" s="15" t="s">
        <v>32</v>
      </c>
      <c r="BV5" s="15" t="s">
        <v>29</v>
      </c>
      <c r="BW5" s="15" t="s">
        <v>30</v>
      </c>
      <c r="BX5" s="15" t="s">
        <v>32</v>
      </c>
      <c r="CG5" s="15" t="s">
        <v>29</v>
      </c>
      <c r="CH5" s="15" t="s">
        <v>30</v>
      </c>
      <c r="CI5" s="15" t="s">
        <v>32</v>
      </c>
      <c r="CR5" s="15" t="s">
        <v>29</v>
      </c>
      <c r="CS5" s="15" t="s">
        <v>30</v>
      </c>
      <c r="CT5" s="15" t="s">
        <v>32</v>
      </c>
    </row>
    <row r="6" spans="1:98" x14ac:dyDescent="0.3">
      <c r="A6" s="40" t="s">
        <v>13</v>
      </c>
      <c r="B6" s="34">
        <v>2015</v>
      </c>
      <c r="C6" s="34">
        <v>2019</v>
      </c>
      <c r="D6" s="34">
        <v>2020</v>
      </c>
      <c r="E6" s="34">
        <v>2025</v>
      </c>
      <c r="F6" s="34">
        <v>2035</v>
      </c>
      <c r="H6" s="62" t="s">
        <v>18</v>
      </c>
      <c r="I6" s="62" t="s">
        <v>31</v>
      </c>
      <c r="J6" s="62" t="s">
        <v>33</v>
      </c>
      <c r="L6" s="40" t="s">
        <v>13</v>
      </c>
      <c r="M6" s="34">
        <f>B6</f>
        <v>2015</v>
      </c>
      <c r="N6" s="34">
        <f t="shared" ref="N6:Q6" si="0">C6</f>
        <v>2019</v>
      </c>
      <c r="O6" s="34">
        <f t="shared" si="0"/>
        <v>2020</v>
      </c>
      <c r="P6" s="34">
        <f t="shared" si="0"/>
        <v>2025</v>
      </c>
      <c r="Q6" s="34">
        <f t="shared" si="0"/>
        <v>2035</v>
      </c>
      <c r="S6" s="62" t="s">
        <v>18</v>
      </c>
      <c r="T6" s="62" t="s">
        <v>31</v>
      </c>
      <c r="U6" s="62" t="s">
        <v>33</v>
      </c>
      <c r="W6" s="40" t="s">
        <v>13</v>
      </c>
      <c r="X6" s="34">
        <f>M6</f>
        <v>2015</v>
      </c>
      <c r="Y6" s="34">
        <f t="shared" ref="Y6:AB6" si="1">N6</f>
        <v>2019</v>
      </c>
      <c r="Z6" s="34">
        <f t="shared" si="1"/>
        <v>2020</v>
      </c>
      <c r="AA6" s="34">
        <f t="shared" si="1"/>
        <v>2025</v>
      </c>
      <c r="AB6" s="34">
        <f t="shared" si="1"/>
        <v>2035</v>
      </c>
      <c r="AD6" s="62" t="s">
        <v>18</v>
      </c>
      <c r="AE6" s="62" t="s">
        <v>31</v>
      </c>
      <c r="AF6" s="62" t="s">
        <v>33</v>
      </c>
      <c r="AH6" s="40" t="s">
        <v>13</v>
      </c>
      <c r="AI6" s="34">
        <f>X6</f>
        <v>2015</v>
      </c>
      <c r="AJ6" s="34">
        <f t="shared" ref="AJ6" si="2">Y6</f>
        <v>2019</v>
      </c>
      <c r="AK6" s="34">
        <f t="shared" ref="AK6" si="3">Z6</f>
        <v>2020</v>
      </c>
      <c r="AL6" s="34">
        <f t="shared" ref="AL6" si="4">AA6</f>
        <v>2025</v>
      </c>
      <c r="AM6" s="34">
        <f t="shared" ref="AM6" si="5">AB6</f>
        <v>2035</v>
      </c>
      <c r="AO6" s="62" t="s">
        <v>18</v>
      </c>
      <c r="AP6" s="62" t="s">
        <v>31</v>
      </c>
      <c r="AQ6" s="62" t="s">
        <v>33</v>
      </c>
      <c r="AS6" s="40" t="s">
        <v>13</v>
      </c>
      <c r="AT6" s="34">
        <f>AI6</f>
        <v>2015</v>
      </c>
      <c r="AU6" s="34">
        <f t="shared" ref="AU6" si="6">AJ6</f>
        <v>2019</v>
      </c>
      <c r="AV6" s="34">
        <f t="shared" ref="AV6" si="7">AK6</f>
        <v>2020</v>
      </c>
      <c r="AW6" s="34">
        <f t="shared" ref="AW6" si="8">AL6</f>
        <v>2025</v>
      </c>
      <c r="AX6" s="34">
        <f t="shared" ref="AX6" si="9">AM6</f>
        <v>2035</v>
      </c>
      <c r="AZ6" s="62" t="s">
        <v>18</v>
      </c>
      <c r="BA6" s="62" t="s">
        <v>31</v>
      </c>
      <c r="BB6" s="62" t="s">
        <v>33</v>
      </c>
      <c r="BD6" s="40" t="s">
        <v>13</v>
      </c>
      <c r="BE6" s="34">
        <f>AT6</f>
        <v>2015</v>
      </c>
      <c r="BF6" s="34">
        <f t="shared" ref="BF6" si="10">AU6</f>
        <v>2019</v>
      </c>
      <c r="BG6" s="34">
        <f t="shared" ref="BG6" si="11">AV6</f>
        <v>2020</v>
      </c>
      <c r="BH6" s="34">
        <f t="shared" ref="BH6" si="12">AW6</f>
        <v>2025</v>
      </c>
      <c r="BI6" s="34">
        <f t="shared" ref="BI6" si="13">AX6</f>
        <v>2035</v>
      </c>
      <c r="BK6" s="62" t="s">
        <v>18</v>
      </c>
      <c r="BL6" s="62" t="s">
        <v>31</v>
      </c>
      <c r="BM6" s="62" t="s">
        <v>33</v>
      </c>
      <c r="BO6" s="40" t="s">
        <v>13</v>
      </c>
      <c r="BP6" s="34">
        <f>BE6</f>
        <v>2015</v>
      </c>
      <c r="BQ6" s="34">
        <f t="shared" ref="BQ6" si="14">BF6</f>
        <v>2019</v>
      </c>
      <c r="BR6" s="34">
        <f t="shared" ref="BR6" si="15">BG6</f>
        <v>2020</v>
      </c>
      <c r="BS6" s="34">
        <f t="shared" ref="BS6" si="16">BH6</f>
        <v>2025</v>
      </c>
      <c r="BT6" s="34">
        <f t="shared" ref="BT6" si="17">BI6</f>
        <v>2035</v>
      </c>
      <c r="BV6" s="62" t="s">
        <v>18</v>
      </c>
      <c r="BW6" s="62" t="s">
        <v>31</v>
      </c>
      <c r="BX6" s="62" t="s">
        <v>33</v>
      </c>
      <c r="BZ6" s="40" t="s">
        <v>13</v>
      </c>
      <c r="CA6" s="34">
        <f>BP6</f>
        <v>2015</v>
      </c>
      <c r="CB6" s="34">
        <f t="shared" ref="CB6" si="18">BQ6</f>
        <v>2019</v>
      </c>
      <c r="CC6" s="34">
        <f t="shared" ref="CC6" si="19">BR6</f>
        <v>2020</v>
      </c>
      <c r="CD6" s="34">
        <f t="shared" ref="CD6" si="20">BS6</f>
        <v>2025</v>
      </c>
      <c r="CE6" s="34">
        <f t="shared" ref="CE6" si="21">BT6</f>
        <v>2035</v>
      </c>
      <c r="CG6" s="62" t="s">
        <v>18</v>
      </c>
      <c r="CH6" s="62" t="s">
        <v>31</v>
      </c>
      <c r="CI6" s="62" t="s">
        <v>33</v>
      </c>
      <c r="CK6" s="40" t="s">
        <v>13</v>
      </c>
      <c r="CL6" s="34">
        <f>CA6</f>
        <v>2015</v>
      </c>
      <c r="CM6" s="34">
        <f t="shared" ref="CM6" si="22">CB6</f>
        <v>2019</v>
      </c>
      <c r="CN6" s="34">
        <f t="shared" ref="CN6" si="23">CC6</f>
        <v>2020</v>
      </c>
      <c r="CO6" s="34">
        <f t="shared" ref="CO6" si="24">CD6</f>
        <v>2025</v>
      </c>
      <c r="CP6" s="34">
        <f t="shared" ref="CP6" si="25">CE6</f>
        <v>2035</v>
      </c>
      <c r="CR6" s="62" t="s">
        <v>18</v>
      </c>
      <c r="CS6" s="62" t="s">
        <v>31</v>
      </c>
      <c r="CT6" s="62" t="s">
        <v>33</v>
      </c>
    </row>
    <row r="8" spans="1:98" x14ac:dyDescent="0.3">
      <c r="A8" s="10" t="str">
        <f>name!D4</f>
        <v>11 Corporate managers and directors</v>
      </c>
      <c r="B8" s="68">
        <v>2.664944924840384</v>
      </c>
      <c r="C8" s="68">
        <v>3.5491233506554183</v>
      </c>
      <c r="D8" s="68">
        <v>3.6048094510627395</v>
      </c>
      <c r="E8" s="68">
        <v>4.2159966988166335</v>
      </c>
      <c r="F8" s="68">
        <v>5.5499208332365093</v>
      </c>
      <c r="G8" s="10"/>
      <c r="H8" s="68">
        <f>F8-D8</f>
        <v>1.9451113821737698</v>
      </c>
      <c r="I8" s="68">
        <f>'RD T1'!E36</f>
        <v>2.4890346147142708</v>
      </c>
      <c r="J8" s="68">
        <f>SUM(H8:I8)</f>
        <v>4.4341459968880406</v>
      </c>
      <c r="L8" t="str">
        <f>A8</f>
        <v>11 Corporate managers and directors</v>
      </c>
      <c r="M8" s="68">
        <v>20.779832744219938</v>
      </c>
      <c r="N8" s="68">
        <v>28.593843679416292</v>
      </c>
      <c r="O8" s="68">
        <v>27.658011749627089</v>
      </c>
      <c r="P8" s="68">
        <v>32.227695011307951</v>
      </c>
      <c r="Q8" s="68">
        <v>42.741537129602186</v>
      </c>
      <c r="R8" s="10"/>
      <c r="S8" s="68">
        <f>Q8-O8</f>
        <v>15.083525379975097</v>
      </c>
      <c r="T8" s="68">
        <f>'RD T1'!E65</f>
        <v>19.161544870586287</v>
      </c>
      <c r="U8" s="68">
        <f>SUM(S8:T8)</f>
        <v>34.245070250561383</v>
      </c>
      <c r="W8" t="str">
        <f>A8</f>
        <v>11 Corporate managers and directors</v>
      </c>
      <c r="X8" s="68">
        <v>55.662093490947498</v>
      </c>
      <c r="Y8" s="68">
        <v>67.421083689527563</v>
      </c>
      <c r="Z8" s="68">
        <v>71.799136780098451</v>
      </c>
      <c r="AA8" s="68">
        <v>68.82776031523845</v>
      </c>
      <c r="AB8" s="68">
        <v>83.417166062565656</v>
      </c>
      <c r="AC8" s="68"/>
      <c r="AD8" s="68">
        <f>AB8-Z8</f>
        <v>11.618029282467205</v>
      </c>
      <c r="AE8" s="68">
        <f>'RD T1'!E94</f>
        <v>42.558206618552418</v>
      </c>
      <c r="AF8" s="68">
        <f>SUM(AD8:AE8)</f>
        <v>54.176235901019623</v>
      </c>
      <c r="AH8" t="str">
        <f>L8</f>
        <v>11 Corporate managers and directors</v>
      </c>
      <c r="AI8" s="68">
        <v>10.787963816019873</v>
      </c>
      <c r="AJ8" s="68">
        <v>12.070623944545607</v>
      </c>
      <c r="AK8" s="68">
        <v>13.638266358889565</v>
      </c>
      <c r="AL8" s="68">
        <v>12.301275419437758</v>
      </c>
      <c r="AM8" s="68">
        <v>14.16513300855069</v>
      </c>
      <c r="AN8" s="68"/>
      <c r="AO8" s="68">
        <f>AM8-AK8</f>
        <v>0.52686664966112495</v>
      </c>
      <c r="AP8" s="68">
        <f>'RD T1'!E123</f>
        <v>6.9455312456625808</v>
      </c>
      <c r="AQ8" s="68">
        <f>SUM(AO8:AP8)</f>
        <v>7.4723978953237058</v>
      </c>
      <c r="AS8" t="str">
        <f>W8</f>
        <v>11 Corporate managers and directors</v>
      </c>
      <c r="AT8" s="68">
        <v>16.510124742990399</v>
      </c>
      <c r="AU8" s="68">
        <v>18.497028721050523</v>
      </c>
      <c r="AV8" s="68">
        <v>20.965137881834394</v>
      </c>
      <c r="AW8" s="68">
        <v>19.036763418785227</v>
      </c>
      <c r="AX8" s="68">
        <v>22.255111968643106</v>
      </c>
      <c r="AY8" s="68"/>
      <c r="AZ8" s="68">
        <f>AX8-AV8</f>
        <v>1.2899740868087122</v>
      </c>
      <c r="BA8" s="68">
        <f>'RD T1'!E152</f>
        <v>10.836943532618779</v>
      </c>
      <c r="BB8" s="68">
        <f>SUM(AZ8:BA8)</f>
        <v>12.126917619427491</v>
      </c>
      <c r="BD8" t="str">
        <f>AH8</f>
        <v>11 Corporate managers and directors</v>
      </c>
      <c r="BE8" s="68">
        <v>41.057883747634591</v>
      </c>
      <c r="BF8" s="68">
        <v>48.081542279800068</v>
      </c>
      <c r="BG8" s="68">
        <v>46.459644332484118</v>
      </c>
      <c r="BH8" s="68">
        <v>44.021027173007127</v>
      </c>
      <c r="BI8" s="68">
        <v>49.067230663606971</v>
      </c>
      <c r="BJ8" s="68"/>
      <c r="BK8" s="68">
        <f>BI8-BG8</f>
        <v>2.6075863311228531</v>
      </c>
      <c r="BL8" s="68">
        <f>'RD T1'!E181</f>
        <v>20.56555732231736</v>
      </c>
      <c r="BM8" s="68">
        <f>SUM(BK8:BL8)</f>
        <v>23.173143653440214</v>
      </c>
      <c r="BO8" t="str">
        <f>AS8</f>
        <v>11 Corporate managers and directors</v>
      </c>
      <c r="BP8" s="68">
        <v>36.329599402121723</v>
      </c>
      <c r="BQ8" s="68">
        <v>38.404335322014774</v>
      </c>
      <c r="BR8" s="68">
        <v>40.061581601925873</v>
      </c>
      <c r="BS8" s="68">
        <v>32.715049120580964</v>
      </c>
      <c r="BT8" s="68">
        <v>27.507068549837534</v>
      </c>
      <c r="BU8" s="68"/>
      <c r="BV8" s="68">
        <f>BT8-BR8</f>
        <v>-12.554513052088339</v>
      </c>
      <c r="BW8" s="68">
        <f>'RD T1'!E210</f>
        <v>14.818991024978097</v>
      </c>
      <c r="BX8" s="68">
        <f>SUM(BV8:BW8)</f>
        <v>2.2644779728897575</v>
      </c>
      <c r="BZ8" t="str">
        <f>BD8</f>
        <v>11 Corporate managers and directors</v>
      </c>
      <c r="CA8" s="68">
        <v>26.52836137561361</v>
      </c>
      <c r="CB8" s="68">
        <v>28.827789255472268</v>
      </c>
      <c r="CC8" s="68">
        <v>27.641370471428797</v>
      </c>
      <c r="CD8" s="68">
        <v>24.7503663955356</v>
      </c>
      <c r="CE8" s="68">
        <v>20.357706325335851</v>
      </c>
      <c r="CF8" s="68"/>
      <c r="CG8" s="68">
        <f>CE8-CC8</f>
        <v>-7.2836641460929457</v>
      </c>
      <c r="CH8" s="68">
        <f>'RD T1'!E239</f>
        <v>10.541541681973305</v>
      </c>
      <c r="CI8" s="68">
        <f>SUM(CG8:CH8)</f>
        <v>3.2578775358803593</v>
      </c>
      <c r="CK8" t="str">
        <f>BO8</f>
        <v>11 Corporate managers and directors</v>
      </c>
      <c r="CL8" s="68">
        <v>4.7509547570244424</v>
      </c>
      <c r="CM8" s="68">
        <v>5.8865193433035623</v>
      </c>
      <c r="CN8" s="68">
        <v>4.5923158904543309</v>
      </c>
      <c r="CO8" s="68">
        <v>3.7308152349027397</v>
      </c>
      <c r="CP8" s="68">
        <v>3.3116640995294859</v>
      </c>
      <c r="CQ8" s="68"/>
      <c r="CR8" s="68">
        <f>CP8-CN8</f>
        <v>-1.2806517909248449</v>
      </c>
      <c r="CS8" s="68">
        <f>'RD T1'!E268</f>
        <v>1.0941094056571237</v>
      </c>
      <c r="CT8" s="68">
        <f>SUM(CR8:CS8)</f>
        <v>-0.18654238526772127</v>
      </c>
    </row>
    <row r="9" spans="1:98" x14ac:dyDescent="0.3">
      <c r="A9" s="10" t="str">
        <f>name!D5</f>
        <v>12 Other managers and proprietors</v>
      </c>
      <c r="B9" s="68">
        <v>1.052989928906829</v>
      </c>
      <c r="C9" s="68">
        <v>1.2784346642384494</v>
      </c>
      <c r="D9" s="68">
        <v>1.2351249870149699</v>
      </c>
      <c r="E9" s="68">
        <v>1.9663154396398619</v>
      </c>
      <c r="F9" s="68">
        <v>2.7858570908901177</v>
      </c>
      <c r="H9" s="68">
        <f>F9-D9</f>
        <v>1.5507321038751478</v>
      </c>
      <c r="I9" s="68">
        <f>'RD T1'!E37</f>
        <v>1.3442794166436625</v>
      </c>
      <c r="J9" s="68">
        <f t="shared" ref="J9:J32" si="26">SUM(H9:I9)</f>
        <v>2.8950115205188105</v>
      </c>
      <c r="L9" t="str">
        <f t="shared" ref="L9:L32" si="27">A9</f>
        <v>12 Other managers and proprietors</v>
      </c>
      <c r="M9" s="68">
        <v>8.2055880132856984</v>
      </c>
      <c r="N9" s="68">
        <v>10.667810124486877</v>
      </c>
      <c r="O9" s="68">
        <v>10.340077863742406</v>
      </c>
      <c r="P9" s="68">
        <v>15.982511343049545</v>
      </c>
      <c r="Q9" s="68">
        <v>23.047019307980758</v>
      </c>
      <c r="S9" s="68">
        <f t="shared" ref="S9:S32" si="28">Q9-O9</f>
        <v>12.706941444238351</v>
      </c>
      <c r="T9" s="68">
        <f>'RD T1'!E66</f>
        <v>10.867577165717991</v>
      </c>
      <c r="U9" s="68">
        <f t="shared" ref="U9:U32" si="29">SUM(S9:T9)</f>
        <v>23.574518609956343</v>
      </c>
      <c r="W9" t="str">
        <f t="shared" ref="W9:W32" si="30">A9</f>
        <v>12 Other managers and proprietors</v>
      </c>
      <c r="X9" s="68">
        <v>20.740216296218936</v>
      </c>
      <c r="Y9" s="68">
        <v>22.280078491327714</v>
      </c>
      <c r="Z9" s="68">
        <v>24.761523352888531</v>
      </c>
      <c r="AA9" s="68">
        <v>31.210707021183886</v>
      </c>
      <c r="AB9" s="68">
        <v>40.32656994512493</v>
      </c>
      <c r="AC9" s="68"/>
      <c r="AD9" s="68">
        <f t="shared" ref="AD9:AD32" si="31">AB9-Z9</f>
        <v>15.565046592236399</v>
      </c>
      <c r="AE9" s="68">
        <f>'RD T1'!E95</f>
        <v>21.358441728361178</v>
      </c>
      <c r="AF9" s="68">
        <f t="shared" ref="AF9:AF32" si="32">SUM(AD9:AE9)</f>
        <v>36.923488320597578</v>
      </c>
      <c r="AH9" t="str">
        <f t="shared" ref="AH9:AH32" si="33">L9</f>
        <v>12 Other managers and proprietors</v>
      </c>
      <c r="AI9" s="68">
        <v>6.0305817741536352</v>
      </c>
      <c r="AJ9" s="68">
        <v>6.6422782532642586</v>
      </c>
      <c r="AK9" s="68">
        <v>7.9087874812888046</v>
      </c>
      <c r="AL9" s="68">
        <v>9.4720350363205661</v>
      </c>
      <c r="AM9" s="68">
        <v>12.289130481754635</v>
      </c>
      <c r="AN9" s="68"/>
      <c r="AO9" s="68">
        <f t="shared" ref="AO9:AO32" si="34">AM9-AK9</f>
        <v>4.3803430004658299</v>
      </c>
      <c r="AP9" s="68">
        <f>'RD T1'!E124</f>
        <v>6.6726469117717828</v>
      </c>
      <c r="AQ9" s="68">
        <f t="shared" ref="AQ9:AQ32" si="35">SUM(AO9:AP9)</f>
        <v>11.052989912237614</v>
      </c>
      <c r="AS9" t="str">
        <f t="shared" ref="AS9:AS32" si="36">W9</f>
        <v>12 Other managers and proprietors</v>
      </c>
      <c r="AT9" s="68">
        <v>6.613422973344667</v>
      </c>
      <c r="AU9" s="68">
        <v>7.0701872147309954</v>
      </c>
      <c r="AV9" s="68">
        <v>7.9620684645663982</v>
      </c>
      <c r="AW9" s="68">
        <v>10.0145327960381</v>
      </c>
      <c r="AX9" s="68">
        <v>12.673612183752898</v>
      </c>
      <c r="AY9" s="68"/>
      <c r="AZ9" s="68">
        <f t="shared" ref="AZ9:AZ32" si="37">AX9-AV9</f>
        <v>4.7115437191864995</v>
      </c>
      <c r="BA9" s="68">
        <f>'RD T1'!E153</f>
        <v>6.4163159113034709</v>
      </c>
      <c r="BB9" s="68">
        <f t="shared" ref="BB9:BB32" si="38">SUM(AZ9:BA9)</f>
        <v>11.12785963048997</v>
      </c>
      <c r="BD9" t="str">
        <f t="shared" ref="BD9:BD32" si="39">AH9</f>
        <v>12 Other managers and proprietors</v>
      </c>
      <c r="BE9" s="68">
        <v>20.163790162326272</v>
      </c>
      <c r="BF9" s="68">
        <v>20.028129371751092</v>
      </c>
      <c r="BG9" s="68">
        <v>18.82818058482712</v>
      </c>
      <c r="BH9" s="68">
        <v>23.648576893965739</v>
      </c>
      <c r="BI9" s="68">
        <v>26.605495430586679</v>
      </c>
      <c r="BJ9" s="68"/>
      <c r="BK9" s="68">
        <f t="shared" ref="BK9:BK32" si="40">BI9-BG9</f>
        <v>7.7773148457595589</v>
      </c>
      <c r="BL9" s="68">
        <f>'RD T1'!E182</f>
        <v>11.864767311181131</v>
      </c>
      <c r="BM9" s="68">
        <f t="shared" ref="BM9:BM32" si="41">SUM(BK9:BL9)</f>
        <v>19.642082156940688</v>
      </c>
      <c r="BO9" t="str">
        <f t="shared" ref="BO9:BO32" si="42">AS9</f>
        <v>12 Other managers and proprietors</v>
      </c>
      <c r="BP9" s="68">
        <v>20.954430061951694</v>
      </c>
      <c r="BQ9" s="68">
        <v>21.38163556725231</v>
      </c>
      <c r="BR9" s="68">
        <v>21.045752294136875</v>
      </c>
      <c r="BS9" s="68">
        <v>24.676994537454906</v>
      </c>
      <c r="BT9" s="68">
        <v>24.240439577661213</v>
      </c>
      <c r="BU9" s="68"/>
      <c r="BV9" s="68">
        <f t="shared" ref="BV9:BV32" si="43">BT9-BR9</f>
        <v>3.1946872835243383</v>
      </c>
      <c r="BW9" s="68">
        <f>'RD T1'!E211</f>
        <v>13.399645051609298</v>
      </c>
      <c r="BX9" s="68">
        <f t="shared" ref="BX9:BX32" si="44">SUM(BV9:BW9)</f>
        <v>16.594332335133636</v>
      </c>
      <c r="BZ9" t="str">
        <f t="shared" ref="BZ9:BZ32" si="45">BD9</f>
        <v>12 Other managers and proprietors</v>
      </c>
      <c r="CA9" s="68">
        <v>13.837214678601669</v>
      </c>
      <c r="CB9" s="68">
        <v>13.286954081100603</v>
      </c>
      <c r="CC9" s="68">
        <v>12.583463346333987</v>
      </c>
      <c r="CD9" s="68">
        <v>13.714898321562123</v>
      </c>
      <c r="CE9" s="68">
        <v>11.59185331534866</v>
      </c>
      <c r="CF9" s="68"/>
      <c r="CG9" s="68">
        <f t="shared" ref="CG9:CG32" si="46">CE9-CC9</f>
        <v>-0.99161003098532774</v>
      </c>
      <c r="CH9" s="68">
        <f>'RD T1'!E240</f>
        <v>5.9855353633227724</v>
      </c>
      <c r="CI9" s="68">
        <f t="shared" ref="CI9:CI32" si="47">SUM(CG9:CH9)</f>
        <v>4.9939253323374446</v>
      </c>
      <c r="CK9" t="str">
        <f t="shared" ref="CK9:CK32" si="48">BO9</f>
        <v>12 Other managers and proprietors</v>
      </c>
      <c r="CL9" s="68">
        <v>4.6292191425955371</v>
      </c>
      <c r="CM9" s="68">
        <v>4.8787643940870433</v>
      </c>
      <c r="CN9" s="68">
        <v>3.790351215182119</v>
      </c>
      <c r="CO9" s="68">
        <v>4.6783583803931972</v>
      </c>
      <c r="CP9" s="68">
        <v>4.1205603423224204</v>
      </c>
      <c r="CQ9" s="68"/>
      <c r="CR9" s="68">
        <f t="shared" ref="CR9:CR32" si="49">CP9-CN9</f>
        <v>0.33020912714030137</v>
      </c>
      <c r="CS9" s="68">
        <f>'RD T1'!E269</f>
        <v>1.4790852301741753</v>
      </c>
      <c r="CT9" s="68">
        <f t="shared" ref="CT9:CT32" si="50">SUM(CR9:CS9)</f>
        <v>1.8092943573144766</v>
      </c>
    </row>
    <row r="10" spans="1:98" x14ac:dyDescent="0.3">
      <c r="A10" s="10" t="str">
        <f>name!D6</f>
        <v>21 Science, research, engineering and technology professionals</v>
      </c>
      <c r="B10" s="68">
        <v>8.5626080056289666</v>
      </c>
      <c r="C10" s="68">
        <v>10.558309466848069</v>
      </c>
      <c r="D10" s="68">
        <v>10.323616832205884</v>
      </c>
      <c r="E10" s="68">
        <v>12.831392737040371</v>
      </c>
      <c r="F10" s="68">
        <v>15.997156622275963</v>
      </c>
      <c r="G10" s="11"/>
      <c r="H10" s="68">
        <f t="shared" ref="H10:H32" si="51">F10-D10</f>
        <v>5.6735397900700786</v>
      </c>
      <c r="I10" s="68">
        <f>'RD T1'!E38</f>
        <v>5.2901023556484468</v>
      </c>
      <c r="J10" s="68">
        <f t="shared" si="26"/>
        <v>10.963642145718525</v>
      </c>
      <c r="L10" t="str">
        <f t="shared" si="27"/>
        <v>21 Science, research, engineering and technology professionals</v>
      </c>
      <c r="M10" s="68">
        <v>30.511804233840369</v>
      </c>
      <c r="N10" s="68">
        <v>39.237643604544033</v>
      </c>
      <c r="O10" s="68">
        <v>40.414660443414377</v>
      </c>
      <c r="P10" s="68">
        <v>51.991432400110874</v>
      </c>
      <c r="Q10" s="68">
        <v>67.45517691023224</v>
      </c>
      <c r="R10" s="11"/>
      <c r="S10" s="68">
        <f t="shared" si="28"/>
        <v>27.040516466817863</v>
      </c>
      <c r="T10" s="68">
        <f>'RD T1'!E67</f>
        <v>22.602269764085236</v>
      </c>
      <c r="U10" s="68">
        <f t="shared" si="29"/>
        <v>49.642786230903098</v>
      </c>
      <c r="W10" t="str">
        <f t="shared" si="30"/>
        <v>21 Science, research, engineering and technology professionals</v>
      </c>
      <c r="X10" s="68">
        <v>62.476022156384559</v>
      </c>
      <c r="Y10" s="68">
        <v>69.769516700808524</v>
      </c>
      <c r="Z10" s="68">
        <v>75.7176119564554</v>
      </c>
      <c r="AA10" s="68">
        <v>77.525650990461642</v>
      </c>
      <c r="AB10" s="68">
        <v>87.461907663642094</v>
      </c>
      <c r="AC10" s="68"/>
      <c r="AD10" s="68">
        <f t="shared" si="31"/>
        <v>11.744295707186694</v>
      </c>
      <c r="AE10" s="68">
        <f>'RD T1'!E96</f>
        <v>31.790738887914106</v>
      </c>
      <c r="AF10" s="68">
        <f t="shared" si="32"/>
        <v>43.535034595100797</v>
      </c>
      <c r="AH10" t="str">
        <f t="shared" si="33"/>
        <v>21 Science, research, engineering and technology professionals</v>
      </c>
      <c r="AI10" s="68">
        <v>6.3608098557958943</v>
      </c>
      <c r="AJ10" s="68">
        <v>6.7547353221048549</v>
      </c>
      <c r="AK10" s="68">
        <v>7.7734476815118105</v>
      </c>
      <c r="AL10" s="68">
        <v>7.9358478994068768</v>
      </c>
      <c r="AM10" s="68">
        <v>9.4654536427587423</v>
      </c>
      <c r="AN10" s="68"/>
      <c r="AO10" s="68">
        <f t="shared" si="34"/>
        <v>1.6920059612469318</v>
      </c>
      <c r="AP10" s="68">
        <f>'RD T1'!E125</f>
        <v>3.2174959538130761</v>
      </c>
      <c r="AQ10" s="68">
        <f t="shared" si="35"/>
        <v>4.9095019150600079</v>
      </c>
      <c r="AS10" t="str">
        <f t="shared" si="36"/>
        <v>21 Science, research, engineering and technology professionals</v>
      </c>
      <c r="AT10" s="68">
        <v>16.401371272580636</v>
      </c>
      <c r="AU10" s="68">
        <v>17.612431134844819</v>
      </c>
      <c r="AV10" s="68">
        <v>18.385571849551265</v>
      </c>
      <c r="AW10" s="68">
        <v>16.815565251760415</v>
      </c>
      <c r="AX10" s="68">
        <v>17.898494885612084</v>
      </c>
      <c r="AY10" s="68"/>
      <c r="AZ10" s="68">
        <f t="shared" si="37"/>
        <v>-0.48707696393918098</v>
      </c>
      <c r="BA10" s="68">
        <f>'RD T1'!E154</f>
        <v>6.2577535807940494</v>
      </c>
      <c r="BB10" s="68">
        <f t="shared" si="38"/>
        <v>5.7706766168548684</v>
      </c>
      <c r="BD10" t="str">
        <f t="shared" si="39"/>
        <v>21 Science, research, engineering and technology professionals</v>
      </c>
      <c r="BE10" s="68">
        <v>25.883522888504082</v>
      </c>
      <c r="BF10" s="68">
        <v>28.394766011065659</v>
      </c>
      <c r="BG10" s="68">
        <v>27.107161415701832</v>
      </c>
      <c r="BH10" s="68">
        <v>27.422880606122</v>
      </c>
      <c r="BI10" s="68">
        <v>28.274408845199574</v>
      </c>
      <c r="BJ10" s="68"/>
      <c r="BK10" s="68">
        <f t="shared" si="40"/>
        <v>1.167247429497742</v>
      </c>
      <c r="BL10" s="68">
        <f>'RD T1'!E183</f>
        <v>8.1412180458307724</v>
      </c>
      <c r="BM10" s="68">
        <f t="shared" si="41"/>
        <v>9.3084654753285143</v>
      </c>
      <c r="BO10" t="str">
        <f t="shared" si="42"/>
        <v>21 Science, research, engineering and technology professionals</v>
      </c>
      <c r="BP10" s="68">
        <v>20.706218822738293</v>
      </c>
      <c r="BQ10" s="68">
        <v>22.109651404132769</v>
      </c>
      <c r="BR10" s="68">
        <v>23.995466080894801</v>
      </c>
      <c r="BS10" s="68">
        <v>22.390115100073192</v>
      </c>
      <c r="BT10" s="68">
        <v>21.008478838631159</v>
      </c>
      <c r="BU10" s="68"/>
      <c r="BV10" s="68">
        <f t="shared" si="43"/>
        <v>-2.9869872422636412</v>
      </c>
      <c r="BW10" s="68">
        <f>'RD T1'!E212</f>
        <v>7.609183268718402</v>
      </c>
      <c r="BX10" s="68">
        <f t="shared" si="44"/>
        <v>4.6221960264547608</v>
      </c>
      <c r="BZ10" t="str">
        <f t="shared" si="45"/>
        <v>21 Science, research, engineering and technology professionals</v>
      </c>
      <c r="CA10" s="68">
        <v>13.088708796444841</v>
      </c>
      <c r="CB10" s="68">
        <v>13.899105059102761</v>
      </c>
      <c r="CC10" s="68">
        <v>12.969878225520642</v>
      </c>
      <c r="CD10" s="68">
        <v>12.424046590633514</v>
      </c>
      <c r="CE10" s="68">
        <v>8.8495358667854696</v>
      </c>
      <c r="CF10" s="68"/>
      <c r="CG10" s="68">
        <f t="shared" si="46"/>
        <v>-4.1203423587351722</v>
      </c>
      <c r="CH10" s="68">
        <f>'RD T1'!E241</f>
        <v>3.5262898717080371</v>
      </c>
      <c r="CI10" s="68">
        <f t="shared" si="47"/>
        <v>-0.59405248702713509</v>
      </c>
      <c r="CK10" t="str">
        <f t="shared" si="48"/>
        <v>21 Science, research, engineering and technology professionals</v>
      </c>
      <c r="CL10" s="68">
        <v>2.4237834757444712</v>
      </c>
      <c r="CM10" s="68">
        <v>3.1850404596527726</v>
      </c>
      <c r="CN10" s="68">
        <v>2.5926398575967893</v>
      </c>
      <c r="CO10" s="68">
        <v>2.9769452366938944</v>
      </c>
      <c r="CP10" s="68">
        <v>2.6405717012347676</v>
      </c>
      <c r="CQ10" s="68"/>
      <c r="CR10" s="68">
        <f t="shared" si="49"/>
        <v>4.7931843637978311E-2</v>
      </c>
      <c r="CS10" s="68">
        <f>'RD T1'!E270</f>
        <v>0.75890050088409566</v>
      </c>
      <c r="CT10" s="68">
        <f t="shared" si="50"/>
        <v>0.80683234452207397</v>
      </c>
    </row>
    <row r="11" spans="1:98" x14ac:dyDescent="0.3">
      <c r="A11" s="10" t="str">
        <f>name!D7</f>
        <v>22 Health professionals</v>
      </c>
      <c r="B11" s="68">
        <v>5.4082050556341494</v>
      </c>
      <c r="C11" s="68">
        <v>7.541157803780969</v>
      </c>
      <c r="D11" s="68">
        <v>6.5322903368969145</v>
      </c>
      <c r="E11" s="68">
        <v>8.9049858057291758</v>
      </c>
      <c r="F11" s="68">
        <v>11.991588015928913</v>
      </c>
      <c r="G11" s="11"/>
      <c r="H11" s="68">
        <f t="shared" si="51"/>
        <v>5.4592976790319989</v>
      </c>
      <c r="I11" s="68">
        <f>'RD T1'!E39</f>
        <v>4.8975632854959779</v>
      </c>
      <c r="J11" s="68">
        <f t="shared" si="26"/>
        <v>10.356860964527977</v>
      </c>
      <c r="L11" t="str">
        <f t="shared" si="27"/>
        <v>22 Health professionals</v>
      </c>
      <c r="M11" s="68">
        <v>15.397306704384473</v>
      </c>
      <c r="N11" s="68">
        <v>22.504007266848163</v>
      </c>
      <c r="O11" s="68">
        <v>19.904078700767059</v>
      </c>
      <c r="P11" s="68">
        <v>26.729869952570905</v>
      </c>
      <c r="Q11" s="68">
        <v>35.556685559328571</v>
      </c>
      <c r="R11" s="11"/>
      <c r="S11" s="68">
        <f t="shared" si="28"/>
        <v>15.652606858561512</v>
      </c>
      <c r="T11" s="68">
        <f>'RD T1'!E68</f>
        <v>15.336675849041306</v>
      </c>
      <c r="U11" s="68">
        <f t="shared" si="29"/>
        <v>30.989282707602818</v>
      </c>
      <c r="W11" t="str">
        <f t="shared" si="30"/>
        <v>22 Health professionals</v>
      </c>
      <c r="X11" s="68">
        <v>35.018070278446601</v>
      </c>
      <c r="Y11" s="68">
        <v>43.522432604909611</v>
      </c>
      <c r="Z11" s="68">
        <v>46.154196635006116</v>
      </c>
      <c r="AA11" s="68">
        <v>50.192608874505545</v>
      </c>
      <c r="AB11" s="68">
        <v>59.7351580854654</v>
      </c>
      <c r="AC11" s="68"/>
      <c r="AD11" s="68">
        <f t="shared" si="31"/>
        <v>13.580961450459284</v>
      </c>
      <c r="AE11" s="68">
        <f>'RD T1'!E97</f>
        <v>30.371700453728696</v>
      </c>
      <c r="AF11" s="68">
        <f t="shared" si="32"/>
        <v>43.952661904187977</v>
      </c>
      <c r="AH11" t="str">
        <f t="shared" si="33"/>
        <v>22 Health professionals</v>
      </c>
      <c r="AI11" s="68">
        <v>17.854164826394683</v>
      </c>
      <c r="AJ11" s="68">
        <v>15.243635640096539</v>
      </c>
      <c r="AK11" s="68">
        <v>14.68535845839935</v>
      </c>
      <c r="AL11" s="68">
        <v>8.6365482183725337</v>
      </c>
      <c r="AM11" s="68">
        <v>4.0822858055226172</v>
      </c>
      <c r="AN11" s="68"/>
      <c r="AO11" s="68">
        <f t="shared" si="34"/>
        <v>-10.603072652876733</v>
      </c>
      <c r="AP11" s="68">
        <f>'RD T1'!E126</f>
        <v>3.0646272819684821</v>
      </c>
      <c r="AQ11" s="68">
        <f t="shared" si="35"/>
        <v>-7.5384453709082511</v>
      </c>
      <c r="AS11" t="str">
        <f t="shared" si="36"/>
        <v>22 Health professionals</v>
      </c>
      <c r="AT11" s="68">
        <v>2.5440713748022059</v>
      </c>
      <c r="AU11" s="68">
        <v>3.1394480241173643</v>
      </c>
      <c r="AV11" s="68">
        <v>3.9302103933050905</v>
      </c>
      <c r="AW11" s="68">
        <v>4.0577237971294435</v>
      </c>
      <c r="AX11" s="68">
        <v>4.8069826672837985</v>
      </c>
      <c r="AY11" s="68"/>
      <c r="AZ11" s="68">
        <f t="shared" si="37"/>
        <v>0.87677227397870805</v>
      </c>
      <c r="BA11" s="68">
        <f>'RD T1'!E155</f>
        <v>2.2383633700391057</v>
      </c>
      <c r="BB11" s="68">
        <f t="shared" si="38"/>
        <v>3.1151356440178137</v>
      </c>
      <c r="BD11" t="str">
        <f t="shared" si="39"/>
        <v>22 Health professionals</v>
      </c>
      <c r="BE11" s="68">
        <v>10.613866707331104</v>
      </c>
      <c r="BF11" s="68">
        <v>12.198901315302269</v>
      </c>
      <c r="BG11" s="68">
        <v>12.056025049283438</v>
      </c>
      <c r="BH11" s="68">
        <v>14.036467413357618</v>
      </c>
      <c r="BI11" s="68">
        <v>15.270435965968309</v>
      </c>
      <c r="BJ11" s="68"/>
      <c r="BK11" s="68">
        <f t="shared" si="40"/>
        <v>3.2144109166848711</v>
      </c>
      <c r="BL11" s="68">
        <f>'RD T1'!E184</f>
        <v>8.2775696853786389</v>
      </c>
      <c r="BM11" s="68">
        <f t="shared" si="41"/>
        <v>11.49198060206351</v>
      </c>
      <c r="BO11" t="str">
        <f t="shared" si="42"/>
        <v>22 Health professionals</v>
      </c>
      <c r="BP11" s="68">
        <v>8.5033980533759106</v>
      </c>
      <c r="BQ11" s="68">
        <v>10.3129943377531</v>
      </c>
      <c r="BR11" s="68">
        <v>9.6813388639198941</v>
      </c>
      <c r="BS11" s="68">
        <v>10.288316026105283</v>
      </c>
      <c r="BT11" s="68">
        <v>9.0551599606145334</v>
      </c>
      <c r="BU11" s="68"/>
      <c r="BV11" s="68">
        <f t="shared" si="43"/>
        <v>-0.62617890330536063</v>
      </c>
      <c r="BW11" s="68">
        <f>'RD T1'!E213</f>
        <v>4.7999845131757644</v>
      </c>
      <c r="BX11" s="68">
        <f t="shared" si="44"/>
        <v>4.1738056098704037</v>
      </c>
      <c r="BZ11" t="str">
        <f t="shared" si="45"/>
        <v>22 Health professionals</v>
      </c>
      <c r="CA11" s="68">
        <v>5.2993760144023874</v>
      </c>
      <c r="CB11" s="68">
        <v>7.1967993059749578</v>
      </c>
      <c r="CC11" s="68">
        <v>5.6316978744010582</v>
      </c>
      <c r="CD11" s="68">
        <v>5.701185256662213</v>
      </c>
      <c r="CE11" s="68">
        <v>3.8441723555049796</v>
      </c>
      <c r="CF11" s="68"/>
      <c r="CG11" s="68">
        <f t="shared" si="46"/>
        <v>-1.7875255188960786</v>
      </c>
      <c r="CH11" s="68">
        <f>'RD T1'!E242</f>
        <v>2.211667446223593</v>
      </c>
      <c r="CI11" s="68">
        <f t="shared" si="47"/>
        <v>0.42414192732751443</v>
      </c>
      <c r="CK11" t="str">
        <f t="shared" si="48"/>
        <v>22 Health professionals</v>
      </c>
      <c r="CL11" s="68">
        <v>0.65244550885502828</v>
      </c>
      <c r="CM11" s="68">
        <v>0.95146100295071789</v>
      </c>
      <c r="CN11" s="68">
        <v>0.72051910834402444</v>
      </c>
      <c r="CO11" s="68">
        <v>0.83637047649788421</v>
      </c>
      <c r="CP11" s="68">
        <v>0.93884701780724855</v>
      </c>
      <c r="CQ11" s="68"/>
      <c r="CR11" s="68">
        <f t="shared" si="49"/>
        <v>0.21832790946322411</v>
      </c>
      <c r="CS11" s="68">
        <f>'RD T1'!E271</f>
        <v>0.30448845010055198</v>
      </c>
      <c r="CT11" s="68">
        <f t="shared" si="50"/>
        <v>0.52281635956377603</v>
      </c>
    </row>
    <row r="12" spans="1:98" x14ac:dyDescent="0.3">
      <c r="A12" s="10" t="str">
        <f>name!D8</f>
        <v>23 Teaching and other educational professionals</v>
      </c>
      <c r="B12" s="68">
        <v>10.090746464322457</v>
      </c>
      <c r="C12" s="68">
        <v>12.106106933058291</v>
      </c>
      <c r="D12" s="68">
        <v>12.341803796489483</v>
      </c>
      <c r="E12" s="68">
        <v>14.466630393625397</v>
      </c>
      <c r="F12" s="68">
        <v>17.121185363614959</v>
      </c>
      <c r="G12" s="11"/>
      <c r="H12" s="68">
        <f t="shared" si="51"/>
        <v>4.7793815671254762</v>
      </c>
      <c r="I12" s="68">
        <f>'RD T1'!E40</f>
        <v>7.5699766666763777</v>
      </c>
      <c r="J12" s="68">
        <f t="shared" si="26"/>
        <v>12.349358233801855</v>
      </c>
      <c r="L12" t="str">
        <f t="shared" si="27"/>
        <v>23 Teaching and other educational professionals</v>
      </c>
      <c r="M12" s="68">
        <v>55.272333769419703</v>
      </c>
      <c r="N12" s="68">
        <v>70.765597870280885</v>
      </c>
      <c r="O12" s="68">
        <v>70.492232652950975</v>
      </c>
      <c r="P12" s="68">
        <v>83.34340832168597</v>
      </c>
      <c r="Q12" s="68">
        <v>99.053271071924584</v>
      </c>
      <c r="R12" s="11"/>
      <c r="S12" s="68">
        <f t="shared" si="28"/>
        <v>28.56103841897361</v>
      </c>
      <c r="T12" s="68">
        <f>'RD T1'!E69</f>
        <v>45.498592500907321</v>
      </c>
      <c r="U12" s="68">
        <f t="shared" si="29"/>
        <v>74.059630919880931</v>
      </c>
      <c r="W12" t="str">
        <f t="shared" si="30"/>
        <v>23 Teaching and other educational professionals</v>
      </c>
      <c r="X12" s="68">
        <v>40.480744864219616</v>
      </c>
      <c r="Y12" s="68">
        <v>40.371300260849168</v>
      </c>
      <c r="Z12" s="68">
        <v>46.412990215117794</v>
      </c>
      <c r="AA12" s="68">
        <v>37.813874450101224</v>
      </c>
      <c r="AB12" s="68">
        <v>32.662002918946463</v>
      </c>
      <c r="AC12" s="68"/>
      <c r="AD12" s="68">
        <f t="shared" si="31"/>
        <v>-13.750987296171331</v>
      </c>
      <c r="AE12" s="68">
        <f>'RD T1'!E98</f>
        <v>19.467801731224021</v>
      </c>
      <c r="AF12" s="68">
        <f t="shared" si="32"/>
        <v>5.7168144350526902</v>
      </c>
      <c r="AH12" t="str">
        <f t="shared" si="33"/>
        <v>23 Teaching and other educational professionals</v>
      </c>
      <c r="AI12" s="68">
        <v>5.8936909464782588</v>
      </c>
      <c r="AJ12" s="68">
        <v>3.6181109158885305</v>
      </c>
      <c r="AK12" s="68">
        <v>3.4904566895086226</v>
      </c>
      <c r="AL12" s="68">
        <v>2.1580546761156274</v>
      </c>
      <c r="AM12" s="68">
        <v>2.2238204770994678</v>
      </c>
      <c r="AN12" s="68"/>
      <c r="AO12" s="68">
        <f t="shared" si="34"/>
        <v>-1.2666362124091548</v>
      </c>
      <c r="AP12" s="68">
        <f>'RD T1'!E127</f>
        <v>0.71489291755682416</v>
      </c>
      <c r="AQ12" s="68">
        <f t="shared" si="35"/>
        <v>-0.55174329485233065</v>
      </c>
      <c r="AS12" t="str">
        <f t="shared" si="36"/>
        <v>23 Teaching and other educational professionals</v>
      </c>
      <c r="AT12" s="68">
        <v>1.4806766609553332</v>
      </c>
      <c r="AU12" s="68">
        <v>1.5470802318263721</v>
      </c>
      <c r="AV12" s="68">
        <v>1.6446493745941557</v>
      </c>
      <c r="AW12" s="68">
        <v>1.3424720062884699</v>
      </c>
      <c r="AX12" s="68">
        <v>1.2102870626477644</v>
      </c>
      <c r="AY12" s="68"/>
      <c r="AZ12" s="68">
        <f t="shared" si="37"/>
        <v>-0.4343623119463913</v>
      </c>
      <c r="BA12" s="68">
        <f>'RD T1'!E156</f>
        <v>0.63229104834439032</v>
      </c>
      <c r="BB12" s="68">
        <f t="shared" si="38"/>
        <v>0.19792873639799902</v>
      </c>
      <c r="BD12" t="str">
        <f t="shared" si="39"/>
        <v>23 Teaching and other educational professionals</v>
      </c>
      <c r="BE12" s="68">
        <v>5.8959993544995335</v>
      </c>
      <c r="BF12" s="68">
        <v>6.2126674278002643</v>
      </c>
      <c r="BG12" s="68">
        <v>6.2228142998143916</v>
      </c>
      <c r="BH12" s="68">
        <v>6.8379718792977648</v>
      </c>
      <c r="BI12" s="68">
        <v>8.4430090997503964</v>
      </c>
      <c r="BJ12" s="68"/>
      <c r="BK12" s="68">
        <f t="shared" si="40"/>
        <v>2.2201947999360048</v>
      </c>
      <c r="BL12" s="68">
        <f>'RD T1'!E185</f>
        <v>3.0351042572318851</v>
      </c>
      <c r="BM12" s="68">
        <f t="shared" si="41"/>
        <v>5.2552990571678899</v>
      </c>
      <c r="BO12" t="str">
        <f t="shared" si="42"/>
        <v>23 Teaching and other educational professionals</v>
      </c>
      <c r="BP12" s="68">
        <v>5.1377827366127118</v>
      </c>
      <c r="BQ12" s="68">
        <v>5.5924850737346627</v>
      </c>
      <c r="BR12" s="68">
        <v>5.4712638777646596</v>
      </c>
      <c r="BS12" s="68">
        <v>5.3646553875506724</v>
      </c>
      <c r="BT12" s="68">
        <v>4.9321931238517847</v>
      </c>
      <c r="BU12" s="68"/>
      <c r="BV12" s="68">
        <f t="shared" si="43"/>
        <v>-0.53907075391287496</v>
      </c>
      <c r="BW12" s="68">
        <f>'RD T1'!E214</f>
        <v>2.4277708110591236</v>
      </c>
      <c r="BX12" s="68">
        <f t="shared" si="44"/>
        <v>1.8887000571462487</v>
      </c>
      <c r="BZ12" t="str">
        <f t="shared" si="45"/>
        <v>23 Teaching and other educational professionals</v>
      </c>
      <c r="CA12" s="68">
        <v>3.7152025295470619</v>
      </c>
      <c r="CB12" s="68">
        <v>4.1887084108265382</v>
      </c>
      <c r="CC12" s="68">
        <v>4.1934765223742341</v>
      </c>
      <c r="CD12" s="68">
        <v>4.1262379612359759</v>
      </c>
      <c r="CE12" s="68">
        <v>3.52130427372474</v>
      </c>
      <c r="CF12" s="68"/>
      <c r="CG12" s="68">
        <f t="shared" si="46"/>
        <v>-0.6721722486494941</v>
      </c>
      <c r="CH12" s="68">
        <f>'RD T1'!E243</f>
        <v>1.7058650864431835</v>
      </c>
      <c r="CI12" s="68">
        <f t="shared" si="47"/>
        <v>1.0336928377936894</v>
      </c>
      <c r="CK12" t="str">
        <f t="shared" si="48"/>
        <v>23 Teaching and other educational professionals</v>
      </c>
      <c r="CL12" s="68">
        <v>0.59425988683973152</v>
      </c>
      <c r="CM12" s="68">
        <v>0.7937172123638695</v>
      </c>
      <c r="CN12" s="68">
        <v>0.70890948153124</v>
      </c>
      <c r="CO12" s="68">
        <v>0.75827926683479518</v>
      </c>
      <c r="CP12" s="68">
        <v>0.63114238865658656</v>
      </c>
      <c r="CQ12" s="68"/>
      <c r="CR12" s="68">
        <f t="shared" si="49"/>
        <v>-7.7767092874653443E-2</v>
      </c>
      <c r="CS12" s="68">
        <f>'RD T1'!E272</f>
        <v>0.24404883246598341</v>
      </c>
      <c r="CT12" s="68">
        <f t="shared" si="50"/>
        <v>0.16628173959132997</v>
      </c>
    </row>
    <row r="13" spans="1:98" x14ac:dyDescent="0.3">
      <c r="A13" s="10" t="str">
        <f>name!D9</f>
        <v>24 Business, media and public service professionals</v>
      </c>
      <c r="B13" s="68">
        <v>2.5017681028702428</v>
      </c>
      <c r="C13" s="68">
        <v>3.223626488664685</v>
      </c>
      <c r="D13" s="68">
        <v>3.4155505503339278</v>
      </c>
      <c r="E13" s="68">
        <v>4.7338910321015248</v>
      </c>
      <c r="F13" s="68">
        <v>6.3320472510730532</v>
      </c>
      <c r="G13" s="11"/>
      <c r="H13" s="68">
        <f t="shared" si="51"/>
        <v>2.9164967007391254</v>
      </c>
      <c r="I13" s="68">
        <f>'RD T1'!E41</f>
        <v>2.5538362757653195</v>
      </c>
      <c r="J13" s="68">
        <f t="shared" si="26"/>
        <v>5.4703329765044444</v>
      </c>
      <c r="L13" t="str">
        <f t="shared" si="27"/>
        <v>24 Business, media and public service professionals</v>
      </c>
      <c r="M13" s="68">
        <v>31.147928617114111</v>
      </c>
      <c r="N13" s="68">
        <v>41.234685738086526</v>
      </c>
      <c r="O13" s="68">
        <v>41.626314029811091</v>
      </c>
      <c r="P13" s="68">
        <v>55.499596638715722</v>
      </c>
      <c r="Q13" s="68">
        <v>71.991433782614024</v>
      </c>
      <c r="R13" s="11"/>
      <c r="S13" s="68">
        <f t="shared" si="28"/>
        <v>30.365119752802933</v>
      </c>
      <c r="T13" s="68">
        <f>'RD T1'!E70</f>
        <v>29.810759511628969</v>
      </c>
      <c r="U13" s="68">
        <f t="shared" si="29"/>
        <v>60.175879264431899</v>
      </c>
      <c r="W13" t="str">
        <f t="shared" si="30"/>
        <v>24 Business, media and public service professionals</v>
      </c>
      <c r="X13" s="68">
        <v>61.489163787676098</v>
      </c>
      <c r="Y13" s="68">
        <v>71.797277779254628</v>
      </c>
      <c r="Z13" s="68">
        <v>82.14406506075602</v>
      </c>
      <c r="AA13" s="68">
        <v>88.661974780973978</v>
      </c>
      <c r="AB13" s="68">
        <v>102.791159317199</v>
      </c>
      <c r="AC13" s="68"/>
      <c r="AD13" s="68">
        <f t="shared" si="31"/>
        <v>20.647094256442983</v>
      </c>
      <c r="AE13" s="68">
        <f>'RD T1'!E99</f>
        <v>48.01894383183734</v>
      </c>
      <c r="AF13" s="68">
        <f t="shared" si="32"/>
        <v>68.666038088280317</v>
      </c>
      <c r="AH13" t="str">
        <f t="shared" si="33"/>
        <v>24 Business, media and public service professionals</v>
      </c>
      <c r="AI13" s="68">
        <v>6.8232787920717497</v>
      </c>
      <c r="AJ13" s="68">
        <v>6.5546339790363453</v>
      </c>
      <c r="AK13" s="68">
        <v>7.8082398335148255</v>
      </c>
      <c r="AL13" s="68">
        <v>7.4600325516612287</v>
      </c>
      <c r="AM13" s="68">
        <v>8.5251516679023478</v>
      </c>
      <c r="AN13" s="68"/>
      <c r="AO13" s="68">
        <f t="shared" si="34"/>
        <v>0.71691183438752226</v>
      </c>
      <c r="AP13" s="68">
        <f>'RD T1'!E128</f>
        <v>2.9514188874931957</v>
      </c>
      <c r="AQ13" s="68">
        <f t="shared" si="35"/>
        <v>3.668330721880718</v>
      </c>
      <c r="AS13" t="str">
        <f t="shared" si="36"/>
        <v>24 Business, media and public service professionals</v>
      </c>
      <c r="AT13" s="68">
        <v>10.12001463024639</v>
      </c>
      <c r="AU13" s="68">
        <v>11.474011142390014</v>
      </c>
      <c r="AV13" s="68">
        <v>13.289509516695169</v>
      </c>
      <c r="AW13" s="68">
        <v>14.415185025169651</v>
      </c>
      <c r="AX13" s="68">
        <v>17.238913801241356</v>
      </c>
      <c r="AY13" s="68"/>
      <c r="AZ13" s="68">
        <f t="shared" si="37"/>
        <v>3.949404284546187</v>
      </c>
      <c r="BA13" s="68">
        <f>'RD T1'!E157</f>
        <v>7.4622127227817296</v>
      </c>
      <c r="BB13" s="68">
        <f t="shared" si="38"/>
        <v>11.411617007327916</v>
      </c>
      <c r="BD13" t="str">
        <f t="shared" si="39"/>
        <v>24 Business, media and public service professionals</v>
      </c>
      <c r="BE13" s="68">
        <v>23.927703491379297</v>
      </c>
      <c r="BF13" s="68">
        <v>27.88059738809137</v>
      </c>
      <c r="BG13" s="68">
        <v>28.376406435269647</v>
      </c>
      <c r="BH13" s="68">
        <v>33.391689092349282</v>
      </c>
      <c r="BI13" s="68">
        <v>37.720379768957919</v>
      </c>
      <c r="BJ13" s="68"/>
      <c r="BK13" s="68">
        <f t="shared" si="40"/>
        <v>9.3439733336882718</v>
      </c>
      <c r="BL13" s="68">
        <f>'RD T1'!E186</f>
        <v>14.430282893528132</v>
      </c>
      <c r="BM13" s="68">
        <f t="shared" si="41"/>
        <v>23.774256227216405</v>
      </c>
      <c r="BO13" t="str">
        <f t="shared" si="42"/>
        <v>24 Business, media and public service professionals</v>
      </c>
      <c r="BP13" s="68">
        <v>19.002583667016438</v>
      </c>
      <c r="BQ13" s="68">
        <v>20.336374401667154</v>
      </c>
      <c r="BR13" s="68">
        <v>21.949335971479368</v>
      </c>
      <c r="BS13" s="68">
        <v>21.578380096480981</v>
      </c>
      <c r="BT13" s="68">
        <v>19.261488302600082</v>
      </c>
      <c r="BU13" s="68"/>
      <c r="BV13" s="68">
        <f t="shared" si="43"/>
        <v>-2.6878476688792858</v>
      </c>
      <c r="BW13" s="68">
        <f>'RD T1'!E215</f>
        <v>8.5907849629481294</v>
      </c>
      <c r="BX13" s="68">
        <f t="shared" si="44"/>
        <v>5.9029372940688436</v>
      </c>
      <c r="BZ13" t="str">
        <f t="shared" si="45"/>
        <v>24 Business, media and public service professionals</v>
      </c>
      <c r="CA13" s="68">
        <v>12.526517401112212</v>
      </c>
      <c r="CB13" s="68">
        <v>14.19921965784423</v>
      </c>
      <c r="CC13" s="68">
        <v>13.897911956656017</v>
      </c>
      <c r="CD13" s="68">
        <v>14.010559984506887</v>
      </c>
      <c r="CE13" s="68">
        <v>10.58146668099848</v>
      </c>
      <c r="CF13" s="68"/>
      <c r="CG13" s="68">
        <f t="shared" si="46"/>
        <v>-3.3164452756575376</v>
      </c>
      <c r="CH13" s="68">
        <f>'RD T1'!E244</f>
        <v>5.0832291620444918</v>
      </c>
      <c r="CI13" s="68">
        <f t="shared" si="47"/>
        <v>1.7667838863869543</v>
      </c>
      <c r="CK13" t="str">
        <f t="shared" si="48"/>
        <v>24 Business, media and public service professionals</v>
      </c>
      <c r="CL13" s="68">
        <v>2.4981479928121102</v>
      </c>
      <c r="CM13" s="68">
        <v>3.3040378900391532</v>
      </c>
      <c r="CN13" s="68">
        <v>2.7554855294974332</v>
      </c>
      <c r="CO13" s="68">
        <v>2.9057993007474185</v>
      </c>
      <c r="CP13" s="68">
        <v>2.7525145506835811</v>
      </c>
      <c r="CQ13" s="68"/>
      <c r="CR13" s="68">
        <f t="shared" si="49"/>
        <v>-2.9709788138521098E-3</v>
      </c>
      <c r="CS13" s="68">
        <f>'RD T1'!E273</f>
        <v>0.90460136592600293</v>
      </c>
      <c r="CT13" s="68">
        <f t="shared" si="50"/>
        <v>0.90163038711215082</v>
      </c>
    </row>
    <row r="14" spans="1:98" x14ac:dyDescent="0.3">
      <c r="A14" s="10" t="str">
        <f>name!D10</f>
        <v>31 Science, engineering and technology associate professionals</v>
      </c>
      <c r="B14" s="68">
        <v>0.95850354246608005</v>
      </c>
      <c r="C14" s="68">
        <v>1.3262335018790037</v>
      </c>
      <c r="D14" s="68">
        <v>1.3992835576232088</v>
      </c>
      <c r="E14" s="68">
        <v>1.6839823724605676</v>
      </c>
      <c r="F14" s="68">
        <v>2.4471198035808546</v>
      </c>
      <c r="G14" s="11"/>
      <c r="H14" s="68">
        <f t="shared" si="51"/>
        <v>1.0478362459576458</v>
      </c>
      <c r="I14" s="68">
        <f>'RD T1'!E42</f>
        <v>0.90287505875398</v>
      </c>
      <c r="J14" s="68">
        <f t="shared" si="26"/>
        <v>1.9507113047116258</v>
      </c>
      <c r="L14" t="str">
        <f t="shared" si="27"/>
        <v>31 Science, engineering and technology associate professionals</v>
      </c>
      <c r="M14" s="68">
        <v>4.9456455499270602</v>
      </c>
      <c r="N14" s="68">
        <v>6.5542498510548288</v>
      </c>
      <c r="O14" s="68">
        <v>7.1722873770363904</v>
      </c>
      <c r="P14" s="68">
        <v>7.803546034648015</v>
      </c>
      <c r="Q14" s="68">
        <v>10.181209517426714</v>
      </c>
      <c r="R14" s="11"/>
      <c r="S14" s="68">
        <f t="shared" si="28"/>
        <v>3.0089221403903235</v>
      </c>
      <c r="T14" s="68">
        <f>'RD T1'!E71</f>
        <v>3.8295420804435971</v>
      </c>
      <c r="U14" s="68">
        <f t="shared" si="29"/>
        <v>6.8384642208339201</v>
      </c>
      <c r="W14" t="str">
        <f t="shared" si="30"/>
        <v>31 Science, engineering and technology associate professionals</v>
      </c>
      <c r="X14" s="68">
        <v>12.614331522130364</v>
      </c>
      <c r="Y14" s="68">
        <v>15.402900841511109</v>
      </c>
      <c r="Z14" s="68">
        <v>17.62942199688489</v>
      </c>
      <c r="AA14" s="68">
        <v>16.014525671229396</v>
      </c>
      <c r="AB14" s="68">
        <v>18.567902899020396</v>
      </c>
      <c r="AC14" s="68"/>
      <c r="AD14" s="68">
        <f t="shared" si="31"/>
        <v>0.93848090213550606</v>
      </c>
      <c r="AE14" s="68">
        <f>'RD T1'!E100</f>
        <v>7.6261198715070861</v>
      </c>
      <c r="AF14" s="68">
        <f t="shared" si="32"/>
        <v>8.5646007736425922</v>
      </c>
      <c r="AH14" t="str">
        <f t="shared" si="33"/>
        <v>31 Science, engineering and technology associate professionals</v>
      </c>
      <c r="AI14" s="68">
        <v>2.1118405532529101</v>
      </c>
      <c r="AJ14" s="68">
        <v>2.6821914143365571</v>
      </c>
      <c r="AK14" s="68">
        <v>3.1868105872526664</v>
      </c>
      <c r="AL14" s="68">
        <v>3.1919158809565702</v>
      </c>
      <c r="AM14" s="68">
        <v>4.2888541235448168</v>
      </c>
      <c r="AN14" s="68"/>
      <c r="AO14" s="68">
        <f t="shared" si="34"/>
        <v>1.1020435362921503</v>
      </c>
      <c r="AP14" s="68">
        <f>'RD T1'!E129</f>
        <v>1.6548960915144899</v>
      </c>
      <c r="AQ14" s="68">
        <f t="shared" si="35"/>
        <v>2.7569396278066405</v>
      </c>
      <c r="AS14" t="str">
        <f t="shared" si="36"/>
        <v>31 Science, engineering and technology associate professionals</v>
      </c>
      <c r="AT14" s="68">
        <v>5.9319557961569371</v>
      </c>
      <c r="AU14" s="68">
        <v>6.634748393384065</v>
      </c>
      <c r="AV14" s="68">
        <v>7.4221426407156148</v>
      </c>
      <c r="AW14" s="68">
        <v>6.1410018856758555</v>
      </c>
      <c r="AX14" s="68">
        <v>6.2712493839878896</v>
      </c>
      <c r="AY14" s="68"/>
      <c r="AZ14" s="68">
        <f t="shared" si="37"/>
        <v>-1.1508932567277252</v>
      </c>
      <c r="BA14" s="68">
        <f>'RD T1'!E158</f>
        <v>2.445825536613321</v>
      </c>
      <c r="BB14" s="68">
        <f t="shared" si="38"/>
        <v>1.2949322798855958</v>
      </c>
      <c r="BD14" t="str">
        <f t="shared" si="39"/>
        <v>31 Science, engineering and technology associate professionals</v>
      </c>
      <c r="BE14" s="68">
        <v>9.8081462421737839</v>
      </c>
      <c r="BF14" s="68">
        <v>10.534758547397606</v>
      </c>
      <c r="BG14" s="68">
        <v>10.800018425661415</v>
      </c>
      <c r="BH14" s="68">
        <v>8.564182664551252</v>
      </c>
      <c r="BI14" s="68">
        <v>7.2130787242714547</v>
      </c>
      <c r="BJ14" s="68"/>
      <c r="BK14" s="68">
        <f t="shared" si="40"/>
        <v>-3.5869397013899604</v>
      </c>
      <c r="BL14" s="68">
        <f>'RD T1'!E187</f>
        <v>3.0237381812745312</v>
      </c>
      <c r="BM14" s="68">
        <f t="shared" si="41"/>
        <v>-0.56320152011542923</v>
      </c>
      <c r="BO14" t="str">
        <f t="shared" si="42"/>
        <v>31 Science, engineering and technology associate professionals</v>
      </c>
      <c r="BP14" s="68">
        <v>7.7120407472242123</v>
      </c>
      <c r="BQ14" s="68">
        <v>8.5137624868621309</v>
      </c>
      <c r="BR14" s="68">
        <v>9.5952141322477829</v>
      </c>
      <c r="BS14" s="68">
        <v>7.7149745185099645</v>
      </c>
      <c r="BT14" s="68">
        <v>7.6179416001140758</v>
      </c>
      <c r="BU14" s="68"/>
      <c r="BV14" s="68">
        <f t="shared" si="43"/>
        <v>-1.977272532133707</v>
      </c>
      <c r="BW14" s="68">
        <f>'RD T1'!E216</f>
        <v>3.0288341351305701</v>
      </c>
      <c r="BX14" s="68">
        <f t="shared" si="44"/>
        <v>1.0515616029968631</v>
      </c>
      <c r="BZ14" t="str">
        <f t="shared" si="45"/>
        <v>31 Science, engineering and technology associate professionals</v>
      </c>
      <c r="CA14" s="68">
        <v>6.7221786652543134</v>
      </c>
      <c r="CB14" s="68">
        <v>7.6820184539716196</v>
      </c>
      <c r="CC14" s="68">
        <v>8.0234491055135386</v>
      </c>
      <c r="CD14" s="68">
        <v>6.7353573647393992</v>
      </c>
      <c r="CE14" s="68">
        <v>5.9646512330729768</v>
      </c>
      <c r="CF14" s="68"/>
      <c r="CG14" s="68">
        <f t="shared" si="46"/>
        <v>-2.0587978724405618</v>
      </c>
      <c r="CH14" s="68">
        <f>'RD T1'!E245</f>
        <v>2.4041418299973918</v>
      </c>
      <c r="CI14" s="68">
        <f t="shared" si="47"/>
        <v>0.34534395755683001</v>
      </c>
      <c r="CK14" t="str">
        <f t="shared" si="48"/>
        <v>31 Science, engineering and technology associate professionals</v>
      </c>
      <c r="CL14" s="68">
        <v>1.1115851922762499</v>
      </c>
      <c r="CM14" s="68">
        <v>1.5359739848130691</v>
      </c>
      <c r="CN14" s="68">
        <v>1.4333620706357171</v>
      </c>
      <c r="CO14" s="68">
        <v>1.4304757102678864</v>
      </c>
      <c r="CP14" s="68">
        <v>1.8250857162760676</v>
      </c>
      <c r="CQ14" s="68"/>
      <c r="CR14" s="68">
        <f t="shared" si="49"/>
        <v>0.39172364564035056</v>
      </c>
      <c r="CS14" s="68">
        <f>'RD T1'!E274</f>
        <v>0.54105130493233999</v>
      </c>
      <c r="CT14" s="68">
        <f t="shared" si="50"/>
        <v>0.93277495057269055</v>
      </c>
    </row>
    <row r="15" spans="1:98" x14ac:dyDescent="0.3">
      <c r="A15" s="10" t="str">
        <f>name!D11</f>
        <v>32 Health and social care associate professionals</v>
      </c>
      <c r="B15" s="68">
        <v>0.17169721357788909</v>
      </c>
      <c r="C15" s="68">
        <v>0.27364464333802152</v>
      </c>
      <c r="D15" s="68">
        <v>0.22192402390677732</v>
      </c>
      <c r="E15" s="68">
        <v>0.32196850341976496</v>
      </c>
      <c r="F15" s="68">
        <v>0.48765183289738545</v>
      </c>
      <c r="G15" s="11"/>
      <c r="H15" s="68">
        <f t="shared" si="51"/>
        <v>0.26572780899060811</v>
      </c>
      <c r="I15" s="68">
        <f>'RD T1'!E43</f>
        <v>0.22037505053112671</v>
      </c>
      <c r="J15" s="68">
        <f t="shared" si="26"/>
        <v>0.48610285952173482</v>
      </c>
      <c r="L15" t="str">
        <f t="shared" si="27"/>
        <v>32 Health and social care associate professionals</v>
      </c>
      <c r="M15" s="68">
        <v>3.4821279261133098</v>
      </c>
      <c r="N15" s="68">
        <v>5.2568345023729313</v>
      </c>
      <c r="O15" s="68">
        <v>4.8616864909254449</v>
      </c>
      <c r="P15" s="68">
        <v>6.5711573516972601</v>
      </c>
      <c r="Q15" s="68">
        <v>9.6371690474932397</v>
      </c>
      <c r="R15" s="11"/>
      <c r="S15" s="68">
        <f t="shared" si="28"/>
        <v>4.7754825565677947</v>
      </c>
      <c r="T15" s="68">
        <f>'RD T1'!E72</f>
        <v>4.3143034282245756</v>
      </c>
      <c r="U15" s="68">
        <f t="shared" si="29"/>
        <v>9.0897859847923712</v>
      </c>
      <c r="W15" t="str">
        <f t="shared" si="30"/>
        <v>32 Health and social care associate professionals</v>
      </c>
      <c r="X15" s="68">
        <v>11.551989363140459</v>
      </c>
      <c r="Y15" s="68">
        <v>14.790361287662115</v>
      </c>
      <c r="Z15" s="68">
        <v>16.262486648373788</v>
      </c>
      <c r="AA15" s="68">
        <v>17.505884163560321</v>
      </c>
      <c r="AB15" s="68">
        <v>22.724888435242466</v>
      </c>
      <c r="AC15" s="68"/>
      <c r="AD15" s="68">
        <f t="shared" si="31"/>
        <v>6.4624017868686785</v>
      </c>
      <c r="AE15" s="68">
        <f>'RD T1'!E101</f>
        <v>12.31712740576724</v>
      </c>
      <c r="AF15" s="68">
        <f t="shared" si="32"/>
        <v>18.77952919263592</v>
      </c>
      <c r="AH15" t="str">
        <f t="shared" si="33"/>
        <v>32 Health and social care associate professionals</v>
      </c>
      <c r="AI15" s="68">
        <v>7.9572311821912942</v>
      </c>
      <c r="AJ15" s="68">
        <v>7.4423453159381641</v>
      </c>
      <c r="AK15" s="68">
        <v>7.7432399124550848</v>
      </c>
      <c r="AL15" s="68">
        <v>5.3242065636973459</v>
      </c>
      <c r="AM15" s="68">
        <v>3.2801665556303834</v>
      </c>
      <c r="AN15" s="68"/>
      <c r="AO15" s="68">
        <f t="shared" si="34"/>
        <v>-4.463073356824701</v>
      </c>
      <c r="AP15" s="68">
        <f>'RD T1'!E130</f>
        <v>2.1356986508860429</v>
      </c>
      <c r="AQ15" s="68">
        <f t="shared" si="35"/>
        <v>-2.327374705938658</v>
      </c>
      <c r="AS15" t="str">
        <f t="shared" si="36"/>
        <v>32 Health and social care associate professionals</v>
      </c>
      <c r="AT15" s="68">
        <v>1.8607199958831846</v>
      </c>
      <c r="AU15" s="68">
        <v>2.2332530263582115</v>
      </c>
      <c r="AV15" s="68">
        <v>2.80899838782807</v>
      </c>
      <c r="AW15" s="68">
        <v>2.6134755862171279</v>
      </c>
      <c r="AX15" s="68">
        <v>3.0580346395453635</v>
      </c>
      <c r="AY15" s="68"/>
      <c r="AZ15" s="68">
        <f t="shared" si="37"/>
        <v>0.24903625171729349</v>
      </c>
      <c r="BA15" s="68">
        <f>'RD T1'!E159</f>
        <v>1.6343807948778739</v>
      </c>
      <c r="BB15" s="68">
        <f t="shared" si="38"/>
        <v>1.8834170465951674</v>
      </c>
      <c r="BD15" t="str">
        <f t="shared" si="39"/>
        <v>32 Health and social care associate professionals</v>
      </c>
      <c r="BE15" s="68">
        <v>8.0915583526258228</v>
      </c>
      <c r="BF15" s="68">
        <v>9.4953604977398083</v>
      </c>
      <c r="BG15" s="68">
        <v>9.6709893796944808</v>
      </c>
      <c r="BH15" s="68">
        <v>10.48114319202365</v>
      </c>
      <c r="BI15" s="68">
        <v>12.073373274254953</v>
      </c>
      <c r="BJ15" s="68"/>
      <c r="BK15" s="68">
        <f t="shared" si="40"/>
        <v>2.4023838945604723</v>
      </c>
      <c r="BL15" s="68">
        <f>'RD T1'!E188</f>
        <v>6.8627585105521485</v>
      </c>
      <c r="BM15" s="68">
        <f t="shared" si="41"/>
        <v>9.2651424051126199</v>
      </c>
      <c r="BO15" t="str">
        <f t="shared" si="42"/>
        <v>32 Health and social care associate professionals</v>
      </c>
      <c r="BP15" s="68">
        <v>7.0332339755152633</v>
      </c>
      <c r="BQ15" s="68">
        <v>8.5123213324323874</v>
      </c>
      <c r="BR15" s="68">
        <v>7.7249466422043982</v>
      </c>
      <c r="BS15" s="68">
        <v>7.7744214095739919</v>
      </c>
      <c r="BT15" s="68">
        <v>6.8588327775216715</v>
      </c>
      <c r="BU15" s="68"/>
      <c r="BV15" s="68">
        <f t="shared" si="43"/>
        <v>-0.86611386468272666</v>
      </c>
      <c r="BW15" s="68">
        <f>'RD T1'!E217</f>
        <v>4.0363478939185091</v>
      </c>
      <c r="BX15" s="68">
        <f t="shared" si="44"/>
        <v>3.1702340292357825</v>
      </c>
      <c r="BZ15" t="str">
        <f t="shared" si="45"/>
        <v>32 Health and social care associate professionals</v>
      </c>
      <c r="CA15" s="68">
        <v>3.0122204174209588</v>
      </c>
      <c r="CB15" s="68">
        <v>3.248965743207497</v>
      </c>
      <c r="CC15" s="68">
        <v>2.5949520707463209</v>
      </c>
      <c r="CD15" s="68">
        <v>2.2604685821955606</v>
      </c>
      <c r="CE15" s="68">
        <v>1.4940507172084871</v>
      </c>
      <c r="CF15" s="68"/>
      <c r="CG15" s="68">
        <f t="shared" si="46"/>
        <v>-1.1009013535378338</v>
      </c>
      <c r="CH15" s="68">
        <f>'RD T1'!E246</f>
        <v>0.91474695688425078</v>
      </c>
      <c r="CI15" s="68">
        <f t="shared" si="47"/>
        <v>-0.18615439665358302</v>
      </c>
      <c r="CK15" t="str">
        <f t="shared" si="48"/>
        <v>32 Health and social care associate professionals</v>
      </c>
      <c r="CL15" s="68">
        <v>0.43181541244966842</v>
      </c>
      <c r="CM15" s="68">
        <v>0.53130101287880427</v>
      </c>
      <c r="CN15" s="68">
        <v>0.4044259381988623</v>
      </c>
      <c r="CO15" s="68">
        <v>0.41113976209302966</v>
      </c>
      <c r="CP15" s="68">
        <v>0.454960371541696</v>
      </c>
      <c r="CQ15" s="68"/>
      <c r="CR15" s="68">
        <f t="shared" si="49"/>
        <v>5.0534433342833696E-2</v>
      </c>
      <c r="CS15" s="68">
        <f>'RD T1'!E275</f>
        <v>0.16402443762880337</v>
      </c>
      <c r="CT15" s="68">
        <f t="shared" si="50"/>
        <v>0.21455887097163706</v>
      </c>
    </row>
    <row r="16" spans="1:98" x14ac:dyDescent="0.3">
      <c r="A16" s="10" t="str">
        <f>name!D12</f>
        <v>33 Protective service occupations</v>
      </c>
      <c r="B16" s="68">
        <v>0.10664367135617875</v>
      </c>
      <c r="C16" s="68">
        <v>0.11531055374942487</v>
      </c>
      <c r="D16" s="68">
        <v>0.13026147676832453</v>
      </c>
      <c r="E16" s="68">
        <v>0.21064688600137282</v>
      </c>
      <c r="F16" s="68">
        <v>0.32768304927842767</v>
      </c>
      <c r="G16" s="11"/>
      <c r="H16" s="68">
        <f t="shared" si="51"/>
        <v>0.19742157251010314</v>
      </c>
      <c r="I16" s="68">
        <f>'RD T1'!E44</f>
        <v>9.5453744598376064E-2</v>
      </c>
      <c r="J16" s="68">
        <f t="shared" si="26"/>
        <v>0.29287531710847919</v>
      </c>
      <c r="L16" t="str">
        <f t="shared" si="27"/>
        <v>33 Protective service occupations</v>
      </c>
      <c r="M16" s="68">
        <v>1.3661647749452706</v>
      </c>
      <c r="N16" s="68">
        <v>1.5271898446150685</v>
      </c>
      <c r="O16" s="68">
        <v>1.6763225983669552</v>
      </c>
      <c r="P16" s="68">
        <v>2.5876707357741506</v>
      </c>
      <c r="Q16" s="68">
        <v>3.9984315417060898</v>
      </c>
      <c r="R16" s="11"/>
      <c r="S16" s="68">
        <f t="shared" si="28"/>
        <v>2.3221089433391349</v>
      </c>
      <c r="T16" s="68">
        <f>'RD T1'!E73</f>
        <v>1.0404468782347764</v>
      </c>
      <c r="U16" s="68">
        <f t="shared" si="29"/>
        <v>3.3625558215739115</v>
      </c>
      <c r="W16" t="str">
        <f t="shared" si="30"/>
        <v>33 Protective service occupations</v>
      </c>
      <c r="X16" s="68">
        <v>6.1394527798314709</v>
      </c>
      <c r="Y16" s="68">
        <v>6.5784706976248444</v>
      </c>
      <c r="Z16" s="68">
        <v>7.97911078423191</v>
      </c>
      <c r="AA16" s="68">
        <v>10.613340827014936</v>
      </c>
      <c r="AB16" s="68">
        <v>16.095663683799906</v>
      </c>
      <c r="AC16" s="68"/>
      <c r="AD16" s="68">
        <f t="shared" si="31"/>
        <v>8.1165528995679956</v>
      </c>
      <c r="AE16" s="68">
        <f>'RD T1'!E102</f>
        <v>5.3378714137181138</v>
      </c>
      <c r="AF16" s="68">
        <f t="shared" si="32"/>
        <v>13.454424313286109</v>
      </c>
      <c r="AH16" t="str">
        <f t="shared" si="33"/>
        <v>33 Protective service occupations</v>
      </c>
      <c r="AI16" s="68">
        <v>1.6549355637718379</v>
      </c>
      <c r="AJ16" s="68">
        <v>1.7081153850121407</v>
      </c>
      <c r="AK16" s="68">
        <v>2.0391927470453699</v>
      </c>
      <c r="AL16" s="68">
        <v>2.6542193987970721</v>
      </c>
      <c r="AM16" s="68">
        <v>3.853574185904296</v>
      </c>
      <c r="AN16" s="68"/>
      <c r="AO16" s="68">
        <f t="shared" si="34"/>
        <v>1.8143814388589261</v>
      </c>
      <c r="AP16" s="68">
        <f>'RD T1'!E131</f>
        <v>1.153032105566631</v>
      </c>
      <c r="AQ16" s="68">
        <f t="shared" si="35"/>
        <v>2.9674135444255572</v>
      </c>
      <c r="AS16" t="str">
        <f t="shared" si="36"/>
        <v>33 Protective service occupations</v>
      </c>
      <c r="AT16" s="68">
        <v>1.5703986753273103</v>
      </c>
      <c r="AU16" s="68">
        <v>1.3808971722694625</v>
      </c>
      <c r="AV16" s="68">
        <v>1.6510993863428607</v>
      </c>
      <c r="AW16" s="68">
        <v>1.8855557614515115</v>
      </c>
      <c r="AX16" s="68">
        <v>2.4267658821771998</v>
      </c>
      <c r="AY16" s="68"/>
      <c r="AZ16" s="68">
        <f t="shared" si="37"/>
        <v>0.77566649583433911</v>
      </c>
      <c r="BA16" s="68">
        <f>'RD T1'!E160</f>
        <v>0.78045111328218209</v>
      </c>
      <c r="BB16" s="68">
        <f t="shared" si="38"/>
        <v>1.5561176091165212</v>
      </c>
      <c r="BD16" t="str">
        <f t="shared" si="39"/>
        <v>33 Protective service occupations</v>
      </c>
      <c r="BE16" s="68">
        <v>6.2150797325023399</v>
      </c>
      <c r="BF16" s="68">
        <v>5.8641773211210868</v>
      </c>
      <c r="BG16" s="68">
        <v>5.7490938348596581</v>
      </c>
      <c r="BH16" s="68">
        <v>7.238812045716065</v>
      </c>
      <c r="BI16" s="68">
        <v>7.88617232208889</v>
      </c>
      <c r="BJ16" s="68"/>
      <c r="BK16" s="68">
        <f t="shared" si="40"/>
        <v>2.1370784872292319</v>
      </c>
      <c r="BL16" s="68">
        <f>'RD T1'!E189</f>
        <v>1.9113265137086457</v>
      </c>
      <c r="BM16" s="68">
        <f t="shared" si="41"/>
        <v>4.048405000937878</v>
      </c>
      <c r="BO16" t="str">
        <f t="shared" si="42"/>
        <v>33 Protective service occupations</v>
      </c>
      <c r="BP16" s="68">
        <v>7.5941556166761988</v>
      </c>
      <c r="BQ16" s="68">
        <v>7.1579617776215922</v>
      </c>
      <c r="BR16" s="68">
        <v>7.7647870328001201</v>
      </c>
      <c r="BS16" s="68">
        <v>8.5351118069045278</v>
      </c>
      <c r="BT16" s="68">
        <v>8.0708897200659191</v>
      </c>
      <c r="BU16" s="68"/>
      <c r="BV16" s="68">
        <f t="shared" si="43"/>
        <v>0.30610268726579903</v>
      </c>
      <c r="BW16" s="68">
        <f>'RD T1'!E218</f>
        <v>2.6075142554408268</v>
      </c>
      <c r="BX16" s="68">
        <f t="shared" si="44"/>
        <v>2.9136169427066259</v>
      </c>
      <c r="BZ16" t="str">
        <f t="shared" si="45"/>
        <v>33 Protective service occupations</v>
      </c>
      <c r="CA16" s="68">
        <v>4.6437000300786666</v>
      </c>
      <c r="CB16" s="68">
        <v>4.4637653170165352</v>
      </c>
      <c r="CC16" s="68">
        <v>4.3587636666747249</v>
      </c>
      <c r="CD16" s="68">
        <v>5.0836881706410377</v>
      </c>
      <c r="CE16" s="68">
        <v>4.0538328064880842</v>
      </c>
      <c r="CF16" s="68"/>
      <c r="CG16" s="68">
        <f t="shared" si="46"/>
        <v>-0.30493086018664073</v>
      </c>
      <c r="CH16" s="68">
        <f>'RD T1'!E247</f>
        <v>1.6636037723051689</v>
      </c>
      <c r="CI16" s="68">
        <f t="shared" si="47"/>
        <v>1.3586729121185281</v>
      </c>
      <c r="CK16" t="str">
        <f t="shared" si="48"/>
        <v>33 Protective service occupations</v>
      </c>
      <c r="CL16" s="68">
        <v>0.72680882774127686</v>
      </c>
      <c r="CM16" s="68">
        <v>0.64016988801178487</v>
      </c>
      <c r="CN16" s="68">
        <v>0.51579770601550856</v>
      </c>
      <c r="CO16" s="68">
        <v>0.39800848800353905</v>
      </c>
      <c r="CP16" s="68">
        <v>0.37898458796176909</v>
      </c>
      <c r="CQ16" s="68"/>
      <c r="CR16" s="68">
        <f t="shared" si="49"/>
        <v>-0.13681311805373947</v>
      </c>
      <c r="CS16" s="68">
        <f>'RD T1'!E276</f>
        <v>8.8841111543804141E-2</v>
      </c>
      <c r="CT16" s="68">
        <f t="shared" si="50"/>
        <v>-4.7972006509935328E-2</v>
      </c>
    </row>
    <row r="17" spans="1:98" x14ac:dyDescent="0.3">
      <c r="A17" s="10" t="str">
        <f>name!D13</f>
        <v>34 Culture, media and sports occupations</v>
      </c>
      <c r="B17" s="68">
        <v>0.6475295275622639</v>
      </c>
      <c r="C17" s="68">
        <v>0.83907108722323165</v>
      </c>
      <c r="D17" s="68">
        <v>0.95129943667385763</v>
      </c>
      <c r="E17" s="68">
        <v>1.2037206362801345</v>
      </c>
      <c r="F17" s="68">
        <v>1.6391525382878518</v>
      </c>
      <c r="G17" s="11"/>
      <c r="H17" s="68">
        <f t="shared" si="51"/>
        <v>0.68785310161399416</v>
      </c>
      <c r="I17" s="68">
        <f>'RD T1'!E45</f>
        <v>0.71807280787522765</v>
      </c>
      <c r="J17" s="68">
        <f t="shared" si="26"/>
        <v>1.4059259094892218</v>
      </c>
      <c r="L17" t="str">
        <f t="shared" si="27"/>
        <v>34 Culture, media and sports occupations</v>
      </c>
      <c r="M17" s="68">
        <v>9.0558740597395779</v>
      </c>
      <c r="N17" s="68">
        <v>9.8141425476956972</v>
      </c>
      <c r="O17" s="68">
        <v>13.106468086848743</v>
      </c>
      <c r="P17" s="68">
        <v>15.437708474056631</v>
      </c>
      <c r="Q17" s="68">
        <v>20.370721429540424</v>
      </c>
      <c r="R17" s="11"/>
      <c r="S17" s="68">
        <f t="shared" si="28"/>
        <v>7.2642533426916813</v>
      </c>
      <c r="T17" s="68">
        <f>'RD T1'!E74</f>
        <v>8.5848933489608914</v>
      </c>
      <c r="U17" s="68">
        <f t="shared" si="29"/>
        <v>15.849146691652573</v>
      </c>
      <c r="W17" t="str">
        <f t="shared" si="30"/>
        <v>34 Culture, media and sports occupations</v>
      </c>
      <c r="X17" s="68">
        <v>22.489687707153248</v>
      </c>
      <c r="Y17" s="68">
        <v>22.084605179371625</v>
      </c>
      <c r="Z17" s="68">
        <v>29.050386762143528</v>
      </c>
      <c r="AA17" s="68">
        <v>27.062514576070459</v>
      </c>
      <c r="AB17" s="68">
        <v>30.608159657044595</v>
      </c>
      <c r="AC17" s="68"/>
      <c r="AD17" s="68">
        <f t="shared" si="31"/>
        <v>1.557772894901067</v>
      </c>
      <c r="AE17" s="68">
        <f>'RD T1'!E103</f>
        <v>13.878440630273793</v>
      </c>
      <c r="AF17" s="68">
        <f t="shared" si="32"/>
        <v>15.43621352517486</v>
      </c>
      <c r="AH17" t="str">
        <f t="shared" si="33"/>
        <v>34 Culture, media and sports occupations</v>
      </c>
      <c r="AI17" s="68">
        <v>2.8290765277947703</v>
      </c>
      <c r="AJ17" s="68">
        <v>2.8960407496837641</v>
      </c>
      <c r="AK17" s="68">
        <v>3.6919902598103538</v>
      </c>
      <c r="AL17" s="68">
        <v>3.433224760781548</v>
      </c>
      <c r="AM17" s="68">
        <v>4.4315776815697951</v>
      </c>
      <c r="AN17" s="68"/>
      <c r="AO17" s="68">
        <f t="shared" si="34"/>
        <v>0.73958742175944137</v>
      </c>
      <c r="AP17" s="68">
        <f>'RD T1'!E132</f>
        <v>1.7487259646768065</v>
      </c>
      <c r="AQ17" s="68">
        <f t="shared" si="35"/>
        <v>2.4883133864362481</v>
      </c>
      <c r="AS17" t="str">
        <f t="shared" si="36"/>
        <v>34 Culture, media and sports occupations</v>
      </c>
      <c r="AT17" s="68">
        <v>3.562981615628702</v>
      </c>
      <c r="AU17" s="68">
        <v>3.2320289771577024</v>
      </c>
      <c r="AV17" s="68">
        <v>3.9858671851394782</v>
      </c>
      <c r="AW17" s="68">
        <v>3.3409629107874492</v>
      </c>
      <c r="AX17" s="68">
        <v>3.3697133961616736</v>
      </c>
      <c r="AY17" s="68"/>
      <c r="AZ17" s="68">
        <f t="shared" si="37"/>
        <v>-0.6161537889778046</v>
      </c>
      <c r="BA17" s="68">
        <f>'RD T1'!E161</f>
        <v>1.5281372191315321</v>
      </c>
      <c r="BB17" s="68">
        <f t="shared" si="38"/>
        <v>0.91198343015372751</v>
      </c>
      <c r="BD17" t="str">
        <f t="shared" si="39"/>
        <v>34 Culture, media and sports occupations</v>
      </c>
      <c r="BE17" s="68">
        <v>9.7253143588094915</v>
      </c>
      <c r="BF17" s="68">
        <v>9.6623125099019287</v>
      </c>
      <c r="BG17" s="68">
        <v>10.363670848500623</v>
      </c>
      <c r="BH17" s="68">
        <v>9.5577624012560918</v>
      </c>
      <c r="BI17" s="68">
        <v>9.9461699888887054</v>
      </c>
      <c r="BJ17" s="68"/>
      <c r="BK17" s="68">
        <f t="shared" si="40"/>
        <v>-0.41750085961191807</v>
      </c>
      <c r="BL17" s="68">
        <f>'RD T1'!E190</f>
        <v>3.6394018825012129</v>
      </c>
      <c r="BM17" s="68">
        <f t="shared" si="41"/>
        <v>3.2219010228892948</v>
      </c>
      <c r="BO17" t="str">
        <f t="shared" si="42"/>
        <v>34 Culture, media and sports occupations</v>
      </c>
      <c r="BP17" s="68">
        <v>6.2272691282321659</v>
      </c>
      <c r="BQ17" s="68">
        <v>5.1022150072652614</v>
      </c>
      <c r="BR17" s="68">
        <v>5.6796539456635164</v>
      </c>
      <c r="BS17" s="68">
        <v>4.2773349767550179</v>
      </c>
      <c r="BT17" s="68">
        <v>2.6849529137976913</v>
      </c>
      <c r="BU17" s="68"/>
      <c r="BV17" s="68">
        <f t="shared" si="43"/>
        <v>-2.9947010318658251</v>
      </c>
      <c r="BW17" s="68">
        <f>'RD T1'!E219</f>
        <v>1.4696515190358401</v>
      </c>
      <c r="BX17" s="68">
        <f t="shared" si="44"/>
        <v>-1.525049512829985</v>
      </c>
      <c r="BZ17" t="str">
        <f t="shared" si="45"/>
        <v>34 Culture, media and sports occupations</v>
      </c>
      <c r="CA17" s="68">
        <v>5.3090568038261923</v>
      </c>
      <c r="CB17" s="68">
        <v>5.0946802397735844</v>
      </c>
      <c r="CC17" s="68">
        <v>4.4548837825178511</v>
      </c>
      <c r="CD17" s="68">
        <v>3.4806625031521743</v>
      </c>
      <c r="CE17" s="68">
        <v>2.2255257373133301</v>
      </c>
      <c r="CF17" s="68"/>
      <c r="CG17" s="68">
        <f t="shared" si="46"/>
        <v>-2.229358045204521</v>
      </c>
      <c r="CH17" s="68">
        <f>'RD T1'!E248</f>
        <v>1.1598270595687787</v>
      </c>
      <c r="CI17" s="68">
        <f t="shared" si="47"/>
        <v>-1.0695309856357422</v>
      </c>
      <c r="CK17" t="str">
        <f t="shared" si="48"/>
        <v>34 Culture, media and sports occupations</v>
      </c>
      <c r="CL17" s="68">
        <v>1.3800076456600481</v>
      </c>
      <c r="CM17" s="68">
        <v>1.6805312125524474</v>
      </c>
      <c r="CN17" s="68">
        <v>1.4818282318193285</v>
      </c>
      <c r="CO17" s="68">
        <v>1.3610572509864021</v>
      </c>
      <c r="CP17" s="68">
        <v>0.94808303783826231</v>
      </c>
      <c r="CQ17" s="68"/>
      <c r="CR17" s="68">
        <f t="shared" si="49"/>
        <v>-0.53374519398106623</v>
      </c>
      <c r="CS17" s="68">
        <f>'RD T1'!E277</f>
        <v>0.37942321093614956</v>
      </c>
      <c r="CT17" s="68">
        <f t="shared" si="50"/>
        <v>-0.15432198304491668</v>
      </c>
    </row>
    <row r="18" spans="1:98" x14ac:dyDescent="0.3">
      <c r="A18" s="10" t="str">
        <f>name!D14</f>
        <v>35 Business and public service associate professionals</v>
      </c>
      <c r="B18" s="68">
        <v>1.8594771416871139</v>
      </c>
      <c r="C18" s="68">
        <v>2.2882263838428192</v>
      </c>
      <c r="D18" s="68">
        <v>2.3236140081150225</v>
      </c>
      <c r="E18" s="68">
        <v>2.9273713139594517</v>
      </c>
      <c r="F18" s="68">
        <v>3.9371325813763676</v>
      </c>
      <c r="G18" s="11"/>
      <c r="H18" s="68">
        <f t="shared" si="51"/>
        <v>1.6135185732613451</v>
      </c>
      <c r="I18" s="68">
        <f>'RD T1'!E46</f>
        <v>1.5509437069092593</v>
      </c>
      <c r="J18" s="68">
        <f t="shared" si="26"/>
        <v>3.1644622801706044</v>
      </c>
      <c r="L18" t="str">
        <f t="shared" si="27"/>
        <v>35 Business and public service associate professionals</v>
      </c>
      <c r="M18" s="68">
        <v>18.697656301574856</v>
      </c>
      <c r="N18" s="68">
        <v>23.893510808243867</v>
      </c>
      <c r="O18" s="68">
        <v>23.461283973310287</v>
      </c>
      <c r="P18" s="68">
        <v>29.15864493955916</v>
      </c>
      <c r="Q18" s="68">
        <v>38.249061546336009</v>
      </c>
      <c r="R18" s="11"/>
      <c r="S18" s="68">
        <f t="shared" si="28"/>
        <v>14.787777573025721</v>
      </c>
      <c r="T18" s="68">
        <f>'RD T1'!E75</f>
        <v>15.733228868697209</v>
      </c>
      <c r="U18" s="68">
        <f t="shared" si="29"/>
        <v>30.521006441722932</v>
      </c>
      <c r="W18" t="str">
        <f t="shared" si="30"/>
        <v>35 Business and public service associate professionals</v>
      </c>
      <c r="X18" s="68">
        <v>45.823949633462718</v>
      </c>
      <c r="Y18" s="68">
        <v>49.784261967467565</v>
      </c>
      <c r="Z18" s="68">
        <v>54.717474751803181</v>
      </c>
      <c r="AA18" s="68">
        <v>52.594156430973705</v>
      </c>
      <c r="AB18" s="68">
        <v>58.951371864875348</v>
      </c>
      <c r="AC18" s="68"/>
      <c r="AD18" s="68">
        <f t="shared" si="31"/>
        <v>4.2338971130721674</v>
      </c>
      <c r="AE18" s="68">
        <f>'RD T1'!E104</f>
        <v>27.871818993254177</v>
      </c>
      <c r="AF18" s="68">
        <f t="shared" si="32"/>
        <v>32.105716106326341</v>
      </c>
      <c r="AH18" t="str">
        <f t="shared" si="33"/>
        <v>35 Business and public service associate professionals</v>
      </c>
      <c r="AI18" s="68">
        <v>11.896978433477805</v>
      </c>
      <c r="AJ18" s="68">
        <v>12.965670326773973</v>
      </c>
      <c r="AK18" s="68">
        <v>14.976590704227821</v>
      </c>
      <c r="AL18" s="68">
        <v>14.607112583196438</v>
      </c>
      <c r="AM18" s="68">
        <v>17.316551026603658</v>
      </c>
      <c r="AN18" s="68"/>
      <c r="AO18" s="68">
        <f t="shared" si="34"/>
        <v>2.3399603223758376</v>
      </c>
      <c r="AP18" s="68">
        <f>'RD T1'!E133</f>
        <v>7.5706105411821873</v>
      </c>
      <c r="AQ18" s="68">
        <f t="shared" si="35"/>
        <v>9.910570863558025</v>
      </c>
      <c r="AS18" t="str">
        <f t="shared" si="36"/>
        <v>35 Business and public service associate professionals</v>
      </c>
      <c r="AT18" s="68">
        <v>11.072018063891306</v>
      </c>
      <c r="AU18" s="68">
        <v>11.82004362251598</v>
      </c>
      <c r="AV18" s="68">
        <v>13.280890673245711</v>
      </c>
      <c r="AW18" s="68">
        <v>12.685604409850839</v>
      </c>
      <c r="AX18" s="68">
        <v>14.540270770596223</v>
      </c>
      <c r="AY18" s="68"/>
      <c r="AZ18" s="68">
        <f t="shared" si="37"/>
        <v>1.2593800973505118</v>
      </c>
      <c r="BA18" s="68">
        <f>'RD T1'!E162</f>
        <v>6.3670156231224233</v>
      </c>
      <c r="BB18" s="68">
        <f t="shared" si="38"/>
        <v>7.6263957204729351</v>
      </c>
      <c r="BD18" t="str">
        <f t="shared" si="39"/>
        <v>35 Business and public service associate professionals</v>
      </c>
      <c r="BE18" s="68">
        <v>35.328181925838955</v>
      </c>
      <c r="BF18" s="68">
        <v>35.85646424501428</v>
      </c>
      <c r="BG18" s="68">
        <v>35.694597325302986</v>
      </c>
      <c r="BH18" s="68">
        <v>34.736034049973448</v>
      </c>
      <c r="BI18" s="68">
        <v>34.328996251304311</v>
      </c>
      <c r="BJ18" s="68"/>
      <c r="BK18" s="68">
        <f t="shared" si="40"/>
        <v>-1.3656010739986755</v>
      </c>
      <c r="BL18" s="68">
        <f>'RD T1'!E191</f>
        <v>15.227068176345265</v>
      </c>
      <c r="BM18" s="68">
        <f t="shared" si="41"/>
        <v>13.861467102346589</v>
      </c>
      <c r="BO18" t="str">
        <f t="shared" si="42"/>
        <v>35 Business and public service associate professionals</v>
      </c>
      <c r="BP18" s="68">
        <v>32.252229389590248</v>
      </c>
      <c r="BQ18" s="68">
        <v>32.724477719395566</v>
      </c>
      <c r="BR18" s="68">
        <v>33.420164227229407</v>
      </c>
      <c r="BS18" s="68">
        <v>29.068726623331287</v>
      </c>
      <c r="BT18" s="68">
        <v>24.58499829151587</v>
      </c>
      <c r="BU18" s="68"/>
      <c r="BV18" s="68">
        <f t="shared" si="43"/>
        <v>-8.8351659357135368</v>
      </c>
      <c r="BW18" s="68">
        <f>'RD T1'!E220</f>
        <v>11.280813773132859</v>
      </c>
      <c r="BX18" s="68">
        <f t="shared" si="44"/>
        <v>2.4456478374193225</v>
      </c>
      <c r="BZ18" t="str">
        <f t="shared" si="45"/>
        <v>35 Business and public service associate professionals</v>
      </c>
      <c r="CA18" s="68">
        <v>21.274774922237818</v>
      </c>
      <c r="CB18" s="68">
        <v>21.864542942244352</v>
      </c>
      <c r="CC18" s="68">
        <v>19.937274742290672</v>
      </c>
      <c r="CD18" s="68">
        <v>17.002981826376196</v>
      </c>
      <c r="CE18" s="68">
        <v>12.181660292371403</v>
      </c>
      <c r="CF18" s="68"/>
      <c r="CG18" s="68">
        <f t="shared" si="46"/>
        <v>-7.7556144499192694</v>
      </c>
      <c r="CH18" s="68">
        <f>'RD T1'!E249</f>
        <v>5.7895759230653319</v>
      </c>
      <c r="CI18" s="68">
        <f t="shared" si="47"/>
        <v>-1.9660385268539375</v>
      </c>
      <c r="CK18" t="str">
        <f t="shared" si="48"/>
        <v>35 Business and public service associate professionals</v>
      </c>
      <c r="CL18" s="68">
        <v>4.033262596099302</v>
      </c>
      <c r="CM18" s="68">
        <v>4.5073507682209399</v>
      </c>
      <c r="CN18" s="68">
        <v>3.488559318380553</v>
      </c>
      <c r="CO18" s="68">
        <v>2.8705624946739765</v>
      </c>
      <c r="CP18" s="68">
        <v>3.1609567768842748</v>
      </c>
      <c r="CQ18" s="68"/>
      <c r="CR18" s="68">
        <f t="shared" si="49"/>
        <v>-0.32760254149627821</v>
      </c>
      <c r="CS18" s="68">
        <f>'RD T1'!E278</f>
        <v>0.92805177312218667</v>
      </c>
      <c r="CT18" s="68">
        <f t="shared" si="50"/>
        <v>0.60044923162590846</v>
      </c>
    </row>
    <row r="19" spans="1:98" x14ac:dyDescent="0.3">
      <c r="A19" s="10" t="str">
        <f>name!D15</f>
        <v>41 Administrative occupations</v>
      </c>
      <c r="B19" s="68">
        <v>1.1308633196466795</v>
      </c>
      <c r="C19" s="68">
        <v>1.3019058215702062</v>
      </c>
      <c r="D19" s="68">
        <v>1.3034166574946533</v>
      </c>
      <c r="E19" s="68">
        <v>1.7024496967490095</v>
      </c>
      <c r="F19" s="68">
        <v>2.4867820378242489</v>
      </c>
      <c r="G19" s="11"/>
      <c r="H19" s="68">
        <f t="shared" si="51"/>
        <v>1.1833653803295956</v>
      </c>
      <c r="I19" s="68">
        <f>'RD T1'!E47</f>
        <v>1.0374163468402149</v>
      </c>
      <c r="J19" s="68">
        <f t="shared" si="26"/>
        <v>2.2207817271698103</v>
      </c>
      <c r="L19" t="str">
        <f t="shared" si="27"/>
        <v>41 Administrative occupations</v>
      </c>
      <c r="M19" s="68">
        <v>11.771931345123118</v>
      </c>
      <c r="N19" s="68">
        <v>15.052954838508485</v>
      </c>
      <c r="O19" s="68">
        <v>15.115023149260534</v>
      </c>
      <c r="P19" s="68">
        <v>19.108367200531845</v>
      </c>
      <c r="Q19" s="68">
        <v>25.76071927256762</v>
      </c>
      <c r="R19" s="11"/>
      <c r="S19" s="68">
        <f t="shared" si="28"/>
        <v>10.645696123307086</v>
      </c>
      <c r="T19" s="68">
        <f>'RD T1'!E76</f>
        <v>11.250022712156202</v>
      </c>
      <c r="U19" s="68">
        <f t="shared" si="29"/>
        <v>21.895718835463288</v>
      </c>
      <c r="W19" t="str">
        <f t="shared" si="30"/>
        <v>41 Administrative occupations</v>
      </c>
      <c r="X19" s="68">
        <v>42.094534848200439</v>
      </c>
      <c r="Y19" s="68">
        <v>44.100576870114203</v>
      </c>
      <c r="Z19" s="68">
        <v>52.241190284984533</v>
      </c>
      <c r="AA19" s="68">
        <v>51.503662855201959</v>
      </c>
      <c r="AB19" s="68">
        <v>60.345808401370803</v>
      </c>
      <c r="AC19" s="68"/>
      <c r="AD19" s="68">
        <f t="shared" si="31"/>
        <v>8.1046181163862698</v>
      </c>
      <c r="AE19" s="68">
        <f>'RD T1'!E105</f>
        <v>30.518692618198536</v>
      </c>
      <c r="AF19" s="68">
        <f t="shared" si="32"/>
        <v>38.623310734584805</v>
      </c>
      <c r="AH19" t="str">
        <f t="shared" si="33"/>
        <v>41 Administrative occupations</v>
      </c>
      <c r="AI19" s="68">
        <v>16.038969277857696</v>
      </c>
      <c r="AJ19" s="68">
        <v>17.223456273116224</v>
      </c>
      <c r="AK19" s="68">
        <v>21.181612216291242</v>
      </c>
      <c r="AL19" s="68">
        <v>20.391606101819093</v>
      </c>
      <c r="AM19" s="68">
        <v>23.950995643009819</v>
      </c>
      <c r="AN19" s="68"/>
      <c r="AO19" s="68">
        <f t="shared" si="34"/>
        <v>2.7693834267185764</v>
      </c>
      <c r="AP19" s="68">
        <f>'RD T1'!E134</f>
        <v>12.74994760285723</v>
      </c>
      <c r="AQ19" s="68">
        <f t="shared" si="35"/>
        <v>15.519331029575806</v>
      </c>
      <c r="AS19" t="str">
        <f t="shared" si="36"/>
        <v>41 Administrative occupations</v>
      </c>
      <c r="AT19" s="68">
        <v>14.86498629636846</v>
      </c>
      <c r="AU19" s="68">
        <v>15.620948266928799</v>
      </c>
      <c r="AV19" s="68">
        <v>18.301882492778784</v>
      </c>
      <c r="AW19" s="68">
        <v>17.178881205499742</v>
      </c>
      <c r="AX19" s="68">
        <v>20.230898754982697</v>
      </c>
      <c r="AY19" s="68"/>
      <c r="AZ19" s="68">
        <f t="shared" si="37"/>
        <v>1.9290162622039126</v>
      </c>
      <c r="BA19" s="68">
        <f>'RD T1'!E163</f>
        <v>10.223698481630908</v>
      </c>
      <c r="BB19" s="68">
        <f t="shared" si="38"/>
        <v>12.152714743834821</v>
      </c>
      <c r="BD19" t="str">
        <f t="shared" si="39"/>
        <v>41 Administrative occupations</v>
      </c>
      <c r="BE19" s="68">
        <v>54.291153979206015</v>
      </c>
      <c r="BF19" s="68">
        <v>49.940519169132124</v>
      </c>
      <c r="BG19" s="68">
        <v>51.364349121008757</v>
      </c>
      <c r="BH19" s="68">
        <v>48.283885954735936</v>
      </c>
      <c r="BI19" s="68">
        <v>42.800089836410372</v>
      </c>
      <c r="BJ19" s="68"/>
      <c r="BK19" s="68">
        <f t="shared" si="40"/>
        <v>-8.5642592845983856</v>
      </c>
      <c r="BL19" s="68">
        <f>'RD T1'!E192</f>
        <v>23.666527925842928</v>
      </c>
      <c r="BM19" s="68">
        <f t="shared" si="41"/>
        <v>15.102268641244542</v>
      </c>
      <c r="BO19" t="str">
        <f t="shared" si="42"/>
        <v>41 Administrative occupations</v>
      </c>
      <c r="BP19" s="68">
        <v>69.284539597869866</v>
      </c>
      <c r="BQ19" s="68">
        <v>66.292154145504782</v>
      </c>
      <c r="BR19" s="68">
        <v>63.393458380975083</v>
      </c>
      <c r="BS19" s="68">
        <v>54.383196871308272</v>
      </c>
      <c r="BT19" s="68">
        <v>37.854650120393906</v>
      </c>
      <c r="BU19" s="68"/>
      <c r="BV19" s="68">
        <f t="shared" si="43"/>
        <v>-25.538808260581177</v>
      </c>
      <c r="BW19" s="68">
        <f>'RD T1'!E221</f>
        <v>21.891759935832841</v>
      </c>
      <c r="BX19" s="68">
        <f t="shared" si="44"/>
        <v>-3.6470483247483365</v>
      </c>
      <c r="BZ19" t="str">
        <f t="shared" si="45"/>
        <v>41 Administrative occupations</v>
      </c>
      <c r="CA19" s="68">
        <v>40.818289072417592</v>
      </c>
      <c r="CB19" s="68">
        <v>37.788506972296418</v>
      </c>
      <c r="CC19" s="68">
        <v>32.007050911869413</v>
      </c>
      <c r="CD19" s="68">
        <v>23.558974711449569</v>
      </c>
      <c r="CE19" s="68">
        <v>9.8132288751231105</v>
      </c>
      <c r="CF19" s="68"/>
      <c r="CG19" s="68">
        <f t="shared" si="46"/>
        <v>-22.193822036746305</v>
      </c>
      <c r="CH19" s="68">
        <f>'RD T1'!E250</f>
        <v>7.3584388173999624</v>
      </c>
      <c r="CI19" s="68">
        <f t="shared" si="47"/>
        <v>-14.835383219346342</v>
      </c>
      <c r="CK19" t="str">
        <f t="shared" si="48"/>
        <v>41 Administrative occupations</v>
      </c>
      <c r="CL19" s="68">
        <v>9.3148355626670369</v>
      </c>
      <c r="CM19" s="68">
        <v>8.992734314052079</v>
      </c>
      <c r="CN19" s="68">
        <v>6.8477546947783621</v>
      </c>
      <c r="CO19" s="68">
        <v>5.3574535166570767</v>
      </c>
      <c r="CP19" s="68">
        <v>4.4082497551220756</v>
      </c>
      <c r="CQ19" s="68"/>
      <c r="CR19" s="68">
        <f t="shared" si="49"/>
        <v>-2.4395049396562865</v>
      </c>
      <c r="CS19" s="68">
        <f>'RD T1'!E279</f>
        <v>1.5088713171702339</v>
      </c>
      <c r="CT19" s="68">
        <f t="shared" si="50"/>
        <v>-0.93063362248605253</v>
      </c>
    </row>
    <row r="20" spans="1:98" x14ac:dyDescent="0.3">
      <c r="A20" s="10" t="str">
        <f>name!D16</f>
        <v>42 Secretarial and related occupations</v>
      </c>
      <c r="B20" s="68">
        <v>0.11585597072330782</v>
      </c>
      <c r="C20" s="68">
        <v>0.14601336806432555</v>
      </c>
      <c r="D20" s="68">
        <v>0.13584952569224615</v>
      </c>
      <c r="E20" s="68">
        <v>0.22745613598825007</v>
      </c>
      <c r="F20" s="68">
        <v>0.40198036186155967</v>
      </c>
      <c r="G20" s="11"/>
      <c r="H20" s="68">
        <f t="shared" si="51"/>
        <v>0.26613083616931354</v>
      </c>
      <c r="I20" s="68">
        <f>'RD T1'!E48</f>
        <v>0.17126525030325912</v>
      </c>
      <c r="J20" s="68">
        <f t="shared" si="26"/>
        <v>0.43739608647257266</v>
      </c>
      <c r="L20" t="str">
        <f t="shared" si="27"/>
        <v>42 Secretarial and related occupations</v>
      </c>
      <c r="M20" s="68">
        <v>2.3183797916032463</v>
      </c>
      <c r="N20" s="68">
        <v>2.7976744852783937</v>
      </c>
      <c r="O20" s="68">
        <v>2.859257953832584</v>
      </c>
      <c r="P20" s="68">
        <v>4.5675863836639525</v>
      </c>
      <c r="Q20" s="68">
        <v>5.566596546992101</v>
      </c>
      <c r="R20" s="11"/>
      <c r="S20" s="68">
        <f t="shared" si="28"/>
        <v>2.7073385931595171</v>
      </c>
      <c r="T20" s="68">
        <f>'RD T1'!E77</f>
        <v>2.668798918737644</v>
      </c>
      <c r="U20" s="68">
        <f t="shared" si="29"/>
        <v>5.376137511897161</v>
      </c>
      <c r="W20" t="str">
        <f t="shared" si="30"/>
        <v>42 Secretarial and related occupations</v>
      </c>
      <c r="X20" s="68">
        <v>8.4950773462783626</v>
      </c>
      <c r="Y20" s="68">
        <v>8.7128432428058566</v>
      </c>
      <c r="Z20" s="68">
        <v>10.447507531900134</v>
      </c>
      <c r="AA20" s="68">
        <v>13.773062885702279</v>
      </c>
      <c r="AB20" s="68">
        <v>17.055466719184711</v>
      </c>
      <c r="AC20" s="68"/>
      <c r="AD20" s="68">
        <f t="shared" si="31"/>
        <v>6.6079591872845764</v>
      </c>
      <c r="AE20" s="68">
        <f>'RD T1'!E106</f>
        <v>9.0184794253586382</v>
      </c>
      <c r="AF20" s="68">
        <f t="shared" si="32"/>
        <v>15.626438612643215</v>
      </c>
      <c r="AH20" t="str">
        <f t="shared" si="33"/>
        <v>42 Secretarial and related occupations</v>
      </c>
      <c r="AI20" s="68">
        <v>4.2271109775041928</v>
      </c>
      <c r="AJ20" s="68">
        <v>4.4030346685596538</v>
      </c>
      <c r="AK20" s="68">
        <v>5.3914544747458821</v>
      </c>
      <c r="AL20" s="68">
        <v>6.6647209325503569</v>
      </c>
      <c r="AM20" s="68">
        <v>7.1977593433845914</v>
      </c>
      <c r="AN20" s="68"/>
      <c r="AO20" s="68">
        <f t="shared" si="34"/>
        <v>1.8063048686387093</v>
      </c>
      <c r="AP20" s="68">
        <f>'RD T1'!E135</f>
        <v>4.0871784461030911</v>
      </c>
      <c r="AQ20" s="68">
        <f t="shared" si="35"/>
        <v>5.8934833147418004</v>
      </c>
      <c r="AS20" t="str">
        <f t="shared" si="36"/>
        <v>42 Secretarial and related occupations</v>
      </c>
      <c r="AT20" s="68">
        <v>3.3473019963756605</v>
      </c>
      <c r="AU20" s="68">
        <v>3.3280459298592313</v>
      </c>
      <c r="AV20" s="68">
        <v>4.1334812401332446</v>
      </c>
      <c r="AW20" s="68">
        <v>4.6437940536457187</v>
      </c>
      <c r="AX20" s="68">
        <v>3.9339377815814998</v>
      </c>
      <c r="AY20" s="68"/>
      <c r="AZ20" s="68">
        <f t="shared" si="37"/>
        <v>-0.19954345855174482</v>
      </c>
      <c r="BA20" s="68">
        <f>'RD T1'!E164</f>
        <v>2.531013541881348</v>
      </c>
      <c r="BB20" s="68">
        <f t="shared" si="38"/>
        <v>2.3314700833296031</v>
      </c>
      <c r="BD20" t="str">
        <f t="shared" si="39"/>
        <v>42 Secretarial and related occupations</v>
      </c>
      <c r="BE20" s="68">
        <v>14.551302901722924</v>
      </c>
      <c r="BF20" s="68">
        <v>12.183928918215271</v>
      </c>
      <c r="BG20" s="68">
        <v>12.62308671036627</v>
      </c>
      <c r="BH20" s="68">
        <v>15.615155919315931</v>
      </c>
      <c r="BI20" s="68">
        <v>9.541794691691404</v>
      </c>
      <c r="BJ20" s="68"/>
      <c r="BK20" s="68">
        <f t="shared" si="40"/>
        <v>-3.0812920186748656</v>
      </c>
      <c r="BL20" s="68">
        <f>'RD T1'!E193</f>
        <v>7.1726516426755271</v>
      </c>
      <c r="BM20" s="68">
        <f t="shared" si="41"/>
        <v>4.0913596240006616</v>
      </c>
      <c r="BO20" t="str">
        <f t="shared" si="42"/>
        <v>42 Secretarial and related occupations</v>
      </c>
      <c r="BP20" s="68">
        <v>20.790747913307616</v>
      </c>
      <c r="BQ20" s="68">
        <v>18.478029967873653</v>
      </c>
      <c r="BR20" s="68">
        <v>15.915230110772669</v>
      </c>
      <c r="BS20" s="68">
        <v>13.963082029436906</v>
      </c>
      <c r="BT20" s="68">
        <v>3.5345851184978354</v>
      </c>
      <c r="BU20" s="68"/>
      <c r="BV20" s="68">
        <f t="shared" si="43"/>
        <v>-12.380644992274833</v>
      </c>
      <c r="BW20" s="68">
        <f>'RD T1'!E222</f>
        <v>4.8851709712443956</v>
      </c>
      <c r="BX20" s="68">
        <f t="shared" si="44"/>
        <v>-7.4954740210304376</v>
      </c>
      <c r="BZ20" t="str">
        <f t="shared" si="45"/>
        <v>42 Secretarial and related occupations</v>
      </c>
      <c r="CA20" s="68">
        <v>17.880911956716957</v>
      </c>
      <c r="CB20" s="68">
        <v>17.359125385584296</v>
      </c>
      <c r="CC20" s="68">
        <v>14.241970831475157</v>
      </c>
      <c r="CD20" s="68">
        <v>8.6865446793766505</v>
      </c>
      <c r="CE20" s="68">
        <v>1.6128435802586585</v>
      </c>
      <c r="CF20" s="68"/>
      <c r="CG20" s="68">
        <f t="shared" si="46"/>
        <v>-12.629127251216499</v>
      </c>
      <c r="CH20" s="68">
        <f>'RD T1'!E251</f>
        <v>2.7811630719330518</v>
      </c>
      <c r="CI20" s="68">
        <f t="shared" si="47"/>
        <v>-9.8479641792834478</v>
      </c>
      <c r="CK20" t="str">
        <f t="shared" si="48"/>
        <v>42 Secretarial and related occupations</v>
      </c>
      <c r="CL20" s="68">
        <v>3.9134296100180985</v>
      </c>
      <c r="CM20" s="68">
        <v>4.3586920013974071</v>
      </c>
      <c r="CN20" s="68">
        <v>3.2069031516965381</v>
      </c>
      <c r="CO20" s="68">
        <v>3.4185793909478015</v>
      </c>
      <c r="CP20" s="68">
        <v>3.8584163584310809</v>
      </c>
      <c r="CQ20" s="68"/>
      <c r="CR20" s="68">
        <f t="shared" si="49"/>
        <v>0.65151320673454283</v>
      </c>
      <c r="CS20" s="68">
        <f>'RD T1'!E280</f>
        <v>1.2886197910313169</v>
      </c>
      <c r="CT20" s="68">
        <f t="shared" si="50"/>
        <v>1.9401329977658597</v>
      </c>
    </row>
    <row r="21" spans="1:98" x14ac:dyDescent="0.3">
      <c r="A21" s="10" t="str">
        <f>name!D17</f>
        <v>51 Skilled agricultural and related trades</v>
      </c>
      <c r="B21" s="68">
        <v>7.9934959907772912E-2</v>
      </c>
      <c r="C21" s="68">
        <v>0.12987155106282008</v>
      </c>
      <c r="D21" s="68">
        <v>9.2339276643038981E-2</v>
      </c>
      <c r="E21" s="68">
        <v>0.12820025629492923</v>
      </c>
      <c r="F21" s="68">
        <v>0.19737913827716877</v>
      </c>
      <c r="G21" s="11"/>
      <c r="H21" s="68">
        <f t="shared" si="51"/>
        <v>0.10503986163412979</v>
      </c>
      <c r="I21" s="68">
        <f>'RD T1'!E49</f>
        <v>9.8028114310835232E-2</v>
      </c>
      <c r="J21" s="68">
        <f t="shared" si="26"/>
        <v>0.20306797594496501</v>
      </c>
      <c r="L21" t="str">
        <f t="shared" si="27"/>
        <v>51 Skilled agricultural and related trades</v>
      </c>
      <c r="M21" s="68">
        <v>0.4637685819769049</v>
      </c>
      <c r="N21" s="68">
        <v>0.58218584761439429</v>
      </c>
      <c r="O21" s="68">
        <v>0.33138723104367102</v>
      </c>
      <c r="P21" s="68">
        <v>0.43840227177755081</v>
      </c>
      <c r="Q21" s="68">
        <v>0.62939781959925334</v>
      </c>
      <c r="R21" s="11"/>
      <c r="S21" s="68">
        <f t="shared" si="28"/>
        <v>0.29801058855558232</v>
      </c>
      <c r="T21" s="68">
        <f>'RD T1'!E78</f>
        <v>0.28555083209819931</v>
      </c>
      <c r="U21" s="68">
        <f t="shared" si="29"/>
        <v>0.58356142065378158</v>
      </c>
      <c r="W21" t="str">
        <f t="shared" si="30"/>
        <v>51 Skilled agricultural and related trades</v>
      </c>
      <c r="X21" s="68">
        <v>4.1446902362205496</v>
      </c>
      <c r="Y21" s="68">
        <v>4.786155264009329</v>
      </c>
      <c r="Z21" s="68">
        <v>4.2117242709387526</v>
      </c>
      <c r="AA21" s="68">
        <v>4.7152476398574157</v>
      </c>
      <c r="AB21" s="68">
        <v>6.5104896300482729</v>
      </c>
      <c r="AC21" s="68"/>
      <c r="AD21" s="68">
        <f t="shared" si="31"/>
        <v>2.2987653591095203</v>
      </c>
      <c r="AE21" s="68">
        <f>'RD T1'!E107</f>
        <v>3.5691066894039021</v>
      </c>
      <c r="AF21" s="68">
        <f t="shared" si="32"/>
        <v>5.8678720485134228</v>
      </c>
      <c r="AH21" t="str">
        <f t="shared" si="33"/>
        <v>51 Skilled agricultural and related trades</v>
      </c>
      <c r="AI21" s="68">
        <v>1.7878858360383552</v>
      </c>
      <c r="AJ21" s="68">
        <v>2.2245942333570783</v>
      </c>
      <c r="AK21" s="68">
        <v>1.6752286233303719</v>
      </c>
      <c r="AL21" s="68">
        <v>1.9760096863915584</v>
      </c>
      <c r="AM21" s="68">
        <v>2.6008146354857389</v>
      </c>
      <c r="AN21" s="68"/>
      <c r="AO21" s="68">
        <f t="shared" si="34"/>
        <v>0.92558601215536696</v>
      </c>
      <c r="AP21" s="68">
        <f>'RD T1'!E136</f>
        <v>1.5234185512232872</v>
      </c>
      <c r="AQ21" s="68">
        <f t="shared" si="35"/>
        <v>2.4490045633786544</v>
      </c>
      <c r="AS21" t="str">
        <f t="shared" si="36"/>
        <v>51 Skilled agricultural and related trades</v>
      </c>
      <c r="AT21" s="68">
        <v>3.1466363112011693</v>
      </c>
      <c r="AU21" s="68">
        <v>3.3790679637110768</v>
      </c>
      <c r="AV21" s="68">
        <v>2.5900785163916886</v>
      </c>
      <c r="AW21" s="68">
        <v>3.0109739906494584</v>
      </c>
      <c r="AX21" s="68">
        <v>4.1761982688698671</v>
      </c>
      <c r="AY21" s="68"/>
      <c r="AZ21" s="68">
        <f t="shared" si="37"/>
        <v>1.5861197524781785</v>
      </c>
      <c r="BA21" s="68">
        <f>'RD T1'!E165</f>
        <v>2.162303556305825</v>
      </c>
      <c r="BB21" s="68">
        <f t="shared" si="38"/>
        <v>3.7484233087840035</v>
      </c>
      <c r="BD21" t="str">
        <f t="shared" si="39"/>
        <v>51 Skilled agricultural and related trades</v>
      </c>
      <c r="BE21" s="68">
        <v>6.0931255460204738</v>
      </c>
      <c r="BF21" s="68">
        <v>6.5622017228675249</v>
      </c>
      <c r="BG21" s="68">
        <v>3.5728215344385874</v>
      </c>
      <c r="BH21" s="68">
        <v>3.8742802431268006</v>
      </c>
      <c r="BI21" s="68">
        <v>4.3221584471791079</v>
      </c>
      <c r="BJ21" s="68"/>
      <c r="BK21" s="68">
        <f t="shared" si="40"/>
        <v>0.7493369127405205</v>
      </c>
      <c r="BL21" s="68">
        <f>'RD T1'!E194</f>
        <v>2.1019753335944613</v>
      </c>
      <c r="BM21" s="68">
        <f t="shared" si="41"/>
        <v>2.8513122463349818</v>
      </c>
      <c r="BO21" t="str">
        <f t="shared" si="42"/>
        <v>51 Skilled agricultural and related trades</v>
      </c>
      <c r="BP21" s="68">
        <v>9.9687898790454259</v>
      </c>
      <c r="BQ21" s="68">
        <v>10.499087508276382</v>
      </c>
      <c r="BR21" s="68">
        <v>7.362298329096947</v>
      </c>
      <c r="BS21" s="68">
        <v>7.2919064356568217</v>
      </c>
      <c r="BT21" s="68">
        <v>7.7072570972265826</v>
      </c>
      <c r="BU21" s="68"/>
      <c r="BV21" s="68">
        <f t="shared" si="43"/>
        <v>0.34495876812963555</v>
      </c>
      <c r="BW21" s="68">
        <f>'RD T1'!E223</f>
        <v>4.0430204059087593</v>
      </c>
      <c r="BX21" s="68">
        <f t="shared" si="44"/>
        <v>4.3879791740383949</v>
      </c>
      <c r="BZ21" t="str">
        <f t="shared" si="45"/>
        <v>51 Skilled agricultural and related trades</v>
      </c>
      <c r="CA21" s="68">
        <v>8.5950331499103196</v>
      </c>
      <c r="CB21" s="68">
        <v>8.396626787457711</v>
      </c>
      <c r="CC21" s="68">
        <v>5.4748059128580344</v>
      </c>
      <c r="CD21" s="68">
        <v>5.3455395871834819</v>
      </c>
      <c r="CE21" s="68">
        <v>6.7932259009697633</v>
      </c>
      <c r="CF21" s="68"/>
      <c r="CG21" s="68">
        <f t="shared" si="46"/>
        <v>1.3184199881117289</v>
      </c>
      <c r="CH21" s="68">
        <f>'RD T1'!E252</f>
        <v>2.7200195992335674</v>
      </c>
      <c r="CI21" s="68">
        <f t="shared" si="47"/>
        <v>4.0384395873452963</v>
      </c>
      <c r="CK21" t="str">
        <f t="shared" si="48"/>
        <v>51 Skilled agricultural and related trades</v>
      </c>
      <c r="CL21" s="68">
        <v>4.8474009463892447</v>
      </c>
      <c r="CM21" s="68">
        <v>5.3417001605991921</v>
      </c>
      <c r="CN21" s="68">
        <v>2.3907757472946676</v>
      </c>
      <c r="CO21" s="68">
        <v>2.6371162213221147</v>
      </c>
      <c r="CP21" s="68">
        <v>1.3879272394406577</v>
      </c>
      <c r="CQ21" s="68"/>
      <c r="CR21" s="68">
        <f t="shared" si="49"/>
        <v>-1.0028485078540099</v>
      </c>
      <c r="CS21" s="68">
        <f>'RD T1'!E281</f>
        <v>0.70240900800125616</v>
      </c>
      <c r="CT21" s="68">
        <f t="shared" si="50"/>
        <v>-0.30043949985275376</v>
      </c>
    </row>
    <row r="22" spans="1:98" x14ac:dyDescent="0.3">
      <c r="A22" s="10" t="str">
        <f>name!D18</f>
        <v>52 Skilled metal, electrical and electronic trades</v>
      </c>
      <c r="B22" s="68">
        <v>8.9449874872846613E-2</v>
      </c>
      <c r="C22" s="68">
        <v>9.0440294414646946E-2</v>
      </c>
      <c r="D22" s="68">
        <v>8.2986779962875873E-2</v>
      </c>
      <c r="E22" s="68">
        <v>0.10747948579915372</v>
      </c>
      <c r="F22" s="68">
        <v>0.13680069209032331</v>
      </c>
      <c r="G22" s="11"/>
      <c r="H22" s="68">
        <f t="shared" si="51"/>
        <v>5.3813912127447433E-2</v>
      </c>
      <c r="I22" s="68">
        <f>'RD T1'!E50</f>
        <v>5.1756674418690307E-2</v>
      </c>
      <c r="J22" s="68">
        <f t="shared" si="26"/>
        <v>0.10557058654613774</v>
      </c>
      <c r="L22" t="str">
        <f t="shared" si="27"/>
        <v>52 Skilled metal, electrical and electronic trades</v>
      </c>
      <c r="M22" s="68">
        <v>1.5726710962815453</v>
      </c>
      <c r="N22" s="68">
        <v>1.8227438544094625</v>
      </c>
      <c r="O22" s="68">
        <v>1.6427625826652141</v>
      </c>
      <c r="P22" s="68">
        <v>2.6084342643172191</v>
      </c>
      <c r="Q22" s="68">
        <v>3.7935984609223143</v>
      </c>
      <c r="R22" s="11"/>
      <c r="S22" s="68">
        <f t="shared" si="28"/>
        <v>2.1508358782571002</v>
      </c>
      <c r="T22" s="68">
        <f>'RD T1'!E79</f>
        <v>1.4588962859711678</v>
      </c>
      <c r="U22" s="68">
        <f t="shared" si="29"/>
        <v>3.609732164228268</v>
      </c>
      <c r="W22" t="str">
        <f t="shared" si="30"/>
        <v>52 Skilled metal, electrical and electronic trades</v>
      </c>
      <c r="X22" s="68">
        <v>5.5500299032233729</v>
      </c>
      <c r="Y22" s="68">
        <v>5.7784881966113977</v>
      </c>
      <c r="Z22" s="68">
        <v>5.3467162369815773</v>
      </c>
      <c r="AA22" s="68">
        <v>6.6942198107261586</v>
      </c>
      <c r="AB22" s="68">
        <v>8.4894372136283849</v>
      </c>
      <c r="AC22" s="68"/>
      <c r="AD22" s="68">
        <f t="shared" si="31"/>
        <v>3.1427209766468076</v>
      </c>
      <c r="AE22" s="68">
        <f>'RD T1'!E108</f>
        <v>3.5480722529866768</v>
      </c>
      <c r="AF22" s="68">
        <f t="shared" si="32"/>
        <v>6.6907932296334849</v>
      </c>
      <c r="AH22" t="str">
        <f t="shared" si="33"/>
        <v>52 Skilled metal, electrical and electronic trades</v>
      </c>
      <c r="AI22" s="68">
        <v>2.1052683264267187</v>
      </c>
      <c r="AJ22" s="68">
        <v>2.1475224727308442</v>
      </c>
      <c r="AK22" s="68">
        <v>2.0802261753089084</v>
      </c>
      <c r="AL22" s="68">
        <v>2.2774810773123693</v>
      </c>
      <c r="AM22" s="68">
        <v>3.0063285875358887</v>
      </c>
      <c r="AN22" s="68"/>
      <c r="AO22" s="68">
        <f t="shared" si="34"/>
        <v>0.92610241222698031</v>
      </c>
      <c r="AP22" s="68">
        <f>'RD T1'!E137</f>
        <v>1.1313395521104177</v>
      </c>
      <c r="AQ22" s="68">
        <f t="shared" si="35"/>
        <v>2.0574419643373982</v>
      </c>
      <c r="AS22" t="str">
        <f t="shared" si="36"/>
        <v>52 Skilled metal, electrical and electronic trades</v>
      </c>
      <c r="AT22" s="68">
        <v>8.3211538647827759</v>
      </c>
      <c r="AU22" s="68">
        <v>8.1604100905368142</v>
      </c>
      <c r="AV22" s="68">
        <v>8.0146576430492065</v>
      </c>
      <c r="AW22" s="68">
        <v>8.7600749954241426</v>
      </c>
      <c r="AX22" s="68">
        <v>10.707191933397066</v>
      </c>
      <c r="AY22" s="68"/>
      <c r="AZ22" s="68">
        <f t="shared" si="37"/>
        <v>2.6925342903478597</v>
      </c>
      <c r="BA22" s="68">
        <f>'RD T1'!E166</f>
        <v>4.1850039996531043</v>
      </c>
      <c r="BB22" s="68">
        <f t="shared" si="38"/>
        <v>6.8775382900009641</v>
      </c>
      <c r="BD22" t="str">
        <f t="shared" si="39"/>
        <v>52 Skilled metal, electrical and electronic trades</v>
      </c>
      <c r="BE22" s="68">
        <v>46.895641474885785</v>
      </c>
      <c r="BF22" s="68">
        <v>47.350789251280901</v>
      </c>
      <c r="BG22" s="68">
        <v>39.017479064227125</v>
      </c>
      <c r="BH22" s="68">
        <v>42.091984205070453</v>
      </c>
      <c r="BI22" s="68">
        <v>41.715514131284621</v>
      </c>
      <c r="BJ22" s="68"/>
      <c r="BK22" s="68">
        <f t="shared" si="40"/>
        <v>2.6980350670574964</v>
      </c>
      <c r="BL22" s="68">
        <f>'RD T1'!E195</f>
        <v>14.356088151168487</v>
      </c>
      <c r="BM22" s="68">
        <f t="shared" si="41"/>
        <v>17.054123218225982</v>
      </c>
      <c r="BO22" t="str">
        <f t="shared" si="42"/>
        <v>52 Skilled metal, electrical and electronic trades</v>
      </c>
      <c r="BP22" s="68">
        <v>30.842596320269877</v>
      </c>
      <c r="BQ22" s="68">
        <v>27.738114295240035</v>
      </c>
      <c r="BR22" s="68">
        <v>27.741149298938613</v>
      </c>
      <c r="BS22" s="68">
        <v>24.441127992089317</v>
      </c>
      <c r="BT22" s="68">
        <v>21.606942202394169</v>
      </c>
      <c r="BU22" s="68"/>
      <c r="BV22" s="68">
        <f t="shared" si="43"/>
        <v>-6.1342070965444435</v>
      </c>
      <c r="BW22" s="68">
        <f>'RD T1'!E224</f>
        <v>8.9929030977682398</v>
      </c>
      <c r="BX22" s="68">
        <f t="shared" si="44"/>
        <v>2.8586960012237963</v>
      </c>
      <c r="BZ22" t="str">
        <f t="shared" si="45"/>
        <v>52 Skilled metal, electrical and electronic trades</v>
      </c>
      <c r="CA22" s="68">
        <v>17.206586444606319</v>
      </c>
      <c r="CB22" s="68">
        <v>15.241652256862904</v>
      </c>
      <c r="CC22" s="68">
        <v>12.66569711894835</v>
      </c>
      <c r="CD22" s="68">
        <v>12.086493531789538</v>
      </c>
      <c r="CE22" s="68">
        <v>7.1562168695081327</v>
      </c>
      <c r="CF22" s="68"/>
      <c r="CG22" s="68">
        <f t="shared" si="46"/>
        <v>-5.5094802494402169</v>
      </c>
      <c r="CH22" s="68">
        <f>'RD T1'!E253</f>
        <v>4.009115891816295</v>
      </c>
      <c r="CI22" s="68">
        <f t="shared" si="47"/>
        <v>-1.5003643576239218</v>
      </c>
      <c r="CK22" t="str">
        <f t="shared" si="48"/>
        <v>52 Skilled metal, electrical and electronic trades</v>
      </c>
      <c r="CL22" s="68">
        <v>5.4220098388590667</v>
      </c>
      <c r="CM22" s="68">
        <v>5.7571360018424809</v>
      </c>
      <c r="CN22" s="68">
        <v>3.8337243818709599</v>
      </c>
      <c r="CO22" s="68">
        <v>3.8208517355607299</v>
      </c>
      <c r="CP22" s="68">
        <v>3.0805686433839621</v>
      </c>
      <c r="CQ22" s="68"/>
      <c r="CR22" s="68">
        <f t="shared" si="49"/>
        <v>-0.75315573848699779</v>
      </c>
      <c r="CS22" s="68">
        <f>'RD T1'!E282</f>
        <v>1.1877885086071647</v>
      </c>
      <c r="CT22" s="68">
        <f t="shared" si="50"/>
        <v>0.43463277012016688</v>
      </c>
    </row>
    <row r="23" spans="1:98" x14ac:dyDescent="0.3">
      <c r="A23" s="10" t="str">
        <f>name!D19</f>
        <v>53 Skilled construction and building trades</v>
      </c>
      <c r="B23" s="68">
        <v>5.6581836739773482E-2</v>
      </c>
      <c r="C23" s="68">
        <v>3.7450651830308115E-2</v>
      </c>
      <c r="D23" s="68">
        <v>2.7130976697204351E-2</v>
      </c>
      <c r="E23" s="68">
        <v>5.056295017286707E-2</v>
      </c>
      <c r="F23" s="68">
        <v>5.2606254656320482E-2</v>
      </c>
      <c r="G23" s="11"/>
      <c r="H23" s="68">
        <f t="shared" si="51"/>
        <v>2.5475277959116131E-2</v>
      </c>
      <c r="I23" s="68">
        <f>'RD T1'!E51</f>
        <v>2.2912150576634E-2</v>
      </c>
      <c r="J23" s="68">
        <f t="shared" si="26"/>
        <v>4.8387428535750135E-2</v>
      </c>
      <c r="L23" t="str">
        <f t="shared" si="27"/>
        <v>53 Skilled construction and building trades</v>
      </c>
      <c r="M23" s="68">
        <v>0.79035636458845637</v>
      </c>
      <c r="N23" s="68">
        <v>0.76871225768354667</v>
      </c>
      <c r="O23" s="68">
        <v>0.75245749662613559</v>
      </c>
      <c r="P23" s="68">
        <v>1.0734505989388121</v>
      </c>
      <c r="Q23" s="68">
        <v>1.23667743505593</v>
      </c>
      <c r="R23" s="11"/>
      <c r="S23" s="68">
        <f t="shared" si="28"/>
        <v>0.48421993842979438</v>
      </c>
      <c r="T23" s="68">
        <f>'RD T1'!E80</f>
        <v>0.54773891664155783</v>
      </c>
      <c r="U23" s="68">
        <f t="shared" si="29"/>
        <v>1.0319588550713523</v>
      </c>
      <c r="W23" t="str">
        <f t="shared" si="30"/>
        <v>53 Skilled construction and building trades</v>
      </c>
      <c r="X23" s="68">
        <v>3.3648120379336168</v>
      </c>
      <c r="Y23" s="68">
        <v>2.8427840791840224</v>
      </c>
      <c r="Z23" s="68">
        <v>2.9366163339697025</v>
      </c>
      <c r="AA23" s="68">
        <v>3.8734839954442228</v>
      </c>
      <c r="AB23" s="68">
        <v>4.4503579463150622</v>
      </c>
      <c r="AC23" s="68"/>
      <c r="AD23" s="68">
        <f t="shared" si="31"/>
        <v>1.5137416123453598</v>
      </c>
      <c r="AE23" s="68">
        <f>'RD T1'!E109</f>
        <v>2.0539823096631529</v>
      </c>
      <c r="AF23" s="68">
        <f t="shared" si="32"/>
        <v>3.5677239220085126</v>
      </c>
      <c r="AH23" t="str">
        <f t="shared" si="33"/>
        <v>53 Skilled construction and building trades</v>
      </c>
      <c r="AI23" s="68">
        <v>1.8696982069892287</v>
      </c>
      <c r="AJ23" s="68">
        <v>1.8409085925296891</v>
      </c>
      <c r="AK23" s="68">
        <v>2.0394557006546585</v>
      </c>
      <c r="AL23" s="68">
        <v>2.5706933066648254</v>
      </c>
      <c r="AM23" s="68">
        <v>2.9970879489931157</v>
      </c>
      <c r="AN23" s="68"/>
      <c r="AO23" s="68">
        <f t="shared" si="34"/>
        <v>0.95763224833845717</v>
      </c>
      <c r="AP23" s="68">
        <f>'RD T1'!E138</f>
        <v>1.4784845194383118</v>
      </c>
      <c r="AQ23" s="68">
        <f t="shared" si="35"/>
        <v>2.436116767776769</v>
      </c>
      <c r="AS23" t="str">
        <f t="shared" si="36"/>
        <v>53 Skilled construction and building trades</v>
      </c>
      <c r="AT23" s="68">
        <v>2.9383416104728903</v>
      </c>
      <c r="AU23" s="68">
        <v>2.5557094773685183</v>
      </c>
      <c r="AV23" s="68">
        <v>2.9156649664981789</v>
      </c>
      <c r="AW23" s="68">
        <v>3.8765264069602692</v>
      </c>
      <c r="AX23" s="68">
        <v>4.3087494885200339</v>
      </c>
      <c r="AY23" s="68"/>
      <c r="AZ23" s="68">
        <f t="shared" si="37"/>
        <v>1.3930845220218551</v>
      </c>
      <c r="BA23" s="68">
        <f>'RD T1'!E167</f>
        <v>2.141843905815533</v>
      </c>
      <c r="BB23" s="68">
        <f t="shared" si="38"/>
        <v>3.534928427837388</v>
      </c>
      <c r="BD23" t="str">
        <f t="shared" si="39"/>
        <v>53 Skilled construction and building trades</v>
      </c>
      <c r="BE23" s="68">
        <v>31.447501110507687</v>
      </c>
      <c r="BF23" s="68">
        <v>27.852636655601742</v>
      </c>
      <c r="BG23" s="68">
        <v>25.34532098683303</v>
      </c>
      <c r="BH23" s="68">
        <v>28.083186057501308</v>
      </c>
      <c r="BI23" s="68">
        <v>24.52116192495367</v>
      </c>
      <c r="BJ23" s="68"/>
      <c r="BK23" s="68">
        <f t="shared" si="40"/>
        <v>-0.82415906187936017</v>
      </c>
      <c r="BL23" s="68">
        <f>'RD T1'!E196</f>
        <v>9.8849644786940445</v>
      </c>
      <c r="BM23" s="68">
        <f t="shared" si="41"/>
        <v>9.0608054168146843</v>
      </c>
      <c r="BO23" t="str">
        <f t="shared" si="42"/>
        <v>53 Skilled construction and building trades</v>
      </c>
      <c r="BP23" s="68">
        <v>29.921651093642513</v>
      </c>
      <c r="BQ23" s="68">
        <v>26.593409894869367</v>
      </c>
      <c r="BR23" s="68">
        <v>29.497040546041202</v>
      </c>
      <c r="BS23" s="68">
        <v>30.012653168357058</v>
      </c>
      <c r="BT23" s="68">
        <v>29.224149847841304</v>
      </c>
      <c r="BU23" s="68"/>
      <c r="BV23" s="68">
        <f t="shared" si="43"/>
        <v>-0.2728906981998982</v>
      </c>
      <c r="BW23" s="68">
        <f>'RD T1'!E225</f>
        <v>13.408515290674616</v>
      </c>
      <c r="BX23" s="68">
        <f t="shared" si="44"/>
        <v>13.135624592474718</v>
      </c>
      <c r="BZ23" t="str">
        <f t="shared" si="45"/>
        <v>53 Skilled construction and building trades</v>
      </c>
      <c r="CA23" s="68">
        <v>17.508847996354568</v>
      </c>
      <c r="CB23" s="68">
        <v>14.23640337854617</v>
      </c>
      <c r="CC23" s="68">
        <v>13.816253201230335</v>
      </c>
      <c r="CD23" s="68">
        <v>14.345711803995155</v>
      </c>
      <c r="CE23" s="68">
        <v>12.785108605935122</v>
      </c>
      <c r="CF23" s="68"/>
      <c r="CG23" s="68">
        <f t="shared" si="46"/>
        <v>-1.0311445952952134</v>
      </c>
      <c r="CH23" s="68">
        <f>'RD T1'!E254</f>
        <v>5.6696296958181147</v>
      </c>
      <c r="CI23" s="68">
        <f t="shared" si="47"/>
        <v>4.6384851005229013</v>
      </c>
      <c r="CK23" t="str">
        <f t="shared" si="48"/>
        <v>53 Skilled construction and building trades</v>
      </c>
      <c r="CL23" s="68">
        <v>8.1889578208913978</v>
      </c>
      <c r="CM23" s="68">
        <v>7.0487963464469692</v>
      </c>
      <c r="CN23" s="68">
        <v>5.1966651148364251</v>
      </c>
      <c r="CO23" s="68">
        <v>3.9498644590200356</v>
      </c>
      <c r="CP23" s="68">
        <v>0.87587471548474694</v>
      </c>
      <c r="CQ23" s="68"/>
      <c r="CR23" s="68">
        <f t="shared" si="49"/>
        <v>-4.3207903993516785</v>
      </c>
      <c r="CS23" s="68">
        <f>'RD T1'!E283</f>
        <v>0.76472247442330421</v>
      </c>
      <c r="CT23" s="68">
        <f t="shared" si="50"/>
        <v>-3.5560679249283744</v>
      </c>
    </row>
    <row r="24" spans="1:98" x14ac:dyDescent="0.3">
      <c r="A24" s="10" t="str">
        <f>name!D20</f>
        <v>54 Textiles, printing and other skilled trades</v>
      </c>
      <c r="B24" s="68">
        <v>0.19801690197716423</v>
      </c>
      <c r="C24" s="68">
        <v>0.19892067658516402</v>
      </c>
      <c r="D24" s="68">
        <v>0.19912183256623855</v>
      </c>
      <c r="E24" s="68">
        <v>0.28193391947152069</v>
      </c>
      <c r="F24" s="68">
        <v>0.40584124164244462</v>
      </c>
      <c r="G24" s="11"/>
      <c r="H24" s="68">
        <f t="shared" si="51"/>
        <v>0.20671940907620606</v>
      </c>
      <c r="I24" s="68">
        <f>'RD T1'!E52</f>
        <v>0.16692834233884485</v>
      </c>
      <c r="J24" s="68">
        <f t="shared" si="26"/>
        <v>0.37364775141505091</v>
      </c>
      <c r="L24" t="str">
        <f t="shared" si="27"/>
        <v>54 Textiles, printing and other skilled trades</v>
      </c>
      <c r="M24" s="68">
        <v>1.67104238700215</v>
      </c>
      <c r="N24" s="68">
        <v>1.9093239351208258</v>
      </c>
      <c r="O24" s="68">
        <v>1.8748259479597165</v>
      </c>
      <c r="P24" s="68">
        <v>2.5472986792420684</v>
      </c>
      <c r="Q24" s="68">
        <v>3.7721782013231882</v>
      </c>
      <c r="R24" s="11"/>
      <c r="S24" s="68">
        <f t="shared" si="28"/>
        <v>1.8973522533634717</v>
      </c>
      <c r="T24" s="68">
        <f>'RD T1'!E81</f>
        <v>1.6659500970343606</v>
      </c>
      <c r="U24" s="68">
        <f t="shared" si="29"/>
        <v>3.5633023503978323</v>
      </c>
      <c r="W24" t="str">
        <f t="shared" si="30"/>
        <v>54 Textiles, printing and other skilled trades</v>
      </c>
      <c r="X24" s="68">
        <v>5.1951849404323633</v>
      </c>
      <c r="Y24" s="68">
        <v>4.9438639050747337</v>
      </c>
      <c r="Z24" s="68">
        <v>5.3849567412245927</v>
      </c>
      <c r="AA24" s="68">
        <v>6.3498212776083145</v>
      </c>
      <c r="AB24" s="68">
        <v>8.5343261916885105</v>
      </c>
      <c r="AC24" s="68"/>
      <c r="AD24" s="68">
        <f t="shared" si="31"/>
        <v>3.1493694504639178</v>
      </c>
      <c r="AE24" s="68">
        <f>'RD T1'!E110</f>
        <v>3.941072877650142</v>
      </c>
      <c r="AF24" s="68">
        <f t="shared" si="32"/>
        <v>7.0904423281140598</v>
      </c>
      <c r="AH24" t="str">
        <f t="shared" si="33"/>
        <v>54 Textiles, printing and other skilled trades</v>
      </c>
      <c r="AI24" s="68">
        <v>1.8906833881226299</v>
      </c>
      <c r="AJ24" s="68">
        <v>1.8483103197139392</v>
      </c>
      <c r="AK24" s="68">
        <v>2.2489843005908194</v>
      </c>
      <c r="AL24" s="68">
        <v>2.3228129391138199</v>
      </c>
      <c r="AM24" s="68">
        <v>3.0262367299417732</v>
      </c>
      <c r="AN24" s="68"/>
      <c r="AO24" s="68">
        <f t="shared" si="34"/>
        <v>0.77725242935095373</v>
      </c>
      <c r="AP24" s="68">
        <f>'RD T1'!E139</f>
        <v>1.4382736167546846</v>
      </c>
      <c r="AQ24" s="68">
        <f t="shared" si="35"/>
        <v>2.2155260461056381</v>
      </c>
      <c r="AS24" t="str">
        <f t="shared" si="36"/>
        <v>54 Textiles, printing and other skilled trades</v>
      </c>
      <c r="AT24" s="68">
        <v>2.332142507774897</v>
      </c>
      <c r="AU24" s="68">
        <v>2.2553817599026256</v>
      </c>
      <c r="AV24" s="68">
        <v>2.4734845242703316</v>
      </c>
      <c r="AW24" s="68">
        <v>2.7007945058348537</v>
      </c>
      <c r="AX24" s="68">
        <v>3.368061024270415</v>
      </c>
      <c r="AY24" s="68"/>
      <c r="AZ24" s="68">
        <f t="shared" si="37"/>
        <v>0.89457650000008337</v>
      </c>
      <c r="BA24" s="68">
        <f>'RD T1'!E168</f>
        <v>1.5654196391554402</v>
      </c>
      <c r="BB24" s="68">
        <f t="shared" si="38"/>
        <v>2.4599961391555238</v>
      </c>
      <c r="BD24" t="str">
        <f t="shared" si="39"/>
        <v>54 Textiles, printing and other skilled trades</v>
      </c>
      <c r="BE24" s="68">
        <v>17.054340232280673</v>
      </c>
      <c r="BF24" s="68">
        <v>15.371867643774733</v>
      </c>
      <c r="BG24" s="68">
        <v>14.390901756978971</v>
      </c>
      <c r="BH24" s="68">
        <v>16.509747058533783</v>
      </c>
      <c r="BI24" s="68">
        <v>18.198807381296803</v>
      </c>
      <c r="BJ24" s="68"/>
      <c r="BK24" s="68">
        <f t="shared" si="40"/>
        <v>3.8079056243178311</v>
      </c>
      <c r="BL24" s="68">
        <f>'RD T1'!E197</f>
        <v>7.1883175763063933</v>
      </c>
      <c r="BM24" s="68">
        <f t="shared" si="41"/>
        <v>10.996223200624225</v>
      </c>
      <c r="BO24" t="str">
        <f t="shared" si="42"/>
        <v>54 Textiles, printing and other skilled trades</v>
      </c>
      <c r="BP24" s="68">
        <v>19.215796393340081</v>
      </c>
      <c r="BQ24" s="68">
        <v>15.459959009504708</v>
      </c>
      <c r="BR24" s="68">
        <v>15.921779183639231</v>
      </c>
      <c r="BS24" s="68">
        <v>14.30020017853564</v>
      </c>
      <c r="BT24" s="68">
        <v>12.403310306001593</v>
      </c>
      <c r="BU24" s="68"/>
      <c r="BV24" s="68">
        <f t="shared" si="43"/>
        <v>-3.5184688776376376</v>
      </c>
      <c r="BW24" s="68">
        <f>'RD T1'!E226</f>
        <v>5.5236344730319589</v>
      </c>
      <c r="BX24" s="68">
        <f t="shared" si="44"/>
        <v>2.0051655953943213</v>
      </c>
      <c r="BZ24" t="str">
        <f t="shared" si="45"/>
        <v>54 Textiles, printing and other skilled trades</v>
      </c>
      <c r="CA24" s="68">
        <v>17.478258173055675</v>
      </c>
      <c r="CB24" s="68">
        <v>14.876285796673574</v>
      </c>
      <c r="CC24" s="68">
        <v>13.897530819086874</v>
      </c>
      <c r="CD24" s="68">
        <v>13.421813369207404</v>
      </c>
      <c r="CE24" s="68">
        <v>11.314212429749348</v>
      </c>
      <c r="CF24" s="68"/>
      <c r="CG24" s="68">
        <f t="shared" si="46"/>
        <v>-2.583318389337526</v>
      </c>
      <c r="CH24" s="68">
        <f>'RD T1'!E255</f>
        <v>4.7954319102147407</v>
      </c>
      <c r="CI24" s="68">
        <f t="shared" si="47"/>
        <v>2.2121135208772147</v>
      </c>
      <c r="CK24" t="str">
        <f t="shared" si="48"/>
        <v>54 Textiles, printing and other skilled trades</v>
      </c>
      <c r="CL24" s="68">
        <v>6.6764043601482888</v>
      </c>
      <c r="CM24" s="68">
        <v>5.6739370189414746</v>
      </c>
      <c r="CN24" s="68">
        <v>4.4215449525469133</v>
      </c>
      <c r="CO24" s="68">
        <v>3.0544597530872379</v>
      </c>
      <c r="CP24" s="68">
        <v>2.1502317147219361</v>
      </c>
      <c r="CQ24" s="68"/>
      <c r="CR24" s="68">
        <f t="shared" si="49"/>
        <v>-2.2713132378249772</v>
      </c>
      <c r="CS24" s="68">
        <f>'RD T1'!E284</f>
        <v>0.79546642978914794</v>
      </c>
      <c r="CT24" s="68">
        <f t="shared" si="50"/>
        <v>-1.4758468080358291</v>
      </c>
    </row>
    <row r="25" spans="1:98" x14ac:dyDescent="0.3">
      <c r="A25" s="10" t="str">
        <f>name!D21</f>
        <v>61 Caring personal service occupations</v>
      </c>
      <c r="B25" s="68">
        <v>0.13178552107027161</v>
      </c>
      <c r="C25" s="68">
        <v>0.16191239185702055</v>
      </c>
      <c r="D25" s="68">
        <v>0.15086729544285943</v>
      </c>
      <c r="E25" s="68">
        <v>0.230178813123917</v>
      </c>
      <c r="F25" s="68">
        <v>0.34107346606398448</v>
      </c>
      <c r="G25" s="11"/>
      <c r="H25" s="68">
        <f t="shared" si="51"/>
        <v>0.19020617062112505</v>
      </c>
      <c r="I25" s="68">
        <f>'RD T1'!E53</f>
        <v>0.14680367614797915</v>
      </c>
      <c r="J25" s="68">
        <f t="shared" si="26"/>
        <v>0.33700984676910417</v>
      </c>
      <c r="L25" t="str">
        <f t="shared" si="27"/>
        <v>61 Caring personal service occupations</v>
      </c>
      <c r="M25" s="68">
        <v>6.0746101035415911</v>
      </c>
      <c r="N25" s="68">
        <v>9.0398937220501008</v>
      </c>
      <c r="O25" s="68">
        <v>8.2142467200081857</v>
      </c>
      <c r="P25" s="68">
        <v>12.054042648893976</v>
      </c>
      <c r="Q25" s="68">
        <v>18.003139552844392</v>
      </c>
      <c r="R25" s="11"/>
      <c r="S25" s="68">
        <f t="shared" si="28"/>
        <v>9.7888928328362059</v>
      </c>
      <c r="T25" s="68">
        <f>'RD T1'!E82</f>
        <v>8.0495804179086274</v>
      </c>
      <c r="U25" s="68">
        <f t="shared" si="29"/>
        <v>17.838473250744833</v>
      </c>
      <c r="W25" t="str">
        <f t="shared" si="30"/>
        <v>61 Caring personal service occupations</v>
      </c>
      <c r="X25" s="68">
        <v>21.187139069731256</v>
      </c>
      <c r="Y25" s="68">
        <v>26.335864778060895</v>
      </c>
      <c r="Z25" s="68">
        <v>29.483903744604984</v>
      </c>
      <c r="AA25" s="68">
        <v>33.334295838619347</v>
      </c>
      <c r="AB25" s="68">
        <v>43.900133722076227</v>
      </c>
      <c r="AC25" s="68"/>
      <c r="AD25" s="68">
        <f t="shared" si="31"/>
        <v>14.416229977471243</v>
      </c>
      <c r="AE25" s="68">
        <f>'RD T1'!E111</f>
        <v>23.592311092436564</v>
      </c>
      <c r="AF25" s="68">
        <f t="shared" si="32"/>
        <v>38.008541069907807</v>
      </c>
      <c r="AH25" t="str">
        <f t="shared" si="33"/>
        <v>61 Caring personal service occupations</v>
      </c>
      <c r="AI25" s="68">
        <v>19.361636669959505</v>
      </c>
      <c r="AJ25" s="68">
        <v>21.765637307196165</v>
      </c>
      <c r="AK25" s="68">
        <v>24.755803208836621</v>
      </c>
      <c r="AL25" s="68">
        <v>24.648939987691637</v>
      </c>
      <c r="AM25" s="68">
        <v>28.121673502204835</v>
      </c>
      <c r="AN25" s="68"/>
      <c r="AO25" s="68">
        <f t="shared" si="34"/>
        <v>3.3658702933682143</v>
      </c>
      <c r="AP25" s="68">
        <f>'RD T1'!E140</f>
        <v>15.161639409285204</v>
      </c>
      <c r="AQ25" s="68">
        <f t="shared" si="35"/>
        <v>18.527509702653418</v>
      </c>
      <c r="AS25" t="str">
        <f t="shared" si="36"/>
        <v>61 Caring personal service occupations</v>
      </c>
      <c r="AT25" s="68">
        <v>10.285226160208335</v>
      </c>
      <c r="AU25" s="68">
        <v>12.489532919686384</v>
      </c>
      <c r="AV25" s="68">
        <v>14.178751529234212</v>
      </c>
      <c r="AW25" s="68">
        <v>14.444406796383864</v>
      </c>
      <c r="AX25" s="68">
        <v>17.442801208874968</v>
      </c>
      <c r="AY25" s="68"/>
      <c r="AZ25" s="68">
        <f t="shared" si="37"/>
        <v>3.2640496796407561</v>
      </c>
      <c r="BA25" s="68">
        <f>'RD T1'!E169</f>
        <v>9.2372821636293594</v>
      </c>
      <c r="BB25" s="68">
        <f t="shared" si="38"/>
        <v>12.501331843270115</v>
      </c>
      <c r="BD25" t="str">
        <f t="shared" si="39"/>
        <v>61 Caring personal service occupations</v>
      </c>
      <c r="BE25" s="68">
        <v>70.893965423133793</v>
      </c>
      <c r="BF25" s="68">
        <v>78.709133740696785</v>
      </c>
      <c r="BG25" s="68">
        <v>77.106740000547887</v>
      </c>
      <c r="BH25" s="68">
        <v>88.679685624552221</v>
      </c>
      <c r="BI25" s="68">
        <v>103.98812431338921</v>
      </c>
      <c r="BJ25" s="68"/>
      <c r="BK25" s="68">
        <f t="shared" si="40"/>
        <v>26.88138431284132</v>
      </c>
      <c r="BL25" s="68">
        <f>'RD T1'!E198</f>
        <v>55.700069025007359</v>
      </c>
      <c r="BM25" s="68">
        <f t="shared" si="41"/>
        <v>82.581453337848671</v>
      </c>
      <c r="BO25" t="str">
        <f t="shared" si="42"/>
        <v>61 Caring personal service occupations</v>
      </c>
      <c r="BP25" s="68">
        <v>61.499535860793728</v>
      </c>
      <c r="BQ25" s="68">
        <v>67.054874990189163</v>
      </c>
      <c r="BR25" s="68">
        <v>57.604267990996874</v>
      </c>
      <c r="BS25" s="68">
        <v>60.963605682582411</v>
      </c>
      <c r="BT25" s="68">
        <v>54.913814987412394</v>
      </c>
      <c r="BU25" s="68"/>
      <c r="BV25" s="68">
        <f t="shared" si="43"/>
        <v>-2.69045300358448</v>
      </c>
      <c r="BW25" s="68">
        <f>'RD T1'!E227</f>
        <v>29.296453824984599</v>
      </c>
      <c r="BX25" s="68">
        <f t="shared" si="44"/>
        <v>26.606000821400119</v>
      </c>
      <c r="BZ25" t="str">
        <f t="shared" si="45"/>
        <v>61 Caring personal service occupations</v>
      </c>
      <c r="CA25" s="68">
        <v>19.616316837613706</v>
      </c>
      <c r="CB25" s="68">
        <v>13.286698830465838</v>
      </c>
      <c r="CC25" s="68">
        <v>10.343575548906736</v>
      </c>
      <c r="CD25" s="68">
        <v>7.553369085025551</v>
      </c>
      <c r="CE25" s="68">
        <v>6.2720069764685773</v>
      </c>
      <c r="CF25" s="68"/>
      <c r="CG25" s="68">
        <f t="shared" si="46"/>
        <v>-4.0715685724381592</v>
      </c>
      <c r="CH25" s="68">
        <f>'RD T1'!E256</f>
        <v>2.4897075477911503</v>
      </c>
      <c r="CI25" s="68">
        <f t="shared" si="47"/>
        <v>-1.5818610246470088</v>
      </c>
      <c r="CK25" t="str">
        <f t="shared" si="48"/>
        <v>61 Caring personal service occupations</v>
      </c>
      <c r="CL25" s="68">
        <v>2.9036898455097133</v>
      </c>
      <c r="CM25" s="68">
        <v>2.7158084770304205</v>
      </c>
      <c r="CN25" s="68">
        <v>1.8179342827087002</v>
      </c>
      <c r="CO25" s="68">
        <v>1.8970879612176768</v>
      </c>
      <c r="CP25" s="68">
        <v>1.6510473778893895</v>
      </c>
      <c r="CQ25" s="68"/>
      <c r="CR25" s="68">
        <f t="shared" si="49"/>
        <v>-0.16688690481931068</v>
      </c>
      <c r="CS25" s="68">
        <f>'RD T1'!E285</f>
        <v>0.46931801997140832</v>
      </c>
      <c r="CT25" s="68">
        <f t="shared" si="50"/>
        <v>0.30243111515209764</v>
      </c>
    </row>
    <row r="26" spans="1:98" x14ac:dyDescent="0.3">
      <c r="A26" s="10" t="str">
        <f>name!D22</f>
        <v>62 Leisure, travel and related personal service occupations</v>
      </c>
      <c r="B26" s="68">
        <v>6.7586528153271722E-2</v>
      </c>
      <c r="C26" s="68">
        <v>7.8358044366365676E-2</v>
      </c>
      <c r="D26" s="68">
        <v>7.0870917368295858E-2</v>
      </c>
      <c r="E26" s="68">
        <v>0.10083228480795652</v>
      </c>
      <c r="F26" s="68">
        <v>0.15400788138920271</v>
      </c>
      <c r="G26" s="11"/>
      <c r="H26" s="68">
        <f t="shared" si="51"/>
        <v>8.3136964020906853E-2</v>
      </c>
      <c r="I26" s="68">
        <f>'RD T1'!E54</f>
        <v>6.3094441701591786E-2</v>
      </c>
      <c r="J26" s="68">
        <f t="shared" si="26"/>
        <v>0.14623140572249865</v>
      </c>
      <c r="L26" t="str">
        <f t="shared" si="27"/>
        <v>62 Leisure, travel and related personal service occupations</v>
      </c>
      <c r="M26" s="68">
        <v>1.1852259877983973</v>
      </c>
      <c r="N26" s="68">
        <v>1.5996759911086542</v>
      </c>
      <c r="O26" s="68">
        <v>1.4207825732204116</v>
      </c>
      <c r="P26" s="68">
        <v>1.9678533846993971</v>
      </c>
      <c r="Q26" s="68">
        <v>2.6344304328030037</v>
      </c>
      <c r="R26" s="11"/>
      <c r="S26" s="68">
        <f t="shared" si="28"/>
        <v>1.2136478595825921</v>
      </c>
      <c r="T26" s="68">
        <f>'RD T1'!E83</f>
        <v>1.1359015515574553</v>
      </c>
      <c r="U26" s="68">
        <f t="shared" si="29"/>
        <v>2.3495494111400475</v>
      </c>
      <c r="W26" t="str">
        <f t="shared" si="30"/>
        <v>62 Leisure, travel and related personal service occupations</v>
      </c>
      <c r="X26" s="68">
        <v>5.9141299809466332</v>
      </c>
      <c r="Y26" s="68">
        <v>7.4983815335203561</v>
      </c>
      <c r="Z26" s="68">
        <v>8.6693184731400255</v>
      </c>
      <c r="AA26" s="68">
        <v>10.462969921535308</v>
      </c>
      <c r="AB26" s="68">
        <v>14.804555003529018</v>
      </c>
      <c r="AC26" s="68"/>
      <c r="AD26" s="68">
        <f t="shared" si="31"/>
        <v>6.1352365303889922</v>
      </c>
      <c r="AE26" s="68">
        <f>'RD T1'!E112</f>
        <v>7.1018149578170462</v>
      </c>
      <c r="AF26" s="68">
        <f t="shared" si="32"/>
        <v>13.237051488206038</v>
      </c>
      <c r="AH26" t="str">
        <f t="shared" si="33"/>
        <v>62 Leisure, travel and related personal service occupations</v>
      </c>
      <c r="AI26" s="68">
        <v>3.3249630386601963</v>
      </c>
      <c r="AJ26" s="68">
        <v>4.2648402290062783</v>
      </c>
      <c r="AK26" s="68">
        <v>4.9202395070344913</v>
      </c>
      <c r="AL26" s="68">
        <v>5.2685394893881323</v>
      </c>
      <c r="AM26" s="68">
        <v>7.1175839739238027</v>
      </c>
      <c r="AN26" s="68"/>
      <c r="AO26" s="68">
        <f t="shared" si="34"/>
        <v>2.1973444668893114</v>
      </c>
      <c r="AP26" s="68">
        <f>'RD T1'!E141</f>
        <v>3.5645687914883695</v>
      </c>
      <c r="AQ26" s="68">
        <f t="shared" si="35"/>
        <v>5.7619132583776809</v>
      </c>
      <c r="AS26" t="str">
        <f t="shared" si="36"/>
        <v>62 Leisure, travel and related personal service occupations</v>
      </c>
      <c r="AT26" s="68">
        <v>3.8284832923954579</v>
      </c>
      <c r="AU26" s="68">
        <v>4.7937424569272311</v>
      </c>
      <c r="AV26" s="68">
        <v>6.3083263903620272</v>
      </c>
      <c r="AW26" s="68">
        <v>7.1807150418839703</v>
      </c>
      <c r="AX26" s="68">
        <v>10.189144381128756</v>
      </c>
      <c r="AY26" s="68"/>
      <c r="AZ26" s="68">
        <f t="shared" si="37"/>
        <v>3.8808179907667286</v>
      </c>
      <c r="BA26" s="68">
        <f>'RD T1'!E170</f>
        <v>5.0013758062394382</v>
      </c>
      <c r="BB26" s="68">
        <f t="shared" si="38"/>
        <v>8.8821937970061668</v>
      </c>
      <c r="BD26" t="str">
        <f t="shared" si="39"/>
        <v>62 Leisure, travel and related personal service occupations</v>
      </c>
      <c r="BE26" s="68">
        <v>17.16917690550568</v>
      </c>
      <c r="BF26" s="68">
        <v>17.261080988491962</v>
      </c>
      <c r="BG26" s="68">
        <v>17.661963615722669</v>
      </c>
      <c r="BH26" s="68">
        <v>18.036278182840203</v>
      </c>
      <c r="BI26" s="68">
        <v>17.447754924190829</v>
      </c>
      <c r="BJ26" s="68"/>
      <c r="BK26" s="68">
        <f t="shared" si="40"/>
        <v>-0.21420869153184086</v>
      </c>
      <c r="BL26" s="68">
        <f>'RD T1'!E199</f>
        <v>8.5618374531176169</v>
      </c>
      <c r="BM26" s="68">
        <f t="shared" si="41"/>
        <v>8.347628761585776</v>
      </c>
      <c r="BO26" t="str">
        <f t="shared" si="42"/>
        <v>62 Leisure, travel and related personal service occupations</v>
      </c>
      <c r="BP26" s="68">
        <v>18.087313114889099</v>
      </c>
      <c r="BQ26" s="68">
        <v>19.378904464014898</v>
      </c>
      <c r="BR26" s="68">
        <v>18.27411787799743</v>
      </c>
      <c r="BS26" s="68">
        <v>17.032152772638337</v>
      </c>
      <c r="BT26" s="68">
        <v>13.175227679919571</v>
      </c>
      <c r="BU26" s="68"/>
      <c r="BV26" s="68">
        <f t="shared" si="43"/>
        <v>-5.0988901980778589</v>
      </c>
      <c r="BW26" s="68">
        <f>'RD T1'!E228</f>
        <v>7.4224925083109889</v>
      </c>
      <c r="BX26" s="68">
        <f t="shared" si="44"/>
        <v>2.32360231023313</v>
      </c>
      <c r="BZ26" t="str">
        <f t="shared" si="45"/>
        <v>62 Leisure, travel and related personal service occupations</v>
      </c>
      <c r="CA26" s="68">
        <v>11.625263677328793</v>
      </c>
      <c r="CB26" s="68">
        <v>13.093606456914504</v>
      </c>
      <c r="CC26" s="68">
        <v>11.979368209538839</v>
      </c>
      <c r="CD26" s="68">
        <v>11.644770349419016</v>
      </c>
      <c r="CE26" s="68">
        <v>8.4893944686572294</v>
      </c>
      <c r="CF26" s="68"/>
      <c r="CG26" s="68">
        <f t="shared" si="46"/>
        <v>-3.4899737408816094</v>
      </c>
      <c r="CH26" s="68">
        <f>'RD T1'!E257</f>
        <v>4.4770758882521049</v>
      </c>
      <c r="CI26" s="68">
        <f t="shared" si="47"/>
        <v>0.98710214737049551</v>
      </c>
      <c r="CK26" t="str">
        <f t="shared" si="48"/>
        <v>62 Leisure, travel and related personal service occupations</v>
      </c>
      <c r="CL26" s="68">
        <v>4.5802764112242924</v>
      </c>
      <c r="CM26" s="68">
        <v>4.5608572132618992</v>
      </c>
      <c r="CN26" s="68">
        <v>3.1361405421588255</v>
      </c>
      <c r="CO26" s="68">
        <v>2.6099477293102535</v>
      </c>
      <c r="CP26" s="68">
        <v>1.8457190401648691</v>
      </c>
      <c r="CQ26" s="68"/>
      <c r="CR26" s="68">
        <f t="shared" si="49"/>
        <v>-1.2904215019939564</v>
      </c>
      <c r="CS26" s="68">
        <f>'RD T1'!E286</f>
        <v>0.7060501269033943</v>
      </c>
      <c r="CT26" s="68">
        <f t="shared" si="50"/>
        <v>-0.58437137509056214</v>
      </c>
    </row>
    <row r="27" spans="1:98" x14ac:dyDescent="0.3">
      <c r="A27" s="10" t="str">
        <f>name!D23</f>
        <v>63 Community and civil enforcement occupations</v>
      </c>
      <c r="B27" s="68">
        <v>7.1997886713854537E-3</v>
      </c>
      <c r="C27" s="68">
        <v>7.6243410098567168E-3</v>
      </c>
      <c r="D27" s="68">
        <v>7.678357702063791E-3</v>
      </c>
      <c r="E27" s="68">
        <v>1.1088759882594163E-2</v>
      </c>
      <c r="F27" s="68">
        <v>1.5008187402862177E-2</v>
      </c>
      <c r="G27" s="11"/>
      <c r="H27" s="68">
        <f t="shared" si="51"/>
        <v>7.3298297007983858E-3</v>
      </c>
      <c r="I27" s="68">
        <f>'RD T1'!E55</f>
        <v>6.9383576628625236E-3</v>
      </c>
      <c r="J27" s="68">
        <f t="shared" si="26"/>
        <v>1.4268187363660909E-2</v>
      </c>
      <c r="L27" t="str">
        <f t="shared" si="27"/>
        <v>63 Community and civil enforcement occupations</v>
      </c>
      <c r="M27" s="68">
        <v>9.5668795889797931E-2</v>
      </c>
      <c r="N27" s="68">
        <v>9.1978039376158491E-2</v>
      </c>
      <c r="O27" s="68">
        <v>0.11782391823149377</v>
      </c>
      <c r="P27" s="68">
        <v>0.12697673895354433</v>
      </c>
      <c r="Q27" s="68">
        <v>0.17642987276392172</v>
      </c>
      <c r="R27" s="11"/>
      <c r="S27" s="68">
        <f t="shared" si="28"/>
        <v>5.8605954532427951E-2</v>
      </c>
      <c r="T27" s="68">
        <f>'RD T1'!E84</f>
        <v>7.8602900324702768E-2</v>
      </c>
      <c r="U27" s="68">
        <f t="shared" si="29"/>
        <v>0.13720885485713072</v>
      </c>
      <c r="W27" t="str">
        <f t="shared" si="30"/>
        <v>63 Community and civil enforcement occupations</v>
      </c>
      <c r="X27" s="68">
        <v>0.43897171329549151</v>
      </c>
      <c r="Y27" s="68">
        <v>0.43722557074840296</v>
      </c>
      <c r="Z27" s="68">
        <v>0.534506826066796</v>
      </c>
      <c r="AA27" s="68">
        <v>0.60208752946902944</v>
      </c>
      <c r="AB27" s="68">
        <v>0.78002104327366595</v>
      </c>
      <c r="AC27" s="68"/>
      <c r="AD27" s="68">
        <f t="shared" si="31"/>
        <v>0.24551421720686994</v>
      </c>
      <c r="AE27" s="68">
        <f>'RD T1'!E113</f>
        <v>0.42608471958053218</v>
      </c>
      <c r="AF27" s="68">
        <f t="shared" si="32"/>
        <v>0.67159893678740212</v>
      </c>
      <c r="AH27" t="str">
        <f t="shared" si="33"/>
        <v>63 Community and civil enforcement occupations</v>
      </c>
      <c r="AI27" s="68">
        <v>0.12435216784108659</v>
      </c>
      <c r="AJ27" s="68">
        <v>0.11280731864605541</v>
      </c>
      <c r="AK27" s="68">
        <v>0.16486491414108079</v>
      </c>
      <c r="AL27" s="68">
        <v>0.14334618714432804</v>
      </c>
      <c r="AM27" s="68">
        <v>0.1832994523586757</v>
      </c>
      <c r="AN27" s="68"/>
      <c r="AO27" s="68">
        <f t="shared" si="34"/>
        <v>1.8434538217594915E-2</v>
      </c>
      <c r="AP27" s="68">
        <f>'RD T1'!E142</f>
        <v>9.4233021901030029E-2</v>
      </c>
      <c r="AQ27" s="68">
        <f t="shared" si="35"/>
        <v>0.11266756011862494</v>
      </c>
      <c r="AS27" t="str">
        <f t="shared" si="36"/>
        <v>63 Community and civil enforcement occupations</v>
      </c>
      <c r="AT27" s="68">
        <v>0.12649777348106303</v>
      </c>
      <c r="AU27" s="68">
        <v>0.10337446312279902</v>
      </c>
      <c r="AV27" s="68">
        <v>0.14495383122289429</v>
      </c>
      <c r="AW27" s="68">
        <v>0.12228854516732812</v>
      </c>
      <c r="AX27" s="68">
        <v>0.14151520017657765</v>
      </c>
      <c r="AY27" s="68"/>
      <c r="AZ27" s="68">
        <f t="shared" si="37"/>
        <v>-3.4386310463166425E-3</v>
      </c>
      <c r="BA27" s="68">
        <f>'RD T1'!E171</f>
        <v>7.9231851540749576E-2</v>
      </c>
      <c r="BB27" s="68">
        <f t="shared" si="38"/>
        <v>7.5793220494432934E-2</v>
      </c>
      <c r="BD27" t="str">
        <f t="shared" si="39"/>
        <v>63 Community and civil enforcement occupations</v>
      </c>
      <c r="BE27" s="68">
        <v>0.5474537791073727</v>
      </c>
      <c r="BF27" s="68">
        <v>0.38375707180967716</v>
      </c>
      <c r="BG27" s="68">
        <v>0.52363456486071225</v>
      </c>
      <c r="BH27" s="68">
        <v>0.37468176193336139</v>
      </c>
      <c r="BI27" s="68">
        <v>0.42226620004102633</v>
      </c>
      <c r="BJ27" s="68"/>
      <c r="BK27" s="68">
        <f t="shared" si="40"/>
        <v>-0.10136836481968592</v>
      </c>
      <c r="BL27" s="68">
        <f>'RD T1'!E200</f>
        <v>0.15302132782809025</v>
      </c>
      <c r="BM27" s="68">
        <f t="shared" si="41"/>
        <v>5.1652963008404329E-2</v>
      </c>
      <c r="BO27" t="str">
        <f t="shared" si="42"/>
        <v>63 Community and civil enforcement occupations</v>
      </c>
      <c r="BP27" s="68">
        <v>0.8261653433182593</v>
      </c>
      <c r="BQ27" s="68">
        <v>0.67167128952554433</v>
      </c>
      <c r="BR27" s="68">
        <v>0.92883117463422538</v>
      </c>
      <c r="BS27" s="68">
        <v>0.66580861341666175</v>
      </c>
      <c r="BT27" s="68">
        <v>0.66857958873108514</v>
      </c>
      <c r="BU27" s="68"/>
      <c r="BV27" s="68">
        <f t="shared" si="43"/>
        <v>-0.26025158590314024</v>
      </c>
      <c r="BW27" s="68">
        <f>'RD T1'!E229</f>
        <v>0.30133210880889993</v>
      </c>
      <c r="BX27" s="68">
        <f t="shared" si="44"/>
        <v>4.1080522905759698E-2</v>
      </c>
      <c r="BZ27" t="str">
        <f t="shared" si="45"/>
        <v>63 Community and civil enforcement occupations</v>
      </c>
      <c r="CA27" s="68">
        <v>0.75331856234304961</v>
      </c>
      <c r="CB27" s="68">
        <v>0.66180596919958268</v>
      </c>
      <c r="CC27" s="68">
        <v>0.8161327768704093</v>
      </c>
      <c r="CD27" s="68">
        <v>0.62735446869196787</v>
      </c>
      <c r="CE27" s="68">
        <v>0.56090520307118896</v>
      </c>
      <c r="CF27" s="68"/>
      <c r="CG27" s="68">
        <f t="shared" si="46"/>
        <v>-0.25522757379922034</v>
      </c>
      <c r="CH27" s="68">
        <f>'RD T1'!E258</f>
        <v>0.25509755815244861</v>
      </c>
      <c r="CI27" s="68">
        <f t="shared" si="47"/>
        <v>-1.3001564677173061E-4</v>
      </c>
      <c r="CK27" t="str">
        <f t="shared" si="48"/>
        <v>63 Community and civil enforcement occupations</v>
      </c>
      <c r="CL27" s="68">
        <v>0.22239120700509549</v>
      </c>
      <c r="CM27" s="68">
        <v>0.157475553175392</v>
      </c>
      <c r="CN27" s="68">
        <v>0.17663460489827676</v>
      </c>
      <c r="CO27" s="68">
        <v>8.9289792350442806E-2</v>
      </c>
      <c r="CP27" s="68">
        <v>6.2351655138949351E-2</v>
      </c>
      <c r="CQ27" s="68"/>
      <c r="CR27" s="68">
        <f t="shared" si="49"/>
        <v>-0.1142829497593274</v>
      </c>
      <c r="CS27" s="68">
        <f>'RD T1'!E287</f>
        <v>2.1104999978888414E-2</v>
      </c>
      <c r="CT27" s="68">
        <f t="shared" si="50"/>
        <v>-9.3177949780438987E-2</v>
      </c>
    </row>
    <row r="28" spans="1:98" x14ac:dyDescent="0.3">
      <c r="A28" s="10" t="str">
        <f>name!D24</f>
        <v>71 Sales occupations</v>
      </c>
      <c r="B28" s="68">
        <v>0.46483840679993943</v>
      </c>
      <c r="C28" s="68">
        <v>0.50145942864013993</v>
      </c>
      <c r="D28" s="68">
        <v>0.44245913970853795</v>
      </c>
      <c r="E28" s="68">
        <v>0.56220200020533673</v>
      </c>
      <c r="F28" s="68">
        <v>0.73197120857585662</v>
      </c>
      <c r="G28" s="11"/>
      <c r="H28" s="68">
        <f t="shared" si="51"/>
        <v>0.28951206886731867</v>
      </c>
      <c r="I28" s="68">
        <f>'RD T1'!E56</f>
        <v>0.29409628488562345</v>
      </c>
      <c r="J28" s="68">
        <f t="shared" si="26"/>
        <v>0.58360835375294218</v>
      </c>
      <c r="L28" t="str">
        <f t="shared" si="27"/>
        <v>71 Sales occupations</v>
      </c>
      <c r="M28" s="68">
        <v>5.1365300134071665</v>
      </c>
      <c r="N28" s="68">
        <v>5.8653896950413502</v>
      </c>
      <c r="O28" s="68">
        <v>5.923338323028994</v>
      </c>
      <c r="P28" s="68">
        <v>7.4999112513365507</v>
      </c>
      <c r="Q28" s="68">
        <v>10.509692610923572</v>
      </c>
      <c r="R28" s="11"/>
      <c r="S28" s="68">
        <f t="shared" si="28"/>
        <v>4.5863542878945784</v>
      </c>
      <c r="T28" s="68">
        <f>'RD T1'!E85</f>
        <v>4.0427749288589911</v>
      </c>
      <c r="U28" s="68">
        <f t="shared" si="29"/>
        <v>8.6291292167535687</v>
      </c>
      <c r="W28" t="str">
        <f t="shared" si="30"/>
        <v>71 Sales occupations</v>
      </c>
      <c r="X28" s="68">
        <v>22.598697360616057</v>
      </c>
      <c r="Y28" s="68">
        <v>22.450049773974726</v>
      </c>
      <c r="Z28" s="68">
        <v>26.592760573235427</v>
      </c>
      <c r="AA28" s="68">
        <v>27.45039633508792</v>
      </c>
      <c r="AB28" s="68">
        <v>35.928932596697386</v>
      </c>
      <c r="AC28" s="68"/>
      <c r="AD28" s="68">
        <f t="shared" si="31"/>
        <v>9.336172023461959</v>
      </c>
      <c r="AE28" s="68">
        <f>'RD T1'!E114</f>
        <v>16.314556423777166</v>
      </c>
      <c r="AF28" s="68">
        <f t="shared" si="32"/>
        <v>25.650728447239125</v>
      </c>
      <c r="AH28" t="str">
        <f t="shared" si="33"/>
        <v>71 Sales occupations</v>
      </c>
      <c r="AI28" s="68">
        <v>7.5832084957424861</v>
      </c>
      <c r="AJ28" s="68">
        <v>7.1347080040340041</v>
      </c>
      <c r="AK28" s="68">
        <v>8.5401064304209697</v>
      </c>
      <c r="AL28" s="68">
        <v>8.0934651009462044</v>
      </c>
      <c r="AM28" s="68">
        <v>9.9839520909365476</v>
      </c>
      <c r="AN28" s="68"/>
      <c r="AO28" s="68">
        <f t="shared" si="34"/>
        <v>1.4438456605155778</v>
      </c>
      <c r="AP28" s="68">
        <f>'RD T1'!E143</f>
        <v>4.7624712839972334</v>
      </c>
      <c r="AQ28" s="68">
        <f t="shared" si="35"/>
        <v>6.2063169445128112</v>
      </c>
      <c r="AS28" t="str">
        <f t="shared" si="36"/>
        <v>71 Sales occupations</v>
      </c>
      <c r="AT28" s="68">
        <v>6.4702588490694204</v>
      </c>
      <c r="AU28" s="68">
        <v>5.9652979335771557</v>
      </c>
      <c r="AV28" s="68">
        <v>6.9471758442137848</v>
      </c>
      <c r="AW28" s="68">
        <v>6.4946851487977924</v>
      </c>
      <c r="AX28" s="68">
        <v>7.7476253386633189</v>
      </c>
      <c r="AY28" s="68"/>
      <c r="AZ28" s="68">
        <f t="shared" si="37"/>
        <v>0.80044949444953417</v>
      </c>
      <c r="BA28" s="68">
        <f>'RD T1'!E172</f>
        <v>3.2412176203312462</v>
      </c>
      <c r="BB28" s="68">
        <f t="shared" si="38"/>
        <v>4.0416671147807808</v>
      </c>
      <c r="BD28" t="str">
        <f t="shared" si="39"/>
        <v>71 Sales occupations</v>
      </c>
      <c r="BE28" s="68">
        <v>55.066724663812238</v>
      </c>
      <c r="BF28" s="68">
        <v>48.367311702176671</v>
      </c>
      <c r="BG28" s="68">
        <v>49.278899496044701</v>
      </c>
      <c r="BH28" s="68">
        <v>49.948743466936165</v>
      </c>
      <c r="BI28" s="68">
        <v>53.195908919679646</v>
      </c>
      <c r="BJ28" s="68"/>
      <c r="BK28" s="68">
        <f t="shared" si="40"/>
        <v>3.9170094236349442</v>
      </c>
      <c r="BL28" s="68">
        <f>'RD T1'!E201</f>
        <v>23.533730765614649</v>
      </c>
      <c r="BM28" s="68">
        <f t="shared" si="41"/>
        <v>27.450740189249593</v>
      </c>
      <c r="BO28" t="str">
        <f t="shared" si="42"/>
        <v>71 Sales occupations</v>
      </c>
      <c r="BP28" s="68">
        <v>62.432345417355549</v>
      </c>
      <c r="BQ28" s="68">
        <v>53.203293019371884</v>
      </c>
      <c r="BR28" s="68">
        <v>51.476437653169555</v>
      </c>
      <c r="BS28" s="68">
        <v>46.148106634983726</v>
      </c>
      <c r="BT28" s="68">
        <v>36.80771176860106</v>
      </c>
      <c r="BU28" s="68"/>
      <c r="BV28" s="68">
        <f t="shared" si="43"/>
        <v>-14.668725884568495</v>
      </c>
      <c r="BW28" s="68">
        <f>'RD T1'!E230</f>
        <v>19.856153790254247</v>
      </c>
      <c r="BX28" s="68">
        <f t="shared" si="44"/>
        <v>5.1874279056857517</v>
      </c>
      <c r="BZ28" t="str">
        <f t="shared" si="45"/>
        <v>71 Sales occupations</v>
      </c>
      <c r="CA28" s="68">
        <v>43.750997502357606</v>
      </c>
      <c r="CB28" s="68">
        <v>39.056266472001184</v>
      </c>
      <c r="CC28" s="68">
        <v>34.991738367784357</v>
      </c>
      <c r="CD28" s="68">
        <v>27.687352570137268</v>
      </c>
      <c r="CE28" s="68">
        <v>12.720115933962836</v>
      </c>
      <c r="CF28" s="68"/>
      <c r="CG28" s="68">
        <f t="shared" si="46"/>
        <v>-22.27162243382152</v>
      </c>
      <c r="CH28" s="68">
        <f>'RD T1'!E259</f>
        <v>8.4313402067080574</v>
      </c>
      <c r="CI28" s="68">
        <f t="shared" si="47"/>
        <v>-13.840282227113462</v>
      </c>
      <c r="CK28" t="str">
        <f t="shared" si="48"/>
        <v>71 Sales occupations</v>
      </c>
      <c r="CL28" s="68">
        <v>17.912363618476043</v>
      </c>
      <c r="CM28" s="68">
        <v>14.551118704539325</v>
      </c>
      <c r="CN28" s="68">
        <v>10.502497112523244</v>
      </c>
      <c r="CO28" s="68">
        <v>7.6637770061052288</v>
      </c>
      <c r="CP28" s="68">
        <v>4.5442950100183479</v>
      </c>
      <c r="CQ28" s="68"/>
      <c r="CR28" s="68">
        <f t="shared" si="49"/>
        <v>-5.9582021025048961</v>
      </c>
      <c r="CS28" s="68">
        <f>'RD T1'!E288</f>
        <v>1.664369828951433</v>
      </c>
      <c r="CT28" s="68">
        <f t="shared" si="50"/>
        <v>-4.2938322735534626</v>
      </c>
    </row>
    <row r="29" spans="1:98" x14ac:dyDescent="0.3">
      <c r="A29" s="10" t="str">
        <f>name!D25</f>
        <v>72 Customer service occupations</v>
      </c>
      <c r="B29" s="68">
        <v>0.13717147948071895</v>
      </c>
      <c r="C29" s="68">
        <v>0.16301667626604746</v>
      </c>
      <c r="D29" s="68">
        <v>0.16311733947438969</v>
      </c>
      <c r="E29" s="68">
        <v>0.27712730121594292</v>
      </c>
      <c r="F29" s="68">
        <v>0.41018292622731989</v>
      </c>
      <c r="G29" s="11"/>
      <c r="H29" s="68">
        <f>F29-D29</f>
        <v>0.24706558675293019</v>
      </c>
      <c r="I29" s="68">
        <f>'RD T1'!E57</f>
        <v>0.14159696816510861</v>
      </c>
      <c r="J29" s="68">
        <f t="shared" si="26"/>
        <v>0.38866255491803881</v>
      </c>
      <c r="L29" t="str">
        <f t="shared" si="27"/>
        <v>72 Customer service occupations</v>
      </c>
      <c r="M29" s="68">
        <v>1.4054455544808016</v>
      </c>
      <c r="N29" s="68">
        <v>1.9466245987116297</v>
      </c>
      <c r="O29" s="68">
        <v>1.90294509900764</v>
      </c>
      <c r="P29" s="68">
        <v>3.2266848559288883</v>
      </c>
      <c r="Q29" s="68">
        <v>4.8389254826133561</v>
      </c>
      <c r="R29" s="11"/>
      <c r="S29" s="68">
        <f t="shared" si="28"/>
        <v>2.9359803836057159</v>
      </c>
      <c r="T29" s="68">
        <f>'RD T1'!E86</f>
        <v>1.7628052097526343</v>
      </c>
      <c r="U29" s="68">
        <f t="shared" si="29"/>
        <v>4.69878559335835</v>
      </c>
      <c r="W29" t="str">
        <f t="shared" si="30"/>
        <v>72 Customer service occupations</v>
      </c>
      <c r="X29" s="68">
        <v>6.2666864515268745</v>
      </c>
      <c r="Y29" s="68">
        <v>7.2100631378625391</v>
      </c>
      <c r="Z29" s="68">
        <v>8.4880269857557131</v>
      </c>
      <c r="AA29" s="68">
        <v>11.208602782110201</v>
      </c>
      <c r="AB29" s="68">
        <v>15.479171187140011</v>
      </c>
      <c r="AC29" s="68"/>
      <c r="AD29" s="68">
        <f t="shared" si="31"/>
        <v>6.9911442013842979</v>
      </c>
      <c r="AE29" s="68">
        <f>'RD T1'!E115</f>
        <v>6.3974568653607662</v>
      </c>
      <c r="AF29" s="68">
        <f t="shared" si="32"/>
        <v>13.388601066745064</v>
      </c>
      <c r="AH29" t="str">
        <f t="shared" si="33"/>
        <v>72 Customer service occupations</v>
      </c>
      <c r="AI29" s="68">
        <v>1.9630381626971196</v>
      </c>
      <c r="AJ29" s="68">
        <v>2.3546013749058838</v>
      </c>
      <c r="AK29" s="68">
        <v>2.912626996680229</v>
      </c>
      <c r="AL29" s="68">
        <v>3.8590811167648793</v>
      </c>
      <c r="AM29" s="68">
        <v>5.3507506599114523</v>
      </c>
      <c r="AN29" s="68"/>
      <c r="AO29" s="68">
        <f t="shared" si="34"/>
        <v>2.4381236632312233</v>
      </c>
      <c r="AP29" s="68">
        <f>'RD T1'!E144</f>
        <v>2.3029261300117754</v>
      </c>
      <c r="AQ29" s="68">
        <f t="shared" si="35"/>
        <v>4.7410497932429987</v>
      </c>
      <c r="AS29" t="str">
        <f t="shared" si="36"/>
        <v>72 Customer service occupations</v>
      </c>
      <c r="AT29" s="68">
        <v>2.36914373464881</v>
      </c>
      <c r="AU29" s="68">
        <v>2.6535015162531028</v>
      </c>
      <c r="AV29" s="68">
        <v>3.1381019575791442</v>
      </c>
      <c r="AW29" s="68">
        <v>3.9139473964758387</v>
      </c>
      <c r="AX29" s="68">
        <v>4.9197529222608631</v>
      </c>
      <c r="AY29" s="68"/>
      <c r="AZ29" s="68">
        <f t="shared" si="37"/>
        <v>1.7816509646817189</v>
      </c>
      <c r="BA29" s="68">
        <f>'RD T1'!E173</f>
        <v>2.0676887207821455</v>
      </c>
      <c r="BB29" s="68">
        <f t="shared" si="38"/>
        <v>3.8493396854638644</v>
      </c>
      <c r="BD29" t="str">
        <f t="shared" si="39"/>
        <v>72 Customer service occupations</v>
      </c>
      <c r="BE29" s="68">
        <v>10.928898409575242</v>
      </c>
      <c r="BF29" s="68">
        <v>11.12141840736156</v>
      </c>
      <c r="BG29" s="68">
        <v>11.510443866440717</v>
      </c>
      <c r="BH29" s="68">
        <v>14.736218487446401</v>
      </c>
      <c r="BI29" s="68">
        <v>16.525093710149065</v>
      </c>
      <c r="BJ29" s="68"/>
      <c r="BK29" s="68">
        <f t="shared" si="40"/>
        <v>5.014649843708348</v>
      </c>
      <c r="BL29" s="68">
        <f>'RD T1'!E202</f>
        <v>6.883016256721568</v>
      </c>
      <c r="BM29" s="68">
        <f t="shared" si="41"/>
        <v>11.897666100429916</v>
      </c>
      <c r="BO29" t="str">
        <f t="shared" si="42"/>
        <v>72 Customer service occupations</v>
      </c>
      <c r="BP29" s="68">
        <v>12.996885438564581</v>
      </c>
      <c r="BQ29" s="68">
        <v>14.454042745161606</v>
      </c>
      <c r="BR29" s="68">
        <v>13.404079667325293</v>
      </c>
      <c r="BS29" s="68">
        <v>17.083947632454837</v>
      </c>
      <c r="BT29" s="68">
        <v>16.876552406151188</v>
      </c>
      <c r="BU29" s="68"/>
      <c r="BV29" s="68">
        <f t="shared" si="43"/>
        <v>3.4724727388258945</v>
      </c>
      <c r="BW29" s="68">
        <f>'RD T1'!E231</f>
        <v>8.0005352947483495</v>
      </c>
      <c r="BX29" s="68">
        <f t="shared" si="44"/>
        <v>11.473008033574244</v>
      </c>
      <c r="BZ29" t="str">
        <f t="shared" si="45"/>
        <v>72 Customer service occupations</v>
      </c>
      <c r="CA29" s="68">
        <v>6.9588296361349622</v>
      </c>
      <c r="CB29" s="68">
        <v>6.8762384186789784</v>
      </c>
      <c r="CC29" s="68">
        <v>6.3953478725867923</v>
      </c>
      <c r="CD29" s="68">
        <v>6.9038464641130188</v>
      </c>
      <c r="CE29" s="68">
        <v>6.3483655145889735</v>
      </c>
      <c r="CF29" s="68"/>
      <c r="CG29" s="68">
        <f t="shared" si="46"/>
        <v>-4.6982357997818802E-2</v>
      </c>
      <c r="CH29" s="68">
        <f>'RD T1'!E260</f>
        <v>2.2698551178658519</v>
      </c>
      <c r="CI29" s="68">
        <f t="shared" si="47"/>
        <v>2.2228727598680331</v>
      </c>
      <c r="CK29" t="str">
        <f t="shared" si="48"/>
        <v>72 Customer service occupations</v>
      </c>
      <c r="CL29" s="68">
        <v>1.9476846238216672</v>
      </c>
      <c r="CM29" s="68">
        <v>2.3538999145420711</v>
      </c>
      <c r="CN29" s="68">
        <v>1.9459649672518924</v>
      </c>
      <c r="CO29" s="68">
        <v>2.6886082758102696</v>
      </c>
      <c r="CP29" s="68">
        <v>2.8935576525552658</v>
      </c>
      <c r="CQ29" s="68"/>
      <c r="CR29" s="68">
        <f t="shared" si="49"/>
        <v>0.94759268530337337</v>
      </c>
      <c r="CS29" s="68">
        <f>'RD T1'!E289</f>
        <v>0.81601528073862106</v>
      </c>
      <c r="CT29" s="68">
        <f t="shared" si="50"/>
        <v>1.7636079660419943</v>
      </c>
    </row>
    <row r="30" spans="1:98" x14ac:dyDescent="0.3">
      <c r="A30" s="10" t="str">
        <f>name!D26</f>
        <v>81 Process, plant and machine operatives</v>
      </c>
      <c r="B30" s="68">
        <v>0.12379079696715344</v>
      </c>
      <c r="C30" s="68">
        <v>0.16039869426455675</v>
      </c>
      <c r="D30" s="68">
        <v>0.13799181167173888</v>
      </c>
      <c r="E30" s="68">
        <v>0.24753033833786792</v>
      </c>
      <c r="F30" s="68">
        <v>0.44367433241453774</v>
      </c>
      <c r="G30" s="11"/>
      <c r="H30" s="68">
        <f t="shared" si="51"/>
        <v>0.30568252074279889</v>
      </c>
      <c r="I30" s="68">
        <f>'RD T1'!E58</f>
        <v>0.16700980750515548</v>
      </c>
      <c r="J30" s="68">
        <f t="shared" si="26"/>
        <v>0.47269232824795437</v>
      </c>
      <c r="L30" t="str">
        <f t="shared" si="27"/>
        <v>81 Process, plant and machine operatives</v>
      </c>
      <c r="M30" s="68">
        <v>0.72902192248522324</v>
      </c>
      <c r="N30" s="68">
        <v>0.88251004338944206</v>
      </c>
      <c r="O30" s="68">
        <v>0.77540920441460703</v>
      </c>
      <c r="P30" s="68">
        <v>1.4344933033065457</v>
      </c>
      <c r="Q30" s="68">
        <v>2.3595759832713705</v>
      </c>
      <c r="R30" s="11"/>
      <c r="S30" s="68">
        <f t="shared" si="28"/>
        <v>1.5841667788567635</v>
      </c>
      <c r="T30" s="68">
        <f>'RD T1'!E87</f>
        <v>0.80841900112866516</v>
      </c>
      <c r="U30" s="68">
        <f t="shared" si="29"/>
        <v>2.3925857799854287</v>
      </c>
      <c r="W30" t="str">
        <f t="shared" si="30"/>
        <v>81 Process, plant and machine operatives</v>
      </c>
      <c r="X30" s="68">
        <v>2.644084391695646</v>
      </c>
      <c r="Y30" s="68">
        <v>2.678502423032123</v>
      </c>
      <c r="Z30" s="68">
        <v>2.9175661122356549</v>
      </c>
      <c r="AA30" s="68">
        <v>4.5039506525408619</v>
      </c>
      <c r="AB30" s="68">
        <v>7.7108289305894591</v>
      </c>
      <c r="AC30" s="68"/>
      <c r="AD30" s="68">
        <f t="shared" si="31"/>
        <v>4.7932628183538046</v>
      </c>
      <c r="AE30" s="68">
        <f>'RD T1'!E116</f>
        <v>2.7576683220369973</v>
      </c>
      <c r="AF30" s="68">
        <f t="shared" si="32"/>
        <v>7.5509311403908015</v>
      </c>
      <c r="AH30" t="str">
        <f t="shared" si="33"/>
        <v>81 Process, plant and machine operatives</v>
      </c>
      <c r="AI30" s="68">
        <v>1.0685187345540041</v>
      </c>
      <c r="AJ30" s="68">
        <v>1.0731131302877077</v>
      </c>
      <c r="AK30" s="68">
        <v>1.20923423981106</v>
      </c>
      <c r="AL30" s="68">
        <v>1.7421791896790264</v>
      </c>
      <c r="AM30" s="68">
        <v>2.4716054912236327</v>
      </c>
      <c r="AN30" s="68"/>
      <c r="AO30" s="68">
        <f t="shared" si="34"/>
        <v>1.2623712514125727</v>
      </c>
      <c r="AP30" s="68">
        <f>'RD T1'!E145</f>
        <v>0.91073511342410651</v>
      </c>
      <c r="AQ30" s="68">
        <f t="shared" si="35"/>
        <v>2.1731063648366793</v>
      </c>
      <c r="AS30" t="str">
        <f t="shared" si="36"/>
        <v>81 Process, plant and machine operatives</v>
      </c>
      <c r="AT30" s="68">
        <v>2.3969975853663938</v>
      </c>
      <c r="AU30" s="68">
        <v>2.4288445448356262</v>
      </c>
      <c r="AV30" s="68">
        <v>2.4955913553021078</v>
      </c>
      <c r="AW30" s="68">
        <v>3.6834155764902419</v>
      </c>
      <c r="AX30" s="68">
        <v>5.0991801238573551</v>
      </c>
      <c r="AY30" s="68"/>
      <c r="AZ30" s="68">
        <f t="shared" si="37"/>
        <v>2.6035887685552472</v>
      </c>
      <c r="BA30" s="68">
        <f>'RD T1'!E174</f>
        <v>1.9079086052212721</v>
      </c>
      <c r="BB30" s="68">
        <f t="shared" si="38"/>
        <v>4.5114973737765194</v>
      </c>
      <c r="BD30" t="str">
        <f t="shared" si="39"/>
        <v>81 Process, plant and machine operatives</v>
      </c>
      <c r="BE30" s="68">
        <v>15.827990325095422</v>
      </c>
      <c r="BF30" s="68">
        <v>16.447064622202419</v>
      </c>
      <c r="BG30" s="68">
        <v>13.984828249420941</v>
      </c>
      <c r="BH30" s="68">
        <v>20.387378032799354</v>
      </c>
      <c r="BI30" s="68">
        <v>24.615489091944593</v>
      </c>
      <c r="BJ30" s="68"/>
      <c r="BK30" s="68">
        <f t="shared" si="40"/>
        <v>10.630660842523652</v>
      </c>
      <c r="BL30" s="68">
        <f>'RD T1'!E203</f>
        <v>7.6361688192005337</v>
      </c>
      <c r="BM30" s="68">
        <f t="shared" si="41"/>
        <v>18.266829661724184</v>
      </c>
      <c r="BO30" t="str">
        <f t="shared" si="42"/>
        <v>81 Process, plant and machine operatives</v>
      </c>
      <c r="BP30" s="68">
        <v>24.115925133022401</v>
      </c>
      <c r="BQ30" s="68">
        <v>23.73988419664213</v>
      </c>
      <c r="BR30" s="68">
        <v>22.776618718430697</v>
      </c>
      <c r="BS30" s="68">
        <v>28.507254637945255</v>
      </c>
      <c r="BT30" s="68">
        <v>29.814021980693653</v>
      </c>
      <c r="BU30" s="68"/>
      <c r="BV30" s="68">
        <f t="shared" si="43"/>
        <v>7.0374032622629556</v>
      </c>
      <c r="BW30" s="68">
        <f>'RD T1'!E232</f>
        <v>11.431900069144994</v>
      </c>
      <c r="BX30" s="68">
        <f t="shared" si="44"/>
        <v>18.46930333140795</v>
      </c>
      <c r="BZ30" t="str">
        <f t="shared" si="45"/>
        <v>81 Process, plant and machine operatives</v>
      </c>
      <c r="CA30" s="68">
        <v>21.737941591685161</v>
      </c>
      <c r="CB30" s="68">
        <v>20.199717192013011</v>
      </c>
      <c r="CC30" s="68">
        <v>17.008397163502487</v>
      </c>
      <c r="CD30" s="68">
        <v>19.024963051126765</v>
      </c>
      <c r="CE30" s="68">
        <v>8.3976064451504637</v>
      </c>
      <c r="CF30" s="68"/>
      <c r="CG30" s="68">
        <f t="shared" si="46"/>
        <v>-8.6107907183520229</v>
      </c>
      <c r="CH30" s="68">
        <f>'RD T1'!E261</f>
        <v>5.5759065689899669</v>
      </c>
      <c r="CI30" s="68">
        <f t="shared" si="47"/>
        <v>-3.034884149362056</v>
      </c>
      <c r="CK30" t="str">
        <f t="shared" si="48"/>
        <v>81 Process, plant and machine operatives</v>
      </c>
      <c r="CL30" s="68">
        <v>8.8113235194434285</v>
      </c>
      <c r="CM30" s="68">
        <v>7.211757434736632</v>
      </c>
      <c r="CN30" s="68">
        <v>4.8773594564544354</v>
      </c>
      <c r="CO30" s="68">
        <v>2.8886608537906615</v>
      </c>
      <c r="CP30" s="68">
        <v>1.214443383620931</v>
      </c>
      <c r="CQ30" s="68"/>
      <c r="CR30" s="68">
        <f t="shared" si="49"/>
        <v>-3.6629160728335046</v>
      </c>
      <c r="CS30" s="68">
        <f>'RD T1'!E290</f>
        <v>0.5830898489399805</v>
      </c>
      <c r="CT30" s="68">
        <f t="shared" si="50"/>
        <v>-3.0798262238935239</v>
      </c>
    </row>
    <row r="31" spans="1:98" x14ac:dyDescent="0.3">
      <c r="A31" s="10" t="str">
        <f>name!D27</f>
        <v>82 Transport and mobile machine drivers and operatives</v>
      </c>
      <c r="B31" s="68">
        <v>0.18325298032128365</v>
      </c>
      <c r="C31" s="68">
        <v>0.27679130883900133</v>
      </c>
      <c r="D31" s="68">
        <v>0.27038928716562832</v>
      </c>
      <c r="E31" s="68">
        <v>0.44366765566098165</v>
      </c>
      <c r="F31" s="68">
        <v>0.61820132285661766</v>
      </c>
      <c r="G31" s="11"/>
      <c r="H31" s="68">
        <f t="shared" si="51"/>
        <v>0.34781203569098934</v>
      </c>
      <c r="I31" s="68">
        <f>'RD T1'!E59</f>
        <v>0.31392421076782179</v>
      </c>
      <c r="J31" s="68">
        <f t="shared" si="26"/>
        <v>0.66173624645881113</v>
      </c>
      <c r="L31" t="str">
        <f t="shared" si="27"/>
        <v>82 Transport and mobile machine drivers and operatives</v>
      </c>
      <c r="M31" s="68">
        <v>1.2784038320549729</v>
      </c>
      <c r="N31" s="68">
        <v>1.7485012101234878</v>
      </c>
      <c r="O31" s="68">
        <v>1.7551418349681731</v>
      </c>
      <c r="P31" s="68">
        <v>2.6061234062824146</v>
      </c>
      <c r="Q31" s="68">
        <v>3.6651823922418481</v>
      </c>
      <c r="R31" s="11"/>
      <c r="S31" s="68">
        <f t="shared" si="28"/>
        <v>1.9100405572736749</v>
      </c>
      <c r="T31" s="68">
        <f>'RD T1'!E88</f>
        <v>1.8193241837229761</v>
      </c>
      <c r="U31" s="68">
        <f t="shared" si="29"/>
        <v>3.7293647409966511</v>
      </c>
      <c r="W31" t="str">
        <f t="shared" si="30"/>
        <v>82 Transport and mobile machine drivers and operatives</v>
      </c>
      <c r="X31" s="68">
        <v>4.158794681082056</v>
      </c>
      <c r="Y31" s="68">
        <v>5.3875335031547529</v>
      </c>
      <c r="Z31" s="68">
        <v>5.7916401383203926</v>
      </c>
      <c r="AA31" s="68">
        <v>7.394300022860941</v>
      </c>
      <c r="AB31" s="68">
        <v>10.008142190584522</v>
      </c>
      <c r="AC31" s="68"/>
      <c r="AD31" s="68">
        <f t="shared" si="31"/>
        <v>4.2165020522641292</v>
      </c>
      <c r="AE31" s="68">
        <f>'RD T1'!E117</f>
        <v>5.4001369952742033</v>
      </c>
      <c r="AF31" s="68">
        <f t="shared" si="32"/>
        <v>9.6166390475383317</v>
      </c>
      <c r="AH31" t="str">
        <f t="shared" si="33"/>
        <v>82 Transport and mobile machine drivers and operatives</v>
      </c>
      <c r="AI31" s="68">
        <v>1.9634658410114598</v>
      </c>
      <c r="AJ31" s="68">
        <v>2.5914648120961168</v>
      </c>
      <c r="AK31" s="68">
        <v>2.7702398202935083</v>
      </c>
      <c r="AL31" s="68">
        <v>3.6300628880943675</v>
      </c>
      <c r="AM31" s="68">
        <v>4.6126811068794771</v>
      </c>
      <c r="AN31" s="68"/>
      <c r="AO31" s="68">
        <f t="shared" si="34"/>
        <v>1.8424412865859687</v>
      </c>
      <c r="AP31" s="68">
        <f>'RD T1'!E146</f>
        <v>2.5552791673412565</v>
      </c>
      <c r="AQ31" s="68">
        <f t="shared" si="35"/>
        <v>4.3977204539272252</v>
      </c>
      <c r="AS31" t="str">
        <f t="shared" si="36"/>
        <v>82 Transport and mobile machine drivers and operatives</v>
      </c>
      <c r="AT31" s="68">
        <v>3.1390429691954691</v>
      </c>
      <c r="AU31" s="68">
        <v>3.9577584069323266</v>
      </c>
      <c r="AV31" s="68">
        <v>4.231892386537127</v>
      </c>
      <c r="AW31" s="68">
        <v>5.442015508205456</v>
      </c>
      <c r="AX31" s="68">
        <v>6.7633323923779276</v>
      </c>
      <c r="AY31" s="68"/>
      <c r="AZ31" s="68">
        <f t="shared" si="37"/>
        <v>2.5314400058408006</v>
      </c>
      <c r="BA31" s="68">
        <f>'RD T1'!E175</f>
        <v>3.8393023030549647</v>
      </c>
      <c r="BB31" s="68">
        <f t="shared" si="38"/>
        <v>6.3707423088957658</v>
      </c>
      <c r="BD31" t="str">
        <f t="shared" si="39"/>
        <v>82 Transport and mobile machine drivers and operatives</v>
      </c>
      <c r="BE31" s="68">
        <v>20.391636428708196</v>
      </c>
      <c r="BF31" s="68">
        <v>25.12145963455453</v>
      </c>
      <c r="BG31" s="68">
        <v>21.077424320423781</v>
      </c>
      <c r="BH31" s="68">
        <v>26.996361549786968</v>
      </c>
      <c r="BI31" s="68">
        <v>31.685172482271014</v>
      </c>
      <c r="BJ31" s="68"/>
      <c r="BK31" s="68">
        <f t="shared" si="40"/>
        <v>10.607748161847233</v>
      </c>
      <c r="BL31" s="68">
        <f>'RD T1'!E204</f>
        <v>13.997245123781735</v>
      </c>
      <c r="BM31" s="68">
        <f t="shared" si="41"/>
        <v>24.604993285628968</v>
      </c>
      <c r="BO31" t="str">
        <f t="shared" si="42"/>
        <v>82 Transport and mobile machine drivers and operatives</v>
      </c>
      <c r="BP31" s="68">
        <v>34.323828440690633</v>
      </c>
      <c r="BQ31" s="68">
        <v>39.251821147540653</v>
      </c>
      <c r="BR31" s="68">
        <v>37.940640955891141</v>
      </c>
      <c r="BS31" s="68">
        <v>41.451678118661384</v>
      </c>
      <c r="BT31" s="68">
        <v>42.762697061039304</v>
      </c>
      <c r="BU31" s="68"/>
      <c r="BV31" s="68">
        <f t="shared" si="43"/>
        <v>4.8220561051481639</v>
      </c>
      <c r="BW31" s="68">
        <f>'RD T1'!E233</f>
        <v>22.997686403421717</v>
      </c>
      <c r="BX31" s="68">
        <f t="shared" si="44"/>
        <v>27.819742508569881</v>
      </c>
      <c r="BZ31" t="str">
        <f t="shared" si="45"/>
        <v>82 Transport and mobile machine drivers and operatives</v>
      </c>
      <c r="CA31" s="68">
        <v>35.165709671008358</v>
      </c>
      <c r="CB31" s="68">
        <v>36.721074594285817</v>
      </c>
      <c r="CC31" s="68">
        <v>30.413835681165313</v>
      </c>
      <c r="CD31" s="68">
        <v>30.871633622790352</v>
      </c>
      <c r="CE31" s="68">
        <v>26.518229780503884</v>
      </c>
      <c r="CF31" s="68"/>
      <c r="CG31" s="68">
        <f t="shared" si="46"/>
        <v>-3.8956059006614296</v>
      </c>
      <c r="CH31" s="68">
        <f>'RD T1'!E262</f>
        <v>13.775647209243623</v>
      </c>
      <c r="CI31" s="68">
        <f t="shared" si="47"/>
        <v>9.880041308582193</v>
      </c>
      <c r="CK31" t="str">
        <f t="shared" si="48"/>
        <v>82 Transport and mobile machine drivers and operatives</v>
      </c>
      <c r="CL31" s="68">
        <v>12.718390939012782</v>
      </c>
      <c r="CM31" s="68">
        <v>15.252456325939034</v>
      </c>
      <c r="CN31" s="68">
        <v>11.182001816438166</v>
      </c>
      <c r="CO31" s="68">
        <v>9.798566210147893</v>
      </c>
      <c r="CP31" s="68">
        <v>5.8865507768383063</v>
      </c>
      <c r="CQ31" s="68"/>
      <c r="CR31" s="68">
        <f t="shared" si="49"/>
        <v>-5.2954510395998602</v>
      </c>
      <c r="CS31" s="68">
        <f>'RD T1'!E291</f>
        <v>3.2090381590925254</v>
      </c>
      <c r="CT31" s="68">
        <f t="shared" si="50"/>
        <v>-2.0864128805073348</v>
      </c>
    </row>
    <row r="32" spans="1:98" x14ac:dyDescent="0.3">
      <c r="A32" s="10" t="str">
        <f>name!D28</f>
        <v>91 Elementary trades and related occupations</v>
      </c>
      <c r="B32" s="68">
        <v>2.3310125080564046E-3</v>
      </c>
      <c r="C32" s="68">
        <v>1.804787055051059E-3</v>
      </c>
      <c r="D32" s="68">
        <v>2.0828565258778457E-3</v>
      </c>
      <c r="E32" s="68">
        <v>2.5481014309595143E-3</v>
      </c>
      <c r="F32" s="68">
        <v>3.6957729868147713E-3</v>
      </c>
      <c r="G32" s="11"/>
      <c r="H32" s="68">
        <f t="shared" si="51"/>
        <v>1.6129164609369256E-3</v>
      </c>
      <c r="I32" s="68">
        <f>'RD T1'!E60</f>
        <v>1.8365188164430871E-3</v>
      </c>
      <c r="J32" s="68">
        <f t="shared" si="26"/>
        <v>3.4494352773800129E-3</v>
      </c>
      <c r="L32" t="str">
        <f t="shared" si="27"/>
        <v>91 Elementary trades and related occupations</v>
      </c>
      <c r="M32" s="68">
        <v>0.42443333872212374</v>
      </c>
      <c r="N32" s="68">
        <v>0.44507488112855864</v>
      </c>
      <c r="O32" s="68">
        <v>0.42966326128307081</v>
      </c>
      <c r="P32" s="68">
        <v>0.53942813081419394</v>
      </c>
      <c r="Q32" s="68">
        <v>0.74370764298869629</v>
      </c>
      <c r="R32" s="11"/>
      <c r="S32" s="68">
        <f t="shared" si="28"/>
        <v>0.31404438170562549</v>
      </c>
      <c r="T32" s="68">
        <f>'RD T1'!E89</f>
        <v>0.30684335154963205</v>
      </c>
      <c r="U32" s="68">
        <f t="shared" si="29"/>
        <v>0.62088773325525759</v>
      </c>
      <c r="W32" t="str">
        <f t="shared" si="30"/>
        <v>91 Elementary trades and related occupations</v>
      </c>
      <c r="X32" s="68">
        <v>1.8446550289292272</v>
      </c>
      <c r="Y32" s="68">
        <v>1.7716259841908497</v>
      </c>
      <c r="Z32" s="68">
        <v>1.7590007413417508</v>
      </c>
      <c r="AA32" s="68">
        <v>1.6527776828817238</v>
      </c>
      <c r="AB32" s="68">
        <v>1.9511239943116661</v>
      </c>
      <c r="AC32" s="68"/>
      <c r="AD32" s="68">
        <f t="shared" si="31"/>
        <v>0.19212325296991528</v>
      </c>
      <c r="AE32" s="68">
        <f>'RD T1'!E118</f>
        <v>1.0219572623004596</v>
      </c>
      <c r="AF32" s="68">
        <f t="shared" si="32"/>
        <v>1.2140805152703749</v>
      </c>
      <c r="AH32" t="str">
        <f t="shared" si="33"/>
        <v>91 Elementary trades and related occupations</v>
      </c>
      <c r="AI32" s="68">
        <v>1.3876017733198085</v>
      </c>
      <c r="AJ32" s="68">
        <v>1.3621319453048988</v>
      </c>
      <c r="AK32" s="68">
        <v>1.3538111967896715</v>
      </c>
      <c r="AL32" s="68">
        <v>1.38225322392672</v>
      </c>
      <c r="AM32" s="68">
        <v>1.8499893252481754</v>
      </c>
      <c r="AN32" s="68"/>
      <c r="AO32" s="68">
        <f t="shared" si="34"/>
        <v>0.49617812845850384</v>
      </c>
      <c r="AP32" s="68">
        <f>'RD T1'!E147</f>
        <v>0.88445215446600445</v>
      </c>
      <c r="AQ32" s="68">
        <f t="shared" si="35"/>
        <v>1.3806302829245083</v>
      </c>
      <c r="AS32" t="str">
        <f t="shared" si="36"/>
        <v>91 Elementary trades and related occupations</v>
      </c>
      <c r="AT32" s="68">
        <v>1.5260787619405634</v>
      </c>
      <c r="AU32" s="68">
        <v>1.3824647813801965</v>
      </c>
      <c r="AV32" s="68">
        <v>1.6378787828585293</v>
      </c>
      <c r="AW32" s="68">
        <v>1.5932769678237773</v>
      </c>
      <c r="AX32" s="68">
        <v>1.8811675954858622</v>
      </c>
      <c r="AY32" s="68"/>
      <c r="AZ32" s="68">
        <f t="shared" si="37"/>
        <v>0.24328881262733293</v>
      </c>
      <c r="BA32" s="68">
        <f>'RD T1'!E176</f>
        <v>0.84444650238253405</v>
      </c>
      <c r="BB32" s="68">
        <f t="shared" si="38"/>
        <v>1.087735315009867</v>
      </c>
      <c r="BD32" t="str">
        <f t="shared" si="39"/>
        <v>91 Elementary trades and related occupations</v>
      </c>
      <c r="BE32" s="68">
        <v>8.5437057287278577</v>
      </c>
      <c r="BF32" s="68">
        <v>7.9008101688319643</v>
      </c>
      <c r="BG32" s="68">
        <v>7.1754059133005219</v>
      </c>
      <c r="BH32" s="68">
        <v>8.0076281721876548</v>
      </c>
      <c r="BI32" s="68">
        <v>10.281799293340869</v>
      </c>
      <c r="BJ32" s="68"/>
      <c r="BK32" s="68">
        <f t="shared" si="40"/>
        <v>3.1063933800403474</v>
      </c>
      <c r="BL32" s="68">
        <f>'RD T1'!E205</f>
        <v>2.9911971866082503</v>
      </c>
      <c r="BM32" s="68">
        <f t="shared" si="41"/>
        <v>6.0975905666485977</v>
      </c>
      <c r="BO32" t="str">
        <f t="shared" si="42"/>
        <v>91 Elementary trades and related occupations</v>
      </c>
      <c r="BP32" s="68">
        <v>14.149563912803364</v>
      </c>
      <c r="BQ32" s="68">
        <v>12.025747703880413</v>
      </c>
      <c r="BR32" s="68">
        <v>12.166527329900912</v>
      </c>
      <c r="BS32" s="68">
        <v>10.055594040652844</v>
      </c>
      <c r="BT32" s="68">
        <v>9.9010750713211326</v>
      </c>
      <c r="BU32" s="68"/>
      <c r="BV32" s="68">
        <f t="shared" si="43"/>
        <v>-2.2654522585797796</v>
      </c>
      <c r="BW32" s="68">
        <f>'RD T1'!E234</f>
        <v>3.7663324988957041</v>
      </c>
      <c r="BX32" s="68">
        <f t="shared" si="44"/>
        <v>1.5008802403159245</v>
      </c>
      <c r="BZ32" t="str">
        <f t="shared" si="45"/>
        <v>91 Elementary trades and related occupations</v>
      </c>
      <c r="CA32" s="68">
        <v>19.008109865925004</v>
      </c>
      <c r="CB32" s="68">
        <v>16.756558551919348</v>
      </c>
      <c r="CC32" s="68">
        <v>14.295687929495818</v>
      </c>
      <c r="CD32" s="68">
        <v>11.568773080569692</v>
      </c>
      <c r="CE32" s="68">
        <v>9.5105255895243701</v>
      </c>
      <c r="CF32" s="68"/>
      <c r="CG32" s="68">
        <f t="shared" si="46"/>
        <v>-4.785162339971448</v>
      </c>
      <c r="CH32" s="68">
        <f>'RD T1'!E263</f>
        <v>4.1654510227885035</v>
      </c>
      <c r="CI32" s="68">
        <f t="shared" si="47"/>
        <v>-0.61971131718294448</v>
      </c>
      <c r="CK32" t="str">
        <f t="shared" si="48"/>
        <v>91 Elementary trades and related occupations</v>
      </c>
      <c r="CL32" s="68">
        <v>8.0132242506513336</v>
      </c>
      <c r="CM32" s="68">
        <v>6.9584944094179075</v>
      </c>
      <c r="CN32" s="68">
        <v>5.1646714807957537</v>
      </c>
      <c r="CO32" s="68">
        <v>3.3717122413907346</v>
      </c>
      <c r="CP32" s="68">
        <v>2.0626237132554825</v>
      </c>
      <c r="CQ32" s="68"/>
      <c r="CR32" s="68">
        <f t="shared" si="49"/>
        <v>-3.1020477675402711</v>
      </c>
      <c r="CS32" s="68">
        <f>'RD T1'!E292</f>
        <v>0.87545310453446568</v>
      </c>
      <c r="CT32" s="68">
        <f t="shared" si="50"/>
        <v>-2.2265946630058053</v>
      </c>
    </row>
    <row r="33" spans="1:98" x14ac:dyDescent="0.3">
      <c r="A33" s="10" t="str">
        <f>name!D29</f>
        <v>92 Elementary administration and service occupations</v>
      </c>
      <c r="B33" s="68">
        <v>0.1606544143862132</v>
      </c>
      <c r="C33" s="68">
        <v>0.17937942956824368</v>
      </c>
      <c r="D33" s="68">
        <v>0.18554932802829693</v>
      </c>
      <c r="E33" s="68">
        <v>0.27015457983095298</v>
      </c>
      <c r="F33" s="68">
        <v>0.36153230166633094</v>
      </c>
      <c r="G33" s="11"/>
      <c r="H33" s="68">
        <f t="shared" ref="H33" si="52">F33-D33</f>
        <v>0.175982973638034</v>
      </c>
      <c r="I33" s="68">
        <f>'RD T1'!E61</f>
        <v>0.16717957862688143</v>
      </c>
      <c r="J33" s="68">
        <f>SUM(H33:I33)</f>
        <v>0.34316255226491543</v>
      </c>
      <c r="L33" t="str">
        <f t="shared" ref="L33" si="53">A33</f>
        <v>92 Elementary administration and service occupations</v>
      </c>
      <c r="M33" s="68">
        <v>4.3644620216675944</v>
      </c>
      <c r="N33" s="68">
        <v>5.6920366982277066</v>
      </c>
      <c r="O33" s="68">
        <v>5.8014904101974967</v>
      </c>
      <c r="P33" s="68">
        <v>8.5247358186224034</v>
      </c>
      <c r="Q33" s="68">
        <v>12.380543532717109</v>
      </c>
      <c r="R33" s="11"/>
      <c r="S33" s="68">
        <f t="shared" ref="S33" si="54">Q33-O33</f>
        <v>6.5790531225196123</v>
      </c>
      <c r="T33" s="68">
        <f>'RD T1'!E90</f>
        <v>5.4110439822737311</v>
      </c>
      <c r="U33" s="68">
        <f t="shared" ref="U33" si="55">SUM(S33:T33)</f>
        <v>11.990097104793342</v>
      </c>
      <c r="W33" t="str">
        <f t="shared" ref="W33" si="56">A33</f>
        <v>92 Elementary administration and service occupations</v>
      </c>
      <c r="X33" s="68">
        <v>17.052716496131172</v>
      </c>
      <c r="Y33" s="68">
        <v>19.696998984501349</v>
      </c>
      <c r="Z33" s="68">
        <v>23.235175971667861</v>
      </c>
      <c r="AA33" s="68">
        <v>27.070348642314492</v>
      </c>
      <c r="AB33" s="68">
        <v>36.669554202374414</v>
      </c>
      <c r="AC33" s="68"/>
      <c r="AD33" s="68">
        <f t="shared" ref="AD33" si="57">AB33-Z33</f>
        <v>13.434378230706553</v>
      </c>
      <c r="AE33" s="68">
        <f>'RD T1'!E119</f>
        <v>19.137659700067779</v>
      </c>
      <c r="AF33" s="68">
        <f t="shared" ref="AF33" si="58">SUM(AD33:AE33)</f>
        <v>32.572037930774329</v>
      </c>
      <c r="AH33" t="str">
        <f t="shared" ref="AH33" si="59">L33</f>
        <v>92 Elementary administration and service occupations</v>
      </c>
      <c r="AI33" s="68">
        <v>8.6443989469817826</v>
      </c>
      <c r="AJ33" s="68">
        <v>10.336257768853462</v>
      </c>
      <c r="AK33" s="68">
        <v>12.152601547016019</v>
      </c>
      <c r="AL33" s="68">
        <v>14.160209596679719</v>
      </c>
      <c r="AM33" s="68">
        <v>19.604488451765626</v>
      </c>
      <c r="AN33" s="68"/>
      <c r="AO33" s="68">
        <f t="shared" ref="AO33" si="60">AM33-AK33</f>
        <v>7.4518869047496068</v>
      </c>
      <c r="AP33" s="68">
        <f>'RD T1'!E148</f>
        <v>9.625651969722659</v>
      </c>
      <c r="AQ33" s="68">
        <f t="shared" ref="AQ33" si="61">SUM(AO33:AP33)</f>
        <v>17.077538874472268</v>
      </c>
      <c r="AS33" t="str">
        <f t="shared" ref="AS33" si="62">W33</f>
        <v>92 Elementary administration and service occupations</v>
      </c>
      <c r="AT33" s="68">
        <v>7.9252294535156356</v>
      </c>
      <c r="AU33" s="68">
        <v>8.5898732732961829</v>
      </c>
      <c r="AV33" s="68">
        <v>10.688040708542054</v>
      </c>
      <c r="AW33" s="68">
        <v>12.055831718109809</v>
      </c>
      <c r="AX33" s="68">
        <v>16.81816548449812</v>
      </c>
      <c r="AY33" s="68"/>
      <c r="AZ33" s="68">
        <f t="shared" ref="AZ33" si="63">AX33-AV33</f>
        <v>6.130124775956066</v>
      </c>
      <c r="BA33" s="68">
        <f>'RD T1'!E177</f>
        <v>8.2160648947245054</v>
      </c>
      <c r="BB33" s="68">
        <f t="shared" ref="BB33" si="64">SUM(AZ33:BA33)</f>
        <v>14.346189670680571</v>
      </c>
      <c r="BD33" t="str">
        <f t="shared" ref="BD33" si="65">AH33</f>
        <v>92 Elementary administration and service occupations</v>
      </c>
      <c r="BE33" s="68">
        <v>56.916069661154616</v>
      </c>
      <c r="BF33" s="68">
        <v>52.530397379755961</v>
      </c>
      <c r="BG33" s="68">
        <v>50.64093592899102</v>
      </c>
      <c r="BH33" s="68">
        <v>53.241243618103901</v>
      </c>
      <c r="BI33" s="68">
        <v>53.135756464510017</v>
      </c>
      <c r="BJ33" s="68"/>
      <c r="BK33" s="68">
        <f t="shared" ref="BK33" si="66">BI33-BG33</f>
        <v>2.494820535518997</v>
      </c>
      <c r="BL33" s="68">
        <f>'RD T1'!E206</f>
        <v>27.949211097269078</v>
      </c>
      <c r="BM33" s="68">
        <f t="shared" ref="BM33" si="67">SUM(BK33:BL33)</f>
        <v>30.444031632788075</v>
      </c>
      <c r="BO33" t="str">
        <f t="shared" ref="BO33" si="68">AS33</f>
        <v>92 Elementary administration and service occupations</v>
      </c>
      <c r="BP33" s="68">
        <v>95.675353880033697</v>
      </c>
      <c r="BQ33" s="68">
        <v>97.397404481192297</v>
      </c>
      <c r="BR33" s="68">
        <v>92.319829909137709</v>
      </c>
      <c r="BS33" s="68">
        <v>95.549506063251556</v>
      </c>
      <c r="BT33" s="68">
        <v>87.499778097328786</v>
      </c>
      <c r="BU33" s="68"/>
      <c r="BV33" s="68">
        <f t="shared" ref="BV33" si="69">BT33-BR33</f>
        <v>-4.8200518118089235</v>
      </c>
      <c r="BW33" s="68">
        <f>'RD T1'!E235</f>
        <v>45.273561304206275</v>
      </c>
      <c r="BX33" s="68">
        <f t="shared" ref="BX33" si="70">SUM(BV33:BW33)</f>
        <v>40.453509492397352</v>
      </c>
      <c r="BZ33" t="str">
        <f t="shared" ref="BZ33" si="71">BD33</f>
        <v>92 Elementary administration and service occupations</v>
      </c>
      <c r="CA33" s="68">
        <v>94.150802257589874</v>
      </c>
      <c r="CB33" s="68">
        <v>100.01381654416966</v>
      </c>
      <c r="CC33" s="68">
        <v>86.340539468223653</v>
      </c>
      <c r="CD33" s="68">
        <v>86.295029010008719</v>
      </c>
      <c r="CE33" s="68">
        <v>65.722009218834742</v>
      </c>
      <c r="CF33" s="68"/>
      <c r="CG33" s="68">
        <f t="shared" ref="CG33" si="72">CE33-CC33</f>
        <v>-20.618530249388911</v>
      </c>
      <c r="CH33" s="68">
        <f>'RD T1'!E264</f>
        <v>33.194122498374199</v>
      </c>
      <c r="CI33" s="68">
        <f t="shared" ref="CI33" si="73">SUM(CG33:CH33)</f>
        <v>12.575592248985288</v>
      </c>
      <c r="CK33" t="str">
        <f t="shared" ref="CK33" si="74">BO33</f>
        <v>92 Elementary administration and service occupations</v>
      </c>
      <c r="CL33" s="68">
        <v>45.166889452805307</v>
      </c>
      <c r="CM33" s="68">
        <v>39.226153432028717</v>
      </c>
      <c r="CN33" s="68">
        <v>26.40212749771786</v>
      </c>
      <c r="CO33" s="68">
        <v>18.562769956061537</v>
      </c>
      <c r="CP33" s="68">
        <v>9.5554303994977996</v>
      </c>
      <c r="CQ33" s="68"/>
      <c r="CR33" s="68">
        <f t="shared" ref="CR33" si="75">CP33-CN33</f>
        <v>-16.846697098220062</v>
      </c>
      <c r="CS33" s="68">
        <f>'RD T1'!E293</f>
        <v>4.2499717134587014</v>
      </c>
      <c r="CT33" s="68">
        <f t="shared" ref="CT33" si="76">SUM(CR33:CS33)</f>
        <v>-12.59672538476136</v>
      </c>
    </row>
    <row r="34" spans="1:98" x14ac:dyDescent="0.3">
      <c r="B34" s="11"/>
      <c r="C34" s="11"/>
      <c r="D34" s="11"/>
      <c r="E34" s="11"/>
      <c r="F34" s="11"/>
      <c r="G34" s="11"/>
      <c r="H34" s="68"/>
      <c r="I34" s="68"/>
      <c r="J34" s="68"/>
      <c r="M34" s="68"/>
      <c r="N34" s="68"/>
      <c r="O34" s="68"/>
      <c r="P34" s="68"/>
      <c r="Q34" s="68"/>
      <c r="R34" s="11"/>
      <c r="S34" s="68"/>
      <c r="T34" s="68"/>
      <c r="U34" s="68"/>
      <c r="X34" s="68"/>
      <c r="Y34" s="68"/>
      <c r="Z34" s="68"/>
      <c r="AA34" s="68"/>
      <c r="AB34" s="68"/>
      <c r="AC34" s="68"/>
      <c r="AD34" s="68"/>
      <c r="AE34" s="68"/>
      <c r="AF34" s="68"/>
      <c r="AI34" s="68"/>
      <c r="AJ34" s="68"/>
      <c r="AK34" s="68"/>
      <c r="AL34" s="68"/>
      <c r="AM34" s="68"/>
      <c r="AN34" s="68"/>
      <c r="AO34" s="68"/>
      <c r="AP34" s="68"/>
      <c r="AQ34" s="68"/>
      <c r="AT34" s="68"/>
      <c r="AU34" s="68"/>
      <c r="AV34" s="68"/>
      <c r="AW34" s="68"/>
      <c r="AX34" s="68"/>
      <c r="AY34" s="68"/>
      <c r="AZ34" s="68"/>
      <c r="BA34" s="68"/>
      <c r="BB34" s="68"/>
      <c r="BE34" s="68"/>
      <c r="BF34" s="68"/>
      <c r="BG34" s="68"/>
      <c r="BH34" s="68"/>
      <c r="BI34" s="68"/>
      <c r="BJ34" s="68"/>
      <c r="BK34" s="68"/>
      <c r="BL34" s="68"/>
      <c r="BM34" s="68"/>
      <c r="BP34" s="68"/>
      <c r="BQ34" s="68"/>
      <c r="BR34" s="68"/>
      <c r="BS34" s="68"/>
      <c r="BT34" s="68"/>
      <c r="BU34" s="68"/>
      <c r="BV34" s="68"/>
      <c r="BW34" s="68"/>
      <c r="BX34" s="68"/>
      <c r="CA34" s="68"/>
      <c r="CB34" s="68"/>
      <c r="CC34" s="68"/>
      <c r="CD34" s="68"/>
      <c r="CE34" s="68"/>
      <c r="CF34" s="68"/>
      <c r="CG34" s="68"/>
      <c r="CH34" s="68"/>
      <c r="CI34" s="68"/>
      <c r="CL34" s="68"/>
      <c r="CM34" s="68"/>
      <c r="CN34" s="68"/>
      <c r="CO34" s="68"/>
      <c r="CP34" s="68"/>
      <c r="CQ34" s="68"/>
      <c r="CR34" s="68"/>
      <c r="CS34" s="68"/>
      <c r="CT34" s="68"/>
    </row>
    <row r="35" spans="1:98" x14ac:dyDescent="0.3">
      <c r="A35" s="231" t="str">
        <f>name!D3</f>
        <v>All occupations</v>
      </c>
      <c r="B35" s="66">
        <f>SUM(B8:B33)</f>
        <v>36.974427371078406</v>
      </c>
      <c r="C35" s="66">
        <f t="shared" ref="C35:F35" si="77">SUM(C8:C33)</f>
        <v>46.534592342672134</v>
      </c>
      <c r="D35" s="66">
        <f t="shared" si="77"/>
        <v>45.751429839235044</v>
      </c>
      <c r="E35" s="66">
        <f t="shared" si="77"/>
        <v>58.110314098046494</v>
      </c>
      <c r="F35" s="66">
        <f t="shared" si="77"/>
        <v>75.377232108376006</v>
      </c>
      <c r="G35" s="11"/>
      <c r="H35" s="66">
        <f>F35-D35</f>
        <v>29.625802269140962</v>
      </c>
      <c r="I35" s="66">
        <f>SUM(I8:I33)</f>
        <v>30.483299706679972</v>
      </c>
      <c r="J35" s="66">
        <f>SUM(H35:I35)</f>
        <v>60.109101975820934</v>
      </c>
      <c r="L35" s="23" t="str">
        <f>A35</f>
        <v>All occupations</v>
      </c>
      <c r="M35" s="66">
        <f>SUM(M8:M33)</f>
        <v>238.14421383118744</v>
      </c>
      <c r="N35" s="66">
        <f t="shared" ref="N35:Q35" si="78">SUM(N8:N33)</f>
        <v>310.29479593541737</v>
      </c>
      <c r="O35" s="66">
        <f t="shared" si="78"/>
        <v>309.62997967254876</v>
      </c>
      <c r="P35" s="66">
        <f t="shared" si="78"/>
        <v>395.65703014048569</v>
      </c>
      <c r="Q35" s="66">
        <f t="shared" si="78"/>
        <v>518.3525120838126</v>
      </c>
      <c r="R35" s="11"/>
      <c r="S35" s="66">
        <f>Q35-O35</f>
        <v>208.72253241126384</v>
      </c>
      <c r="T35" s="66">
        <f>SUM(T8:T33)</f>
        <v>218.07208755624475</v>
      </c>
      <c r="U35" s="66">
        <f>SUM(S35:T35)</f>
        <v>426.79461996750859</v>
      </c>
      <c r="W35" s="23" t="str">
        <f>A35</f>
        <v>All occupations</v>
      </c>
      <c r="X35" s="66">
        <f>SUM(X8:X33)</f>
        <v>525.4359263658547</v>
      </c>
      <c r="Y35" s="66">
        <f t="shared" ref="Y35:AB35" si="79">SUM(Y8:Y33)</f>
        <v>588.43324674715996</v>
      </c>
      <c r="Z35" s="66">
        <f t="shared" si="79"/>
        <v>660.66901591012765</v>
      </c>
      <c r="AA35" s="66">
        <f t="shared" si="79"/>
        <v>688.61222597327389</v>
      </c>
      <c r="AB35" s="66">
        <f t="shared" si="79"/>
        <v>825.96029950573836</v>
      </c>
      <c r="AC35" s="11"/>
      <c r="AD35" s="66">
        <f>AB35-Z35</f>
        <v>165.29128359561071</v>
      </c>
      <c r="AE35" s="66">
        <f>SUM(AE8:AE33)</f>
        <v>395.39626407805071</v>
      </c>
      <c r="AF35" s="66">
        <f>SUM(AD35:AE35)</f>
        <v>560.68754767366136</v>
      </c>
      <c r="AH35" s="23" t="str">
        <f>L35</f>
        <v>All occupations</v>
      </c>
      <c r="AI35" s="66">
        <f>SUM(AI8:AI33)</f>
        <v>153.54135211510902</v>
      </c>
      <c r="AJ35" s="66">
        <f t="shared" ref="AJ35:AM35" si="80">SUM(AJ8:AJ33)</f>
        <v>159.26176969701874</v>
      </c>
      <c r="AK35" s="66">
        <f t="shared" si="80"/>
        <v>180.33887006584979</v>
      </c>
      <c r="AL35" s="66">
        <f t="shared" si="80"/>
        <v>176.30587381291059</v>
      </c>
      <c r="AM35" s="66">
        <f t="shared" si="80"/>
        <v>205.99694559964462</v>
      </c>
      <c r="AN35" s="11"/>
      <c r="AO35" s="66">
        <f>AM35-AK35</f>
        <v>25.658075533794829</v>
      </c>
      <c r="AP35" s="66">
        <f>SUM(AP8:AP33)</f>
        <v>100.10017588221676</v>
      </c>
      <c r="AQ35" s="66">
        <f>SUM(AO35:AP35)</f>
        <v>125.75825141601159</v>
      </c>
      <c r="AS35" s="23" t="str">
        <f>W35</f>
        <v>All occupations</v>
      </c>
      <c r="AT35" s="66">
        <f>SUM(AT8:AT33)</f>
        <v>150.68527696860406</v>
      </c>
      <c r="AU35" s="66">
        <f t="shared" ref="AU35:AX35" si="81">SUM(AU8:AU33)</f>
        <v>162.30511144496356</v>
      </c>
      <c r="AV35" s="66">
        <f t="shared" si="81"/>
        <v>183.52610792279154</v>
      </c>
      <c r="AW35" s="66">
        <f t="shared" si="81"/>
        <v>187.45047070650637</v>
      </c>
      <c r="AX35" s="66">
        <f t="shared" si="81"/>
        <v>223.47715854059464</v>
      </c>
      <c r="AY35" s="11"/>
      <c r="AZ35" s="66">
        <f>AX35-AV35</f>
        <v>39.951050617803105</v>
      </c>
      <c r="BA35" s="66">
        <f>SUM(BA8:BA33)</f>
        <v>103.84349204525722</v>
      </c>
      <c r="BB35" s="66">
        <f>SUM(AZ35:BA35)</f>
        <v>143.79454266306033</v>
      </c>
      <c r="BD35" s="23" t="str">
        <f>AH35</f>
        <v>All occupations</v>
      </c>
      <c r="BE35" s="66">
        <f>SUM(BE8:BE33)</f>
        <v>623.32973353306943</v>
      </c>
      <c r="BF35" s="66">
        <f t="shared" ref="BF35:BI35" si="82">SUM(BF8:BF33)</f>
        <v>631.31405399173934</v>
      </c>
      <c r="BG35" s="66">
        <f t="shared" si="82"/>
        <v>606.6028370610054</v>
      </c>
      <c r="BH35" s="66">
        <f t="shared" si="82"/>
        <v>654.8030057464905</v>
      </c>
      <c r="BI35" s="66">
        <f t="shared" si="82"/>
        <v>689.22564214721035</v>
      </c>
      <c r="BJ35" s="11"/>
      <c r="BK35" s="66">
        <f>BI35-BG35</f>
        <v>82.622805086204949</v>
      </c>
      <c r="BL35" s="66">
        <f>SUM(BL8:BL33)</f>
        <v>308.75481494328051</v>
      </c>
      <c r="BM35" s="66">
        <f>SUM(BK35:BL35)</f>
        <v>391.37762002948546</v>
      </c>
      <c r="BO35" s="23" t="str">
        <f>AS35</f>
        <v>All occupations</v>
      </c>
      <c r="BP35" s="66">
        <f>SUM(BP8:BP33)</f>
        <v>675.58397934000141</v>
      </c>
      <c r="BQ35" s="66">
        <f t="shared" ref="BQ35:BT35" si="83">SUM(BQ8:BQ33)</f>
        <v>672.38661328891919</v>
      </c>
      <c r="BR35" s="66">
        <f t="shared" si="83"/>
        <v>653.11181179721439</v>
      </c>
      <c r="BS35" s="66">
        <f t="shared" si="83"/>
        <v>636.23390047529188</v>
      </c>
      <c r="BT35" s="66">
        <f t="shared" si="83"/>
        <v>560.57279698976504</v>
      </c>
      <c r="BU35" s="11"/>
      <c r="BV35" s="66">
        <f>BT35-BR35</f>
        <v>-92.539014807449348</v>
      </c>
      <c r="BW35" s="66">
        <f>SUM(BW8:BW33)</f>
        <v>281.16097318638401</v>
      </c>
      <c r="BX35" s="66">
        <f>SUM(BV35:BW35)</f>
        <v>188.62195837893466</v>
      </c>
      <c r="BZ35" s="23" t="str">
        <f>BD35</f>
        <v>All occupations</v>
      </c>
      <c r="CA35" s="66">
        <f>SUM(CA8:CA33)</f>
        <v>488.2125280295877</v>
      </c>
      <c r="CB35" s="66">
        <f t="shared" ref="CB35:CE35" si="84">SUM(CB8:CB33)</f>
        <v>478.51693207360393</v>
      </c>
      <c r="CC35" s="66">
        <f t="shared" si="84"/>
        <v>420.97505357800043</v>
      </c>
      <c r="CD35" s="66">
        <f t="shared" si="84"/>
        <v>388.91262234212485</v>
      </c>
      <c r="CE35" s="66">
        <f t="shared" si="84"/>
        <v>278.67975499645888</v>
      </c>
      <c r="CF35" s="11"/>
      <c r="CG35" s="66">
        <f>CE35-CC35</f>
        <v>-142.29529858154154</v>
      </c>
      <c r="CH35" s="66">
        <f>SUM(CH8:CH33)</f>
        <v>142.95402675811792</v>
      </c>
      <c r="CI35" s="66">
        <f>SUM(CG35:CH35)</f>
        <v>0.65872817657637484</v>
      </c>
      <c r="CK35" s="23" t="str">
        <f>BO35</f>
        <v>All occupations</v>
      </c>
      <c r="CL35" s="66">
        <f>SUM(CL8:CL33)</f>
        <v>163.87156244502066</v>
      </c>
      <c r="CM35" s="66">
        <f t="shared" ref="CM35:CO35" si="85">SUM(CM8:CM33)</f>
        <v>158.05588447682516</v>
      </c>
      <c r="CN35" s="66">
        <f>SUM(CN8:CN33)</f>
        <v>113.58689415162695</v>
      </c>
      <c r="CO35" s="66">
        <f t="shared" si="85"/>
        <v>94.166556704874466</v>
      </c>
      <c r="CP35" s="66">
        <f>SUM(CP8:CP33)</f>
        <v>66.640658026299946</v>
      </c>
      <c r="CQ35" s="11"/>
      <c r="CR35" s="66">
        <f>CP35-CN35</f>
        <v>-46.946236125327005</v>
      </c>
      <c r="CS35" s="66">
        <f>SUM(CS8:CS33)</f>
        <v>25.72891423496306</v>
      </c>
      <c r="CT35" s="66">
        <f>SUM(CR35:CS35)</f>
        <v>-21.217321890363944</v>
      </c>
    </row>
    <row r="38" spans="1:98" ht="52.5" customHeight="1" x14ac:dyDescent="0.3">
      <c r="A38" s="379" t="str">
        <f>CONCATENATE(A$1," (Continued)")</f>
        <v>Basic Table 2  Employment Change by Occupation and Replacement Demand, RQF8 Doctorate, 2015-2035, East (Continued)</v>
      </c>
      <c r="B38" s="379"/>
      <c r="C38" s="379"/>
      <c r="D38" s="379"/>
      <c r="E38" s="379"/>
      <c r="F38" s="379"/>
      <c r="G38" s="379"/>
      <c r="H38" s="379"/>
      <c r="I38" s="379"/>
      <c r="J38" s="379"/>
      <c r="L38" s="379" t="str">
        <f>CONCATENATE(L$1," (Continued)")</f>
        <v>Basic Table 2.1  Employment Change by Occupation and Replacement Demand, RQF7 Other higher degree, 2015-2035, East (Continued)</v>
      </c>
      <c r="M38" s="379"/>
      <c r="N38" s="379"/>
      <c r="O38" s="379"/>
      <c r="P38" s="379"/>
      <c r="Q38" s="379"/>
      <c r="R38" s="379"/>
      <c r="S38" s="379"/>
      <c r="T38" s="379"/>
      <c r="U38" s="379"/>
      <c r="W38" s="379" t="str">
        <f>CONCATENATE(W$1," (Continued)")</f>
        <v>Basic Table 2.2  Employment Change by Occupation and Replacement Demand, RQF6 First degree, 2015-2035, East (Continued)</v>
      </c>
      <c r="X38" s="379"/>
      <c r="Y38" s="379"/>
      <c r="Z38" s="379"/>
      <c r="AA38" s="379"/>
      <c r="AB38" s="379"/>
      <c r="AC38" s="379"/>
      <c r="AD38" s="379"/>
      <c r="AE38" s="379"/>
      <c r="AF38" s="379"/>
      <c r="AH38" s="379" t="str">
        <f>CONCATENATE(AH$1," (Continued)")</f>
        <v>Basic Table 2.3  Employment Change by Occupation and Replacement Demand, RQF5 Foundation degree;Nursing;Teaching, 2015-2035, East (Continued)</v>
      </c>
      <c r="AI38" s="379"/>
      <c r="AJ38" s="379"/>
      <c r="AK38" s="379"/>
      <c r="AL38" s="379"/>
      <c r="AM38" s="379"/>
      <c r="AN38" s="379"/>
      <c r="AO38" s="379"/>
      <c r="AP38" s="379"/>
      <c r="AQ38" s="379"/>
      <c r="AS38" s="379" t="str">
        <f>CONCATENATE(AS$1," (Continued)")</f>
        <v>Basic Table 2.4  Employment Change by Occupation and Replacement Demand, RQF4 HE below degree level, 2015-2035, East (Continued)</v>
      </c>
      <c r="AT38" s="379"/>
      <c r="AU38" s="379"/>
      <c r="AV38" s="379"/>
      <c r="AW38" s="379"/>
      <c r="AX38" s="379"/>
      <c r="AY38" s="379"/>
      <c r="AZ38" s="379"/>
      <c r="BA38" s="379"/>
      <c r="BB38" s="379"/>
      <c r="BD38" s="379" t="str">
        <f>CONCATENATE(BD$1," (Continued)")</f>
        <v>Basic Table 2.5  Employment Change by Occupation and Replacement Demand, RQF3 A level &amp; equivalent, 2015-2035, East (Continued)</v>
      </c>
      <c r="BE38" s="379"/>
      <c r="BF38" s="379"/>
      <c r="BG38" s="379"/>
      <c r="BH38" s="379"/>
      <c r="BI38" s="379"/>
      <c r="BJ38" s="379"/>
      <c r="BK38" s="379"/>
      <c r="BL38" s="379"/>
      <c r="BM38" s="379"/>
      <c r="BO38" s="379" t="str">
        <f>CONCATENATE(BO$1," (Continued)")</f>
        <v>Basic Table 2.6  Employment Change by Occupation and Replacement Demand, RQF2 GCSE(A-C) &amp; equivalent, 2015-2035, East (Continued)</v>
      </c>
      <c r="BP38" s="379"/>
      <c r="BQ38" s="379"/>
      <c r="BR38" s="379"/>
      <c r="BS38" s="379"/>
      <c r="BT38" s="379"/>
      <c r="BU38" s="379"/>
      <c r="BV38" s="379"/>
      <c r="BW38" s="379"/>
      <c r="BX38" s="379"/>
      <c r="BZ38" s="379" t="str">
        <f>CONCATENATE(BZ$1," (Continued)")</f>
        <v>Basic Table 2.7  Employment Change by Occupation and Replacement Demand, RQF1 GCSE(below grade C) &amp; equivalent, 2015-2035, East (Continued)</v>
      </c>
      <c r="CA38" s="379"/>
      <c r="CB38" s="379"/>
      <c r="CC38" s="379"/>
      <c r="CD38" s="379"/>
      <c r="CE38" s="379"/>
      <c r="CF38" s="379"/>
      <c r="CG38" s="379"/>
      <c r="CH38" s="379"/>
      <c r="CI38" s="379"/>
      <c r="CK38" s="379" t="str">
        <f>CONCATENATE(CK$1," (Continued)")</f>
        <v>Basic Table 2.8  Employment Change by Occupation and Replacement Demand, No Qualification, 2015-2035, East (Continued)</v>
      </c>
      <c r="CL38" s="379"/>
      <c r="CM38" s="379"/>
      <c r="CN38" s="379"/>
      <c r="CO38" s="379"/>
      <c r="CP38" s="379"/>
      <c r="CQ38" s="379"/>
      <c r="CR38" s="379"/>
      <c r="CS38" s="379"/>
      <c r="CT38" s="379"/>
    </row>
    <row r="39" spans="1:98" ht="12.75" customHeight="1" x14ac:dyDescent="0.3"/>
    <row r="40" spans="1:98" ht="12.75" customHeight="1" x14ac:dyDescent="0.3">
      <c r="F40" s="15" t="s">
        <v>34</v>
      </c>
      <c r="J40" s="15" t="s">
        <v>34</v>
      </c>
      <c r="Q40" s="15" t="s">
        <v>34</v>
      </c>
      <c r="U40" s="15" t="s">
        <v>34</v>
      </c>
      <c r="AB40" s="15" t="s">
        <v>34</v>
      </c>
      <c r="AF40" s="15" t="s">
        <v>34</v>
      </c>
      <c r="AM40" s="15" t="s">
        <v>34</v>
      </c>
      <c r="AQ40" s="15" t="s">
        <v>34</v>
      </c>
      <c r="AX40" s="15" t="s">
        <v>34</v>
      </c>
      <c r="BB40" s="15" t="s">
        <v>34</v>
      </c>
      <c r="BI40" s="15" t="s">
        <v>34</v>
      </c>
      <c r="BM40" s="15" t="s">
        <v>34</v>
      </c>
      <c r="BT40" s="15" t="s">
        <v>34</v>
      </c>
      <c r="BX40" s="15" t="s">
        <v>34</v>
      </c>
      <c r="CE40" s="15" t="s">
        <v>34</v>
      </c>
      <c r="CI40" s="15" t="s">
        <v>34</v>
      </c>
      <c r="CP40" s="15" t="s">
        <v>34</v>
      </c>
      <c r="CT40" s="15" t="s">
        <v>34</v>
      </c>
    </row>
    <row r="41" spans="1:98" ht="12.75" customHeight="1" x14ac:dyDescent="0.3">
      <c r="A41" s="35"/>
      <c r="B41" s="35"/>
      <c r="C41" s="35"/>
      <c r="D41" s="35"/>
      <c r="E41" s="35"/>
      <c r="F41" s="35"/>
      <c r="H41" s="27" t="str">
        <f>$H$4</f>
        <v>2020-2035</v>
      </c>
      <c r="I41" s="35"/>
      <c r="J41" s="35"/>
      <c r="L41" s="35"/>
      <c r="M41" s="35"/>
      <c r="N41" s="35"/>
      <c r="O41" s="35"/>
      <c r="P41" s="35"/>
      <c r="Q41" s="35"/>
      <c r="S41" s="27" t="str">
        <f>$H$4</f>
        <v>2020-2035</v>
      </c>
      <c r="T41" s="35"/>
      <c r="U41" s="35"/>
      <c r="W41" s="35"/>
      <c r="X41" s="35"/>
      <c r="Y41" s="35"/>
      <c r="Z41" s="35"/>
      <c r="AA41" s="35"/>
      <c r="AB41" s="35"/>
      <c r="AD41" s="27" t="str">
        <f>$H$4</f>
        <v>2020-2035</v>
      </c>
      <c r="AE41" s="35"/>
      <c r="AF41" s="35"/>
      <c r="AH41" s="35"/>
      <c r="AI41" s="35"/>
      <c r="AJ41" s="35"/>
      <c r="AK41" s="35"/>
      <c r="AL41" s="35"/>
      <c r="AM41" s="35"/>
      <c r="AO41" s="27" t="str">
        <f>$H$4</f>
        <v>2020-2035</v>
      </c>
      <c r="AP41" s="35"/>
      <c r="AQ41" s="35"/>
      <c r="AS41" s="35"/>
      <c r="AT41" s="35"/>
      <c r="AU41" s="35"/>
      <c r="AV41" s="35"/>
      <c r="AW41" s="35"/>
      <c r="AX41" s="35"/>
      <c r="AZ41" s="27" t="str">
        <f>$H$4</f>
        <v>2020-2035</v>
      </c>
      <c r="BA41" s="35"/>
      <c r="BB41" s="35"/>
      <c r="BD41" s="35"/>
      <c r="BE41" s="35"/>
      <c r="BF41" s="35"/>
      <c r="BG41" s="35"/>
      <c r="BH41" s="35"/>
      <c r="BI41" s="35"/>
      <c r="BK41" s="27" t="str">
        <f>$H$4</f>
        <v>2020-2035</v>
      </c>
      <c r="BL41" s="35"/>
      <c r="BM41" s="35"/>
      <c r="BO41" s="35"/>
      <c r="BP41" s="35"/>
      <c r="BQ41" s="35"/>
      <c r="BR41" s="35"/>
      <c r="BS41" s="35"/>
      <c r="BT41" s="35"/>
      <c r="BV41" s="27" t="str">
        <f>$H$4</f>
        <v>2020-2035</v>
      </c>
      <c r="BW41" s="35"/>
      <c r="BX41" s="35"/>
      <c r="BZ41" s="35"/>
      <c r="CA41" s="35"/>
      <c r="CB41" s="35"/>
      <c r="CC41" s="35"/>
      <c r="CD41" s="35"/>
      <c r="CE41" s="35"/>
      <c r="CG41" s="27" t="str">
        <f>$H$4</f>
        <v>2020-2035</v>
      </c>
      <c r="CH41" s="35"/>
      <c r="CI41" s="35"/>
      <c r="CK41" s="35"/>
      <c r="CL41" s="35"/>
      <c r="CM41" s="35"/>
      <c r="CN41" s="35"/>
      <c r="CO41" s="35"/>
      <c r="CP41" s="35"/>
      <c r="CR41" s="27" t="str">
        <f>$H$4</f>
        <v>2020-2035</v>
      </c>
      <c r="CS41" s="35"/>
      <c r="CT41" s="35"/>
    </row>
    <row r="42" spans="1:98" ht="12.75" customHeight="1" x14ac:dyDescent="0.3">
      <c r="H42" s="15" t="str">
        <f t="shared" ref="H42:J43" si="86">H5</f>
        <v>Net</v>
      </c>
      <c r="I42" s="15" t="str">
        <f t="shared" si="86"/>
        <v>Replacement</v>
      </c>
      <c r="J42" s="15" t="str">
        <f t="shared" si="86"/>
        <v>Total</v>
      </c>
      <c r="S42" s="15" t="str">
        <f t="shared" ref="S42:U43" si="87">S5</f>
        <v>Net</v>
      </c>
      <c r="T42" s="15" t="str">
        <f t="shared" si="87"/>
        <v>Replacement</v>
      </c>
      <c r="U42" s="15" t="str">
        <f t="shared" si="87"/>
        <v>Total</v>
      </c>
      <c r="AD42" s="15" t="str">
        <f t="shared" ref="AD42:AF43" si="88">AD5</f>
        <v>Net</v>
      </c>
      <c r="AE42" s="15" t="str">
        <f t="shared" si="88"/>
        <v>Replacement</v>
      </c>
      <c r="AF42" s="15" t="str">
        <f t="shared" si="88"/>
        <v>Total</v>
      </c>
      <c r="AO42" s="15" t="str">
        <f t="shared" ref="AO42:AQ43" si="89">AO5</f>
        <v>Net</v>
      </c>
      <c r="AP42" s="15" t="str">
        <f t="shared" si="89"/>
        <v>Replacement</v>
      </c>
      <c r="AQ42" s="15" t="str">
        <f t="shared" si="89"/>
        <v>Total</v>
      </c>
      <c r="AZ42" s="15" t="str">
        <f t="shared" ref="AZ42:BB43" si="90">AZ5</f>
        <v>Net</v>
      </c>
      <c r="BA42" s="15" t="str">
        <f t="shared" si="90"/>
        <v>Replacement</v>
      </c>
      <c r="BB42" s="15" t="str">
        <f t="shared" si="90"/>
        <v>Total</v>
      </c>
      <c r="BK42" s="15" t="str">
        <f t="shared" ref="BK42:BM43" si="91">BK5</f>
        <v>Net</v>
      </c>
      <c r="BL42" s="15" t="str">
        <f t="shared" si="91"/>
        <v>Replacement</v>
      </c>
      <c r="BM42" s="15" t="str">
        <f t="shared" si="91"/>
        <v>Total</v>
      </c>
      <c r="BV42" s="15" t="str">
        <f t="shared" ref="BV42:BX43" si="92">BV5</f>
        <v>Net</v>
      </c>
      <c r="BW42" s="15" t="str">
        <f t="shared" si="92"/>
        <v>Replacement</v>
      </c>
      <c r="BX42" s="15" t="str">
        <f t="shared" si="92"/>
        <v>Total</v>
      </c>
      <c r="CG42" s="15" t="str">
        <f t="shared" ref="CG42:CI43" si="93">CG5</f>
        <v>Net</v>
      </c>
      <c r="CH42" s="15" t="str">
        <f t="shared" si="93"/>
        <v>Replacement</v>
      </c>
      <c r="CI42" s="15" t="str">
        <f t="shared" si="93"/>
        <v>Total</v>
      </c>
      <c r="CR42" s="15" t="str">
        <f t="shared" ref="CR42:CT43" si="94">CR5</f>
        <v>Net</v>
      </c>
      <c r="CS42" s="15" t="str">
        <f t="shared" si="94"/>
        <v>Replacement</v>
      </c>
      <c r="CT42" s="15" t="str">
        <f t="shared" si="94"/>
        <v>Total</v>
      </c>
    </row>
    <row r="43" spans="1:98" ht="12.75" customHeight="1" x14ac:dyDescent="0.3">
      <c r="A43" s="40" t="s">
        <v>463</v>
      </c>
      <c r="B43" s="34">
        <f>B$6</f>
        <v>2015</v>
      </c>
      <c r="C43" s="34">
        <f>C$6</f>
        <v>2019</v>
      </c>
      <c r="D43" s="34">
        <f>D$6</f>
        <v>2020</v>
      </c>
      <c r="E43" s="34">
        <f>E$6</f>
        <v>2025</v>
      </c>
      <c r="F43" s="34">
        <f>F$6</f>
        <v>2035</v>
      </c>
      <c r="H43" s="62" t="str">
        <f t="shared" si="86"/>
        <v>Change</v>
      </c>
      <c r="I43" s="62" t="str">
        <f t="shared" si="86"/>
        <v>Demand</v>
      </c>
      <c r="J43" s="62" t="str">
        <f t="shared" si="86"/>
        <v>Requirement</v>
      </c>
      <c r="L43" s="40" t="s">
        <v>463</v>
      </c>
      <c r="M43" s="34">
        <f>M$6</f>
        <v>2015</v>
      </c>
      <c r="N43" s="34">
        <f>N$6</f>
        <v>2019</v>
      </c>
      <c r="O43" s="34">
        <f>O$6</f>
        <v>2020</v>
      </c>
      <c r="P43" s="34">
        <f>P$6</f>
        <v>2025</v>
      </c>
      <c r="Q43" s="34">
        <f>Q$6</f>
        <v>2035</v>
      </c>
      <c r="S43" s="62" t="str">
        <f t="shared" si="87"/>
        <v>Change</v>
      </c>
      <c r="T43" s="62" t="str">
        <f t="shared" si="87"/>
        <v>Demand</v>
      </c>
      <c r="U43" s="62" t="str">
        <f t="shared" si="87"/>
        <v>Requirement</v>
      </c>
      <c r="W43" s="40" t="s">
        <v>463</v>
      </c>
      <c r="X43" s="34">
        <f>X$6</f>
        <v>2015</v>
      </c>
      <c r="Y43" s="34">
        <f>Y$6</f>
        <v>2019</v>
      </c>
      <c r="Z43" s="34">
        <f>Z$6</f>
        <v>2020</v>
      </c>
      <c r="AA43" s="34">
        <f>AA$6</f>
        <v>2025</v>
      </c>
      <c r="AB43" s="34">
        <f>AB$6</f>
        <v>2035</v>
      </c>
      <c r="AD43" s="62" t="str">
        <f t="shared" si="88"/>
        <v>Change</v>
      </c>
      <c r="AE43" s="62" t="str">
        <f t="shared" si="88"/>
        <v>Demand</v>
      </c>
      <c r="AF43" s="62" t="str">
        <f t="shared" si="88"/>
        <v>Requirement</v>
      </c>
      <c r="AH43" s="40" t="s">
        <v>463</v>
      </c>
      <c r="AI43" s="34">
        <f>AI$6</f>
        <v>2015</v>
      </c>
      <c r="AJ43" s="34">
        <f>AJ$6</f>
        <v>2019</v>
      </c>
      <c r="AK43" s="34">
        <f>AK$6</f>
        <v>2020</v>
      </c>
      <c r="AL43" s="34">
        <f>AL$6</f>
        <v>2025</v>
      </c>
      <c r="AM43" s="34">
        <f>AM$6</f>
        <v>2035</v>
      </c>
      <c r="AO43" s="62" t="str">
        <f t="shared" si="89"/>
        <v>Change</v>
      </c>
      <c r="AP43" s="62" t="str">
        <f t="shared" si="89"/>
        <v>Demand</v>
      </c>
      <c r="AQ43" s="62" t="str">
        <f t="shared" si="89"/>
        <v>Requirement</v>
      </c>
      <c r="AS43" s="40" t="s">
        <v>463</v>
      </c>
      <c r="AT43" s="34">
        <f>AT$6</f>
        <v>2015</v>
      </c>
      <c r="AU43" s="34">
        <f>AU$6</f>
        <v>2019</v>
      </c>
      <c r="AV43" s="34">
        <f>AV$6</f>
        <v>2020</v>
      </c>
      <c r="AW43" s="34">
        <f>AW$6</f>
        <v>2025</v>
      </c>
      <c r="AX43" s="34">
        <f>AX$6</f>
        <v>2035</v>
      </c>
      <c r="AZ43" s="62" t="str">
        <f t="shared" si="90"/>
        <v>Change</v>
      </c>
      <c r="BA43" s="62" t="str">
        <f t="shared" si="90"/>
        <v>Demand</v>
      </c>
      <c r="BB43" s="62" t="str">
        <f t="shared" si="90"/>
        <v>Requirement</v>
      </c>
      <c r="BD43" s="40" t="s">
        <v>463</v>
      </c>
      <c r="BE43" s="34">
        <f>BE$6</f>
        <v>2015</v>
      </c>
      <c r="BF43" s="34">
        <f>BF$6</f>
        <v>2019</v>
      </c>
      <c r="BG43" s="34">
        <f>BG$6</f>
        <v>2020</v>
      </c>
      <c r="BH43" s="34">
        <f>BH$6</f>
        <v>2025</v>
      </c>
      <c r="BI43" s="34">
        <f>BI$6</f>
        <v>2035</v>
      </c>
      <c r="BK43" s="62" t="str">
        <f t="shared" si="91"/>
        <v>Change</v>
      </c>
      <c r="BL43" s="62" t="str">
        <f t="shared" si="91"/>
        <v>Demand</v>
      </c>
      <c r="BM43" s="62" t="str">
        <f t="shared" si="91"/>
        <v>Requirement</v>
      </c>
      <c r="BO43" s="40" t="s">
        <v>463</v>
      </c>
      <c r="BP43" s="34">
        <f>BP$6</f>
        <v>2015</v>
      </c>
      <c r="BQ43" s="34">
        <f>BQ$6</f>
        <v>2019</v>
      </c>
      <c r="BR43" s="34">
        <f>BR$6</f>
        <v>2020</v>
      </c>
      <c r="BS43" s="34">
        <f>BS$6</f>
        <v>2025</v>
      </c>
      <c r="BT43" s="34">
        <f>BT$6</f>
        <v>2035</v>
      </c>
      <c r="BV43" s="62" t="str">
        <f t="shared" si="92"/>
        <v>Change</v>
      </c>
      <c r="BW43" s="62" t="str">
        <f t="shared" si="92"/>
        <v>Demand</v>
      </c>
      <c r="BX43" s="62" t="str">
        <f t="shared" si="92"/>
        <v>Requirement</v>
      </c>
      <c r="BZ43" s="40" t="s">
        <v>463</v>
      </c>
      <c r="CA43" s="34">
        <f>CA$6</f>
        <v>2015</v>
      </c>
      <c r="CB43" s="34">
        <f>CB$6</f>
        <v>2019</v>
      </c>
      <c r="CC43" s="34">
        <f>CC$6</f>
        <v>2020</v>
      </c>
      <c r="CD43" s="34">
        <f>CD$6</f>
        <v>2025</v>
      </c>
      <c r="CE43" s="34">
        <f>CE$6</f>
        <v>2035</v>
      </c>
      <c r="CG43" s="62" t="str">
        <f t="shared" si="93"/>
        <v>Change</v>
      </c>
      <c r="CH43" s="62" t="str">
        <f t="shared" si="93"/>
        <v>Demand</v>
      </c>
      <c r="CI43" s="62" t="str">
        <f t="shared" si="93"/>
        <v>Requirement</v>
      </c>
      <c r="CK43" s="40" t="s">
        <v>463</v>
      </c>
      <c r="CL43" s="34">
        <f>CL$6</f>
        <v>2015</v>
      </c>
      <c r="CM43" s="34">
        <f>CM$6</f>
        <v>2019</v>
      </c>
      <c r="CN43" s="34">
        <f>CN$6</f>
        <v>2020</v>
      </c>
      <c r="CO43" s="34">
        <f>CO$6</f>
        <v>2025</v>
      </c>
      <c r="CP43" s="34">
        <f>CP$6</f>
        <v>2035</v>
      </c>
      <c r="CR43" s="62" t="str">
        <f t="shared" si="94"/>
        <v>Change</v>
      </c>
      <c r="CS43" s="62" t="str">
        <f t="shared" si="94"/>
        <v>Demand</v>
      </c>
      <c r="CT43" s="62" t="str">
        <f t="shared" si="94"/>
        <v>Requirement</v>
      </c>
    </row>
    <row r="44" spans="1:98" x14ac:dyDescent="0.3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3">
      <c r="A45" t="str">
        <f t="shared" ref="A45:A70" si="95">A8</f>
        <v>11 Corporate managers and directors</v>
      </c>
      <c r="B45" s="17">
        <f t="shared" ref="B45:F54" si="96">B8/B$35*100</f>
        <v>7.2075353543539071</v>
      </c>
      <c r="C45" s="17">
        <f t="shared" si="96"/>
        <v>7.6268495585398703</v>
      </c>
      <c r="D45" s="17">
        <f t="shared" si="96"/>
        <v>7.8791186717652355</v>
      </c>
      <c r="E45" s="17">
        <f t="shared" si="96"/>
        <v>7.2551607477171833</v>
      </c>
      <c r="F45" s="17">
        <f t="shared" si="96"/>
        <v>7.3628610098828444</v>
      </c>
      <c r="H45" s="67">
        <f>IF(D8&gt;0,(H8/D8)*100,0)</f>
        <v>53.95878502261273</v>
      </c>
      <c r="I45" s="68">
        <f>IF(D8&gt;0,I8/D8*100,0)</f>
        <v>69.047605664162759</v>
      </c>
      <c r="J45" s="68">
        <f>IF(D8&gt;0,(J8/D8)*100,0)</f>
        <v>123.0063906867755</v>
      </c>
      <c r="L45" t="str">
        <f>A45</f>
        <v>11 Corporate managers and directors</v>
      </c>
      <c r="M45" s="17">
        <f t="shared" ref="M45:Q54" si="97">M8/M$35*100</f>
        <v>8.7257348855639538</v>
      </c>
      <c r="N45" s="17">
        <f t="shared" si="97"/>
        <v>9.2150574402052232</v>
      </c>
      <c r="O45" s="17">
        <f t="shared" si="97"/>
        <v>8.9326013517415213</v>
      </c>
      <c r="P45" s="17">
        <f t="shared" si="97"/>
        <v>8.1453614004697155</v>
      </c>
      <c r="Q45" s="17">
        <f t="shared" si="97"/>
        <v>8.2456506206130413</v>
      </c>
      <c r="S45" s="67">
        <f t="shared" ref="S45:S70" si="98">IF(O8&gt;0,(S8/O8)*100,0)</f>
        <v>54.535826785085042</v>
      </c>
      <c r="T45" s="68">
        <f t="shared" ref="T45:T70" si="99">IF(O8&gt;0,T8/O8*100,0)</f>
        <v>69.280268748329817</v>
      </c>
      <c r="U45" s="68">
        <f t="shared" ref="U45:U70" si="100">IF(O8&gt;0,(U8/O8)*100,0)</f>
        <v>123.81609553341487</v>
      </c>
      <c r="W45" t="str">
        <f>A45</f>
        <v>11 Corporate managers and directors</v>
      </c>
      <c r="X45" s="17">
        <f t="shared" ref="X45:AB54" si="101">X8/X$35*100</f>
        <v>10.593507352253386</v>
      </c>
      <c r="Y45" s="17">
        <f t="shared" si="101"/>
        <v>11.457728478502727</v>
      </c>
      <c r="Z45" s="17">
        <f t="shared" si="101"/>
        <v>10.867640989821362</v>
      </c>
      <c r="AA45" s="17">
        <f t="shared" si="101"/>
        <v>9.995140620391739</v>
      </c>
      <c r="AB45" s="17">
        <f t="shared" si="101"/>
        <v>10.099415929855612</v>
      </c>
      <c r="AD45" s="67">
        <f t="shared" ref="AD45:AD70" si="102">IF(Z8&gt;0,(AD8/Z8)*100,0)</f>
        <v>16.181293819799144</v>
      </c>
      <c r="AE45" s="68">
        <f t="shared" ref="AE45:AE70" si="103">IF(Z8&gt;0,AE8/Z8*100,0)</f>
        <v>59.273980896033365</v>
      </c>
      <c r="AF45" s="68">
        <f t="shared" ref="AF45:AF70" si="104">IF(Z8&gt;0,(AF8/Z8)*100,0)</f>
        <v>75.455274715832516</v>
      </c>
      <c r="AH45" t="str">
        <f>L45</f>
        <v>11 Corporate managers and directors</v>
      </c>
      <c r="AI45" s="17">
        <f t="shared" ref="AI45:AM54" si="105">AI8/AI$35*100</f>
        <v>7.0260966621761956</v>
      </c>
      <c r="AJ45" s="17">
        <f t="shared" si="105"/>
        <v>7.5791095173115872</v>
      </c>
      <c r="AK45" s="17">
        <f t="shared" si="105"/>
        <v>7.5625772491031045</v>
      </c>
      <c r="AL45" s="17">
        <f t="shared" si="105"/>
        <v>6.9772351614849919</v>
      </c>
      <c r="AM45" s="17">
        <f t="shared" si="105"/>
        <v>6.8763801168589405</v>
      </c>
      <c r="AO45" s="67">
        <f t="shared" ref="AO45:AO70" si="106">IF(AK8&gt;0,(AO8/AK8)*100,0)</f>
        <v>3.8631497273677144</v>
      </c>
      <c r="AP45" s="68">
        <f t="shared" ref="AP45:AP70" si="107">IF(AK8&gt;0,AP8/AK8*100,0)</f>
        <v>50.926789834511567</v>
      </c>
      <c r="AQ45" s="68">
        <f t="shared" ref="AQ45:AQ70" si="108">IF(AK8&gt;0,(AQ8/AK8)*100,0)</f>
        <v>54.789939561879272</v>
      </c>
      <c r="AS45" t="str">
        <f>W45</f>
        <v>11 Corporate managers and directors</v>
      </c>
      <c r="AT45" s="17">
        <f t="shared" ref="AT45:AX54" si="109">AT8/AT$35*100</f>
        <v>10.956694028196502</v>
      </c>
      <c r="AU45" s="17">
        <f t="shared" si="109"/>
        <v>11.396454835202602</v>
      </c>
      <c r="AV45" s="17">
        <f t="shared" si="109"/>
        <v>11.423517950184133</v>
      </c>
      <c r="AW45" s="17">
        <f t="shared" si="109"/>
        <v>10.155623161166309</v>
      </c>
      <c r="AX45" s="17">
        <f t="shared" si="109"/>
        <v>9.9585622593283798</v>
      </c>
      <c r="AZ45" s="67">
        <f t="shared" ref="AZ45:AZ70" si="110">IF(AV8&gt;0,(AZ8/AV8)*100,0)</f>
        <v>6.1529482614394464</v>
      </c>
      <c r="BA45" s="68">
        <f t="shared" ref="BA45:BA70" si="111">IF(AV8&gt;0,BA8/AV8*100,0)</f>
        <v>51.690304131071976</v>
      </c>
      <c r="BB45" s="68">
        <f t="shared" ref="BB45:BB70" si="112">IF(AV8&gt;0,(BB8/AV8)*100,0)</f>
        <v>57.843252392511424</v>
      </c>
      <c r="BD45" t="str">
        <f>AH45</f>
        <v>11 Corporate managers and directors</v>
      </c>
      <c r="BE45" s="17">
        <f t="shared" ref="BE45:BI54" si="113">BE8/BE$35*100</f>
        <v>6.5868643093465327</v>
      </c>
      <c r="BF45" s="17">
        <f t="shared" si="113"/>
        <v>7.6161051660081069</v>
      </c>
      <c r="BG45" s="17">
        <f t="shared" si="113"/>
        <v>7.6589889618026499</v>
      </c>
      <c r="BH45" s="17">
        <f t="shared" si="113"/>
        <v>6.7227894170739404</v>
      </c>
      <c r="BI45" s="17">
        <f t="shared" si="113"/>
        <v>7.1191824074831507</v>
      </c>
      <c r="BK45" s="67">
        <f t="shared" ref="BK45:BK70" si="114">IF(BG8&gt;0,(BK8/BG8)*100,0)</f>
        <v>5.6125834981901805</v>
      </c>
      <c r="BL45" s="68">
        <f t="shared" ref="BL45:BL70" si="115">IF(BG8&gt;0,BL8/BG8*100,0)</f>
        <v>44.265421351790522</v>
      </c>
      <c r="BM45" s="68">
        <f t="shared" ref="BM45:BM70" si="116">IF(BG8&gt;0,(BM8/BG8)*100,0)</f>
        <v>49.878004849980705</v>
      </c>
      <c r="BO45" t="str">
        <f>AS45</f>
        <v>11 Corporate managers and directors</v>
      </c>
      <c r="BP45" s="17">
        <f t="shared" ref="BP45:BT54" si="117">BP8/BP$35*100</f>
        <v>5.3775104965652414</v>
      </c>
      <c r="BQ45" s="17">
        <f t="shared" si="117"/>
        <v>5.711644842862559</v>
      </c>
      <c r="BR45" s="17">
        <f t="shared" si="117"/>
        <v>6.1339545355466107</v>
      </c>
      <c r="BS45" s="17">
        <f t="shared" si="117"/>
        <v>5.1419845902806394</v>
      </c>
      <c r="BT45" s="17">
        <f t="shared" si="117"/>
        <v>4.9069574366698641</v>
      </c>
      <c r="BV45" s="67">
        <f t="shared" ref="BV45:BV70" si="118">IF(BR8&gt;0,(BV8/BR8)*100,0)</f>
        <v>-31.338036468048003</v>
      </c>
      <c r="BW45" s="68">
        <f t="shared" ref="BW45:BW70" si="119">IF(BR8&gt;0,BW8/BR8*100,0)</f>
        <v>36.990529161399124</v>
      </c>
      <c r="BX45" s="68">
        <f t="shared" ref="BX45:BX70" si="120">IF(BR8&gt;0,(BX8/BR8)*100,0)</f>
        <v>5.6524926933511219</v>
      </c>
      <c r="BZ45" t="str">
        <f>BD45</f>
        <v>11 Corporate managers and directors</v>
      </c>
      <c r="CA45" s="17">
        <f t="shared" ref="CA45:CE54" si="121">CA8/CA$35*100</f>
        <v>5.4337731730648837</v>
      </c>
      <c r="CB45" s="17">
        <f t="shared" si="121"/>
        <v>6.024403176403812</v>
      </c>
      <c r="CC45" s="17">
        <f t="shared" si="121"/>
        <v>6.5660352642029558</v>
      </c>
      <c r="CD45" s="17">
        <f t="shared" si="121"/>
        <v>6.3639915430059775</v>
      </c>
      <c r="CE45" s="17">
        <f t="shared" si="121"/>
        <v>7.3050539051875267</v>
      </c>
      <c r="CG45" s="67">
        <f t="shared" ref="CG45:CG70" si="122">IF(CC8&gt;0,(CG8/CC8)*100,0)</f>
        <v>-26.350589793011984</v>
      </c>
      <c r="CH45" s="68">
        <f t="shared" ref="CH45:CH70" si="123">IF(CC8&gt;0,CH8/CC8*100,0)</f>
        <v>38.136827162276397</v>
      </c>
      <c r="CI45" s="68">
        <f t="shared" ref="CI45:CI70" si="124">IF(CC8&gt;0,(CI8/CC8)*100,0)</f>
        <v>11.786237369264411</v>
      </c>
      <c r="CK45" t="str">
        <f>BO45</f>
        <v>11 Corporate managers and directors</v>
      </c>
      <c r="CL45" s="17">
        <f t="shared" ref="CL45:CP54" si="125">CL8/CL$35*100</f>
        <v>2.8991941531151264</v>
      </c>
      <c r="CM45" s="17">
        <f t="shared" si="125"/>
        <v>3.7243278621282014</v>
      </c>
      <c r="CN45" s="17">
        <f t="shared" si="125"/>
        <v>4.0429980278570312</v>
      </c>
      <c r="CO45" s="17">
        <f t="shared" si="125"/>
        <v>3.961932309572934</v>
      </c>
      <c r="CP45" s="17">
        <f t="shared" si="125"/>
        <v>4.9694348729607789</v>
      </c>
      <c r="CR45" s="67">
        <f t="shared" ref="CR45:CR70" si="126">IF(CN8&gt;0,(CR8/CN8)*100,0)</f>
        <v>-27.88684013629878</v>
      </c>
      <c r="CS45" s="68">
        <f t="shared" ref="CS45:CS70" si="127">IF(CN8&gt;0,CS8/CN8*100,0)</f>
        <v>23.824785397088185</v>
      </c>
      <c r="CT45" s="68">
        <f t="shared" ref="CT45:CT70" si="128">IF(CN8&gt;0,(CT8/CN8)*100,0)</f>
        <v>-4.0620547392105921</v>
      </c>
    </row>
    <row r="46" spans="1:98" x14ac:dyDescent="0.3">
      <c r="A46" t="str">
        <f t="shared" si="95"/>
        <v>12 Other managers and proprietors</v>
      </c>
      <c r="B46" s="17">
        <f t="shared" si="96"/>
        <v>2.8478870499843989</v>
      </c>
      <c r="C46" s="17">
        <f t="shared" si="96"/>
        <v>2.7472780997505963</v>
      </c>
      <c r="D46" s="17">
        <f t="shared" si="96"/>
        <v>2.6996423747958231</v>
      </c>
      <c r="E46" s="17">
        <f t="shared" si="96"/>
        <v>3.3837632271651477</v>
      </c>
      <c r="F46" s="17">
        <f t="shared" si="96"/>
        <v>3.6958866927942688</v>
      </c>
      <c r="H46" s="67">
        <f t="shared" ref="H46:H70" si="129">IF(D9&gt;0,(H9/D9)*100,0)</f>
        <v>125.55264610288002</v>
      </c>
      <c r="I46" s="68">
        <f t="shared" ref="I46:I70" si="130">IF(D9&gt;0,I9/D9*100,0)</f>
        <v>108.83752096154214</v>
      </c>
      <c r="J46" s="68">
        <f t="shared" ref="J46:J70" si="131">IF(D9&gt;0,(J9/D9)*100,0)</f>
        <v>234.39016706442217</v>
      </c>
      <c r="L46" t="str">
        <f t="shared" ref="L46:L69" si="132">A46</f>
        <v>12 Other managers and proprietors</v>
      </c>
      <c r="M46" s="17">
        <f t="shared" si="97"/>
        <v>3.4456382043791201</v>
      </c>
      <c r="N46" s="17">
        <f t="shared" si="97"/>
        <v>3.4379597286920665</v>
      </c>
      <c r="O46" s="17">
        <f t="shared" si="97"/>
        <v>3.3394950562208559</v>
      </c>
      <c r="P46" s="17">
        <f t="shared" si="97"/>
        <v>4.0394862533782465</v>
      </c>
      <c r="Q46" s="17">
        <f t="shared" si="97"/>
        <v>4.4462057713061256</v>
      </c>
      <c r="S46" s="67">
        <f t="shared" si="98"/>
        <v>122.8901910767556</v>
      </c>
      <c r="T46" s="68">
        <f t="shared" si="99"/>
        <v>105.10150222200227</v>
      </c>
      <c r="U46" s="68">
        <f t="shared" si="100"/>
        <v>227.99169329875787</v>
      </c>
      <c r="W46" t="str">
        <f t="shared" ref="W46:W69" si="133">A46</f>
        <v>12 Other managers and proprietors</v>
      </c>
      <c r="X46" s="17">
        <f t="shared" si="101"/>
        <v>3.9472398546607517</v>
      </c>
      <c r="Y46" s="17">
        <f t="shared" si="101"/>
        <v>3.7863391666754511</v>
      </c>
      <c r="Z46" s="17">
        <f t="shared" si="101"/>
        <v>3.7479468170271963</v>
      </c>
      <c r="AA46" s="17">
        <f t="shared" si="101"/>
        <v>4.5324067514298276</v>
      </c>
      <c r="AB46" s="17">
        <f t="shared" si="101"/>
        <v>4.8823859898903965</v>
      </c>
      <c r="AD46" s="67">
        <f t="shared" si="102"/>
        <v>62.859810240312505</v>
      </c>
      <c r="AE46" s="68">
        <f t="shared" si="103"/>
        <v>86.256574056335793</v>
      </c>
      <c r="AF46" s="68">
        <f t="shared" si="104"/>
        <v>149.11638429664831</v>
      </c>
      <c r="AH46" t="str">
        <f t="shared" ref="AH46:AH69" si="134">L46</f>
        <v>12 Other managers and proprietors</v>
      </c>
      <c r="AI46" s="17">
        <f t="shared" si="105"/>
        <v>3.9276596767446366</v>
      </c>
      <c r="AJ46" s="17">
        <f t="shared" si="105"/>
        <v>4.1706671135832529</v>
      </c>
      <c r="AK46" s="17">
        <f t="shared" si="105"/>
        <v>4.3855146028146637</v>
      </c>
      <c r="AL46" s="17">
        <f t="shared" si="105"/>
        <v>5.3725011149497757</v>
      </c>
      <c r="AM46" s="17">
        <f t="shared" si="105"/>
        <v>5.9656857755738661</v>
      </c>
      <c r="AO46" s="67">
        <f t="shared" si="106"/>
        <v>55.385771976161578</v>
      </c>
      <c r="AP46" s="68">
        <f t="shared" si="107"/>
        <v>84.370036842669322</v>
      </c>
      <c r="AQ46" s="68">
        <f t="shared" si="108"/>
        <v>139.7558088188309</v>
      </c>
      <c r="AS46" t="str">
        <f t="shared" ref="AS46:AS69" si="135">W46</f>
        <v>12 Other managers and proprietors</v>
      </c>
      <c r="AT46" s="17">
        <f t="shared" si="109"/>
        <v>4.3888979111891624</v>
      </c>
      <c r="AU46" s="17">
        <f t="shared" si="109"/>
        <v>4.356108782888481</v>
      </c>
      <c r="AV46" s="17">
        <f t="shared" si="109"/>
        <v>4.3383846334909464</v>
      </c>
      <c r="AW46" s="17">
        <f t="shared" si="109"/>
        <v>5.3424954113441432</v>
      </c>
      <c r="AX46" s="17">
        <f t="shared" si="109"/>
        <v>5.6710995730021034</v>
      </c>
      <c r="AZ46" s="67">
        <f t="shared" si="110"/>
        <v>59.174870702937156</v>
      </c>
      <c r="BA46" s="68">
        <f t="shared" si="111"/>
        <v>80.586042934169782</v>
      </c>
      <c r="BB46" s="68">
        <f t="shared" si="112"/>
        <v>139.76091363710694</v>
      </c>
      <c r="BD46" t="str">
        <f t="shared" ref="BD46:BD69" si="136">AH46</f>
        <v>12 Other managers and proprietors</v>
      </c>
      <c r="BE46" s="17">
        <f t="shared" si="113"/>
        <v>3.2348513278897721</v>
      </c>
      <c r="BF46" s="17">
        <f t="shared" si="113"/>
        <v>3.1724510558754573</v>
      </c>
      <c r="BG46" s="17">
        <f t="shared" si="113"/>
        <v>3.1038728199903871</v>
      </c>
      <c r="BH46" s="17">
        <f t="shared" si="113"/>
        <v>3.6115559468157628</v>
      </c>
      <c r="BI46" s="17">
        <f t="shared" si="113"/>
        <v>3.8602010435508523</v>
      </c>
      <c r="BK46" s="67">
        <f t="shared" si="114"/>
        <v>41.306778478781894</v>
      </c>
      <c r="BL46" s="68">
        <f t="shared" si="115"/>
        <v>63.016005490952608</v>
      </c>
      <c r="BM46" s="68">
        <f t="shared" si="116"/>
        <v>104.32278396973449</v>
      </c>
      <c r="BO46" t="str">
        <f t="shared" ref="BO46:BO69" si="137">AS46</f>
        <v>12 Other managers and proprietors</v>
      </c>
      <c r="BP46" s="17">
        <f t="shared" si="117"/>
        <v>3.1016765794864933</v>
      </c>
      <c r="BQ46" s="17">
        <f t="shared" si="117"/>
        <v>3.1799615198562545</v>
      </c>
      <c r="BR46" s="17">
        <f t="shared" si="117"/>
        <v>3.2223812085443346</v>
      </c>
      <c r="BS46" s="17">
        <f t="shared" si="117"/>
        <v>3.8786041609886261</v>
      </c>
      <c r="BT46" s="17">
        <f t="shared" si="117"/>
        <v>4.3242268814738427</v>
      </c>
      <c r="BV46" s="67">
        <f t="shared" si="118"/>
        <v>15.179724815132149</v>
      </c>
      <c r="BW46" s="68">
        <f t="shared" si="119"/>
        <v>63.669118900265197</v>
      </c>
      <c r="BX46" s="68">
        <f t="shared" si="120"/>
        <v>78.848843715397336</v>
      </c>
      <c r="BZ46" t="str">
        <f t="shared" ref="BZ46:BZ69" si="138">BD46</f>
        <v>12 Other managers and proprietors</v>
      </c>
      <c r="CA46" s="17">
        <f t="shared" si="121"/>
        <v>2.8342604673518488</v>
      </c>
      <c r="CB46" s="17">
        <f t="shared" si="121"/>
        <v>2.7766946560329542</v>
      </c>
      <c r="CC46" s="17">
        <f t="shared" si="121"/>
        <v>2.9891232840005943</v>
      </c>
      <c r="CD46" s="17">
        <f t="shared" si="121"/>
        <v>3.5264729231382934</v>
      </c>
      <c r="CE46" s="17">
        <f t="shared" si="121"/>
        <v>4.1595606094515025</v>
      </c>
      <c r="CG46" s="67">
        <f t="shared" si="122"/>
        <v>-7.8802631969696888</v>
      </c>
      <c r="CH46" s="68">
        <f t="shared" si="123"/>
        <v>47.56667698377786</v>
      </c>
      <c r="CI46" s="68">
        <f t="shared" si="124"/>
        <v>39.686413786808174</v>
      </c>
      <c r="CK46" t="str">
        <f t="shared" ref="CK46:CK69" si="139">BO46</f>
        <v>12 Other managers and proprietors</v>
      </c>
      <c r="CL46" s="17">
        <f t="shared" si="125"/>
        <v>2.8249069414643877</v>
      </c>
      <c r="CM46" s="17">
        <f t="shared" si="125"/>
        <v>3.08673379054254</v>
      </c>
      <c r="CN46" s="17">
        <f t="shared" si="125"/>
        <v>3.3369617538114795</v>
      </c>
      <c r="CO46" s="17">
        <f t="shared" si="125"/>
        <v>4.9681739930828597</v>
      </c>
      <c r="CP46" s="17">
        <f t="shared" si="125"/>
        <v>6.1832527834527511</v>
      </c>
      <c r="CR46" s="67">
        <f t="shared" si="126"/>
        <v>8.7118345608095691</v>
      </c>
      <c r="CS46" s="68">
        <f t="shared" si="127"/>
        <v>39.022379357610745</v>
      </c>
      <c r="CT46" s="68">
        <f t="shared" si="128"/>
        <v>47.734213918420316</v>
      </c>
    </row>
    <row r="47" spans="1:98" x14ac:dyDescent="0.3">
      <c r="A47" t="str">
        <f t="shared" si="95"/>
        <v>21 Science, research, engineering and technology professionals</v>
      </c>
      <c r="B47" s="17">
        <f t="shared" si="96"/>
        <v>23.158189631157573</v>
      </c>
      <c r="C47" s="17">
        <f t="shared" si="96"/>
        <v>22.689162911536069</v>
      </c>
      <c r="D47" s="17">
        <f t="shared" si="96"/>
        <v>22.564577475462116</v>
      </c>
      <c r="E47" s="17">
        <f t="shared" si="96"/>
        <v>22.081093410355059</v>
      </c>
      <c r="F47" s="17">
        <f t="shared" si="96"/>
        <v>21.222796559146058</v>
      </c>
      <c r="H47" s="67">
        <f t="shared" si="129"/>
        <v>54.956900108600728</v>
      </c>
      <c r="I47" s="68">
        <f t="shared" si="130"/>
        <v>51.242722794062587</v>
      </c>
      <c r="J47" s="68">
        <f t="shared" si="131"/>
        <v>106.19962290266332</v>
      </c>
      <c r="L47" t="str">
        <f t="shared" si="132"/>
        <v>21 Science, research, engineering and technology professionals</v>
      </c>
      <c r="M47" s="17">
        <f t="shared" si="97"/>
        <v>12.812322307973092</v>
      </c>
      <c r="N47" s="17">
        <f t="shared" si="97"/>
        <v>12.645279301658249</v>
      </c>
      <c r="O47" s="17">
        <f t="shared" si="97"/>
        <v>13.052566965949216</v>
      </c>
      <c r="P47" s="17">
        <f t="shared" si="97"/>
        <v>13.14053041889596</v>
      </c>
      <c r="Q47" s="17">
        <f t="shared" si="97"/>
        <v>13.013378991655275</v>
      </c>
      <c r="S47" s="67">
        <f t="shared" si="98"/>
        <v>66.907691837911145</v>
      </c>
      <c r="T47" s="68">
        <f t="shared" si="99"/>
        <v>55.925917763756217</v>
      </c>
      <c r="U47" s="68">
        <f t="shared" si="100"/>
        <v>122.83360960166736</v>
      </c>
      <c r="W47" t="str">
        <f t="shared" si="133"/>
        <v>21 Science, research, engineering and technology professionals</v>
      </c>
      <c r="X47" s="17">
        <f t="shared" si="101"/>
        <v>11.890321735039347</v>
      </c>
      <c r="Y47" s="17">
        <f t="shared" si="101"/>
        <v>11.856827785733074</v>
      </c>
      <c r="Z47" s="17">
        <f t="shared" si="101"/>
        <v>11.46074814060229</v>
      </c>
      <c r="AA47" s="17">
        <f t="shared" si="101"/>
        <v>11.258244926001435</v>
      </c>
      <c r="AB47" s="17">
        <f t="shared" si="101"/>
        <v>10.589117626595375</v>
      </c>
      <c r="AD47" s="67">
        <f t="shared" si="102"/>
        <v>15.510652546650238</v>
      </c>
      <c r="AE47" s="68">
        <f t="shared" si="103"/>
        <v>41.985923837900103</v>
      </c>
      <c r="AF47" s="68">
        <f t="shared" si="104"/>
        <v>57.496576384550337</v>
      </c>
      <c r="AH47" t="str">
        <f t="shared" si="134"/>
        <v>21 Science, research, engineering and technology professionals</v>
      </c>
      <c r="AI47" s="17">
        <f t="shared" si="105"/>
        <v>4.1427340375557158</v>
      </c>
      <c r="AJ47" s="17">
        <f t="shared" si="105"/>
        <v>4.2412785786288412</v>
      </c>
      <c r="AK47" s="17">
        <f t="shared" si="105"/>
        <v>4.3104671104312553</v>
      </c>
      <c r="AL47" s="17">
        <f t="shared" si="105"/>
        <v>4.5011817971692265</v>
      </c>
      <c r="AM47" s="17">
        <f t="shared" si="105"/>
        <v>4.5949485392637168</v>
      </c>
      <c r="AO47" s="67">
        <f t="shared" si="106"/>
        <v>21.766480338848361</v>
      </c>
      <c r="AP47" s="68">
        <f t="shared" si="107"/>
        <v>41.390848509413587</v>
      </c>
      <c r="AQ47" s="68">
        <f t="shared" si="108"/>
        <v>63.15732884826194</v>
      </c>
      <c r="AS47" t="str">
        <f t="shared" si="135"/>
        <v>21 Science, research, engineering and technology professionals</v>
      </c>
      <c r="AT47" s="17">
        <f t="shared" si="109"/>
        <v>10.884521436024526</v>
      </c>
      <c r="AU47" s="17">
        <f t="shared" si="109"/>
        <v>10.851433437952483</v>
      </c>
      <c r="AV47" s="17">
        <f t="shared" si="109"/>
        <v>10.017959873745037</v>
      </c>
      <c r="AW47" s="17">
        <f t="shared" si="109"/>
        <v>8.9706711262884813</v>
      </c>
      <c r="AX47" s="17">
        <f t="shared" si="109"/>
        <v>8.0090936373530202</v>
      </c>
      <c r="AZ47" s="67">
        <f t="shared" si="110"/>
        <v>-2.6492347799944498</v>
      </c>
      <c r="BA47" s="68">
        <f t="shared" si="111"/>
        <v>34.036219444252872</v>
      </c>
      <c r="BB47" s="68">
        <f t="shared" si="112"/>
        <v>31.386984664258417</v>
      </c>
      <c r="BD47" t="str">
        <f t="shared" si="136"/>
        <v>21 Science, research, engineering and technology professionals</v>
      </c>
      <c r="BE47" s="17">
        <f t="shared" si="113"/>
        <v>4.1524608078287484</v>
      </c>
      <c r="BF47" s="17">
        <f t="shared" si="113"/>
        <v>4.4977243626255783</v>
      </c>
      <c r="BG47" s="17">
        <f t="shared" si="113"/>
        <v>4.4686835866175967</v>
      </c>
      <c r="BH47" s="17">
        <f t="shared" si="113"/>
        <v>4.1879588770151237</v>
      </c>
      <c r="BI47" s="17">
        <f t="shared" si="113"/>
        <v>4.1023443000631277</v>
      </c>
      <c r="BK47" s="67">
        <f t="shared" si="114"/>
        <v>4.3060481752309681</v>
      </c>
      <c r="BL47" s="68">
        <f t="shared" si="115"/>
        <v>30.033458394927955</v>
      </c>
      <c r="BM47" s="68">
        <f t="shared" si="116"/>
        <v>34.339506570158925</v>
      </c>
      <c r="BO47" t="str">
        <f t="shared" si="137"/>
        <v>21 Science, research, engineering and technology professionals</v>
      </c>
      <c r="BP47" s="17">
        <f t="shared" si="117"/>
        <v>3.0649363300424661</v>
      </c>
      <c r="BQ47" s="17">
        <f t="shared" si="117"/>
        <v>3.2882349182987713</v>
      </c>
      <c r="BR47" s="17">
        <f t="shared" si="117"/>
        <v>3.6740211472924922</v>
      </c>
      <c r="BS47" s="17">
        <f t="shared" si="117"/>
        <v>3.5191641129695999</v>
      </c>
      <c r="BT47" s="17">
        <f t="shared" si="117"/>
        <v>3.7476807564414747</v>
      </c>
      <c r="BV47" s="67">
        <f t="shared" si="118"/>
        <v>-12.448131793705318</v>
      </c>
      <c r="BW47" s="68">
        <f t="shared" si="119"/>
        <v>31.710920900914846</v>
      </c>
      <c r="BX47" s="68">
        <f t="shared" si="120"/>
        <v>19.262789107209528</v>
      </c>
      <c r="BZ47" t="str">
        <f t="shared" si="138"/>
        <v>21 Science, research, engineering and technology professionals</v>
      </c>
      <c r="CA47" s="17">
        <f t="shared" si="121"/>
        <v>2.6809448846531057</v>
      </c>
      <c r="CB47" s="17">
        <f t="shared" si="121"/>
        <v>2.904621368124304</v>
      </c>
      <c r="CC47" s="17">
        <f t="shared" si="121"/>
        <v>3.0809137299907761</v>
      </c>
      <c r="CD47" s="17">
        <f t="shared" si="121"/>
        <v>3.1945598771808776</v>
      </c>
      <c r="CE47" s="17">
        <f t="shared" si="121"/>
        <v>3.1755216186758592</v>
      </c>
      <c r="CG47" s="67">
        <f t="shared" si="122"/>
        <v>-31.768550845971973</v>
      </c>
      <c r="CH47" s="68">
        <f t="shared" si="123"/>
        <v>27.188303624697163</v>
      </c>
      <c r="CI47" s="68">
        <f t="shared" si="124"/>
        <v>-4.5802472212748047</v>
      </c>
      <c r="CK47" t="str">
        <f t="shared" si="139"/>
        <v>21 Science, research, engineering and technology professionals</v>
      </c>
      <c r="CL47" s="17">
        <f t="shared" si="125"/>
        <v>1.4790750997798394</v>
      </c>
      <c r="CM47" s="17">
        <f t="shared" si="125"/>
        <v>2.0151356402803069</v>
      </c>
      <c r="CN47" s="17">
        <f t="shared" si="125"/>
        <v>2.2825167260369659</v>
      </c>
      <c r="CO47" s="17">
        <f t="shared" si="125"/>
        <v>3.1613614651153483</v>
      </c>
      <c r="CP47" s="17">
        <f t="shared" si="125"/>
        <v>3.9624034027284925</v>
      </c>
      <c r="CR47" s="67">
        <f t="shared" si="126"/>
        <v>1.848765978719777</v>
      </c>
      <c r="CS47" s="68">
        <f t="shared" si="127"/>
        <v>29.271342823046304</v>
      </c>
      <c r="CT47" s="68">
        <f t="shared" si="128"/>
        <v>31.120108801766079</v>
      </c>
    </row>
    <row r="48" spans="1:98" x14ac:dyDescent="0.3">
      <c r="A48" t="str">
        <f t="shared" si="95"/>
        <v>22 Health professionals</v>
      </c>
      <c r="B48" s="17">
        <f t="shared" si="96"/>
        <v>14.626879819819674</v>
      </c>
      <c r="C48" s="17">
        <f t="shared" si="96"/>
        <v>16.205488055529266</v>
      </c>
      <c r="D48" s="17">
        <f t="shared" si="96"/>
        <v>14.27778401647902</v>
      </c>
      <c r="E48" s="17">
        <f t="shared" si="96"/>
        <v>15.3242775296383</v>
      </c>
      <c r="F48" s="17">
        <f t="shared" si="96"/>
        <v>15.908766719753819</v>
      </c>
      <c r="H48" s="67">
        <f t="shared" si="129"/>
        <v>83.574020710557889</v>
      </c>
      <c r="I48" s="68">
        <f t="shared" si="130"/>
        <v>74.97467247946156</v>
      </c>
      <c r="J48" s="68">
        <f t="shared" si="131"/>
        <v>158.54869319001946</v>
      </c>
      <c r="L48" t="str">
        <f t="shared" si="132"/>
        <v>22 Health professionals</v>
      </c>
      <c r="M48" s="17">
        <f t="shared" si="97"/>
        <v>6.4655388668393652</v>
      </c>
      <c r="N48" s="17">
        <f t="shared" si="97"/>
        <v>7.2524604220342752</v>
      </c>
      <c r="O48" s="17">
        <f t="shared" si="97"/>
        <v>6.4283435091836871</v>
      </c>
      <c r="P48" s="17">
        <f t="shared" si="97"/>
        <v>6.7558182760154546</v>
      </c>
      <c r="Q48" s="17">
        <f t="shared" si="97"/>
        <v>6.8595569097154101</v>
      </c>
      <c r="S48" s="67">
        <f t="shared" si="98"/>
        <v>78.640197790005189</v>
      </c>
      <c r="T48" s="68">
        <f t="shared" si="99"/>
        <v>77.052930103468015</v>
      </c>
      <c r="U48" s="68">
        <f t="shared" si="100"/>
        <v>155.69312789347322</v>
      </c>
      <c r="W48" t="str">
        <f t="shared" si="133"/>
        <v>22 Health professionals</v>
      </c>
      <c r="X48" s="17">
        <f t="shared" si="101"/>
        <v>6.6645747885278679</v>
      </c>
      <c r="Y48" s="17">
        <f t="shared" si="101"/>
        <v>7.3963245356206864</v>
      </c>
      <c r="Z48" s="17">
        <f t="shared" si="101"/>
        <v>6.9859786857757804</v>
      </c>
      <c r="AA48" s="17">
        <f t="shared" si="101"/>
        <v>7.2889511660302126</v>
      </c>
      <c r="AB48" s="17">
        <f t="shared" si="101"/>
        <v>7.2322069379377467</v>
      </c>
      <c r="AD48" s="67">
        <f t="shared" si="102"/>
        <v>29.425193028186449</v>
      </c>
      <c r="AE48" s="68">
        <f t="shared" si="103"/>
        <v>65.804851276932368</v>
      </c>
      <c r="AF48" s="68">
        <f t="shared" si="104"/>
        <v>95.23004430511881</v>
      </c>
      <c r="AH48" t="str">
        <f t="shared" si="134"/>
        <v>22 Health professionals</v>
      </c>
      <c r="AI48" s="17">
        <f t="shared" si="105"/>
        <v>11.628245147280927</v>
      </c>
      <c r="AJ48" s="17">
        <f t="shared" si="105"/>
        <v>9.571434292797445</v>
      </c>
      <c r="AK48" s="17">
        <f t="shared" si="105"/>
        <v>8.1432019913605256</v>
      </c>
      <c r="AL48" s="17">
        <f t="shared" si="105"/>
        <v>4.8986162693236901</v>
      </c>
      <c r="AM48" s="17">
        <f t="shared" si="105"/>
        <v>1.9817215219571975</v>
      </c>
      <c r="AO48" s="67">
        <f t="shared" si="106"/>
        <v>-72.201660469596945</v>
      </c>
      <c r="AP48" s="68">
        <f t="shared" si="107"/>
        <v>20.868590240067693</v>
      </c>
      <c r="AQ48" s="68">
        <f t="shared" si="108"/>
        <v>-51.333070229529241</v>
      </c>
      <c r="AS48" t="str">
        <f t="shared" si="135"/>
        <v>22 Health professionals</v>
      </c>
      <c r="AT48" s="17">
        <f t="shared" si="109"/>
        <v>1.6883344053130516</v>
      </c>
      <c r="AU48" s="17">
        <f t="shared" si="109"/>
        <v>1.9342878336779477</v>
      </c>
      <c r="AV48" s="17">
        <f t="shared" si="109"/>
        <v>2.141499341858494</v>
      </c>
      <c r="AW48" s="17">
        <f t="shared" si="109"/>
        <v>2.1646911751332301</v>
      </c>
      <c r="AX48" s="17">
        <f t="shared" si="109"/>
        <v>2.1509950720134152</v>
      </c>
      <c r="AZ48" s="67">
        <f t="shared" si="110"/>
        <v>22.308532781660855</v>
      </c>
      <c r="BA48" s="68">
        <f t="shared" si="111"/>
        <v>56.952761965416443</v>
      </c>
      <c r="BB48" s="68">
        <f t="shared" si="112"/>
        <v>79.261294747077301</v>
      </c>
      <c r="BD48" t="str">
        <f t="shared" si="136"/>
        <v>22 Health professionals</v>
      </c>
      <c r="BE48" s="17">
        <f t="shared" si="113"/>
        <v>1.702769198441904</v>
      </c>
      <c r="BF48" s="17">
        <f t="shared" si="113"/>
        <v>1.9323031442385552</v>
      </c>
      <c r="BG48" s="17">
        <f t="shared" si="113"/>
        <v>1.9874659847776108</v>
      </c>
      <c r="BH48" s="17">
        <f t="shared" si="113"/>
        <v>2.1436168267669635</v>
      </c>
      <c r="BI48" s="17">
        <f t="shared" si="113"/>
        <v>2.2155931283106161</v>
      </c>
      <c r="BK48" s="67">
        <f t="shared" si="114"/>
        <v>26.662278019038482</v>
      </c>
      <c r="BL48" s="68">
        <f t="shared" si="115"/>
        <v>68.659194481937675</v>
      </c>
      <c r="BM48" s="68">
        <f t="shared" si="116"/>
        <v>95.321472500976171</v>
      </c>
      <c r="BO48" t="str">
        <f t="shared" si="137"/>
        <v>22 Health professionals</v>
      </c>
      <c r="BP48" s="17">
        <f t="shared" si="117"/>
        <v>1.2586737272371584</v>
      </c>
      <c r="BQ48" s="17">
        <f t="shared" si="117"/>
        <v>1.5337893607530357</v>
      </c>
      <c r="BR48" s="17">
        <f t="shared" si="117"/>
        <v>1.4823401887770278</v>
      </c>
      <c r="BS48" s="17">
        <f t="shared" si="117"/>
        <v>1.6170650476844295</v>
      </c>
      <c r="BT48" s="17">
        <f t="shared" si="117"/>
        <v>1.6153405961259768</v>
      </c>
      <c r="BV48" s="67">
        <f t="shared" si="118"/>
        <v>-6.4678957332955704</v>
      </c>
      <c r="BW48" s="68">
        <f t="shared" si="119"/>
        <v>49.579759376713831</v>
      </c>
      <c r="BX48" s="68">
        <f t="shared" si="120"/>
        <v>43.11186364341826</v>
      </c>
      <c r="BZ48" t="str">
        <f t="shared" si="138"/>
        <v>22 Health professionals</v>
      </c>
      <c r="CA48" s="17">
        <f t="shared" si="121"/>
        <v>1.0854649789079609</v>
      </c>
      <c r="CB48" s="17">
        <f t="shared" si="121"/>
        <v>1.5039800733462803</v>
      </c>
      <c r="CC48" s="17">
        <f t="shared" si="121"/>
        <v>1.3377747271567455</v>
      </c>
      <c r="CD48" s="17">
        <f t="shared" si="121"/>
        <v>1.4659296019574555</v>
      </c>
      <c r="CE48" s="17">
        <f t="shared" si="121"/>
        <v>1.3794228990741815</v>
      </c>
      <c r="CG48" s="67">
        <f t="shared" si="122"/>
        <v>-31.7404370540063</v>
      </c>
      <c r="CH48" s="68">
        <f t="shared" si="123"/>
        <v>39.271770175682732</v>
      </c>
      <c r="CI48" s="68">
        <f t="shared" si="124"/>
        <v>7.5313331216764308</v>
      </c>
      <c r="CK48" t="str">
        <f t="shared" si="139"/>
        <v>22 Health professionals</v>
      </c>
      <c r="CL48" s="17">
        <f t="shared" si="125"/>
        <v>0.39814443648447273</v>
      </c>
      <c r="CM48" s="17">
        <f t="shared" si="125"/>
        <v>0.60197758919265376</v>
      </c>
      <c r="CN48" s="17">
        <f t="shared" si="125"/>
        <v>0.63433296044014087</v>
      </c>
      <c r="CO48" s="17">
        <f t="shared" si="125"/>
        <v>0.88818207415094963</v>
      </c>
      <c r="CP48" s="17">
        <f t="shared" si="125"/>
        <v>1.4088201491598862</v>
      </c>
      <c r="CR48" s="67">
        <f t="shared" si="126"/>
        <v>30.30147388665501</v>
      </c>
      <c r="CS48" s="68">
        <f t="shared" si="127"/>
        <v>42.259594030803783</v>
      </c>
      <c r="CT48" s="68">
        <f t="shared" si="128"/>
        <v>72.561067917458786</v>
      </c>
    </row>
    <row r="49" spans="1:98" x14ac:dyDescent="0.3">
      <c r="A49" t="str">
        <f t="shared" si="95"/>
        <v>23 Teaching and other educational professionals</v>
      </c>
      <c r="B49" s="17">
        <f t="shared" si="96"/>
        <v>27.291150078000921</v>
      </c>
      <c r="C49" s="17">
        <f t="shared" si="96"/>
        <v>26.01528523965818</v>
      </c>
      <c r="D49" s="17">
        <f t="shared" si="96"/>
        <v>26.975777237688703</v>
      </c>
      <c r="E49" s="17">
        <f t="shared" si="96"/>
        <v>24.895116500689721</v>
      </c>
      <c r="F49" s="17">
        <f t="shared" si="96"/>
        <v>22.714001144269176</v>
      </c>
      <c r="H49" s="67">
        <f t="shared" si="129"/>
        <v>38.725146226072148</v>
      </c>
      <c r="I49" s="68">
        <f t="shared" si="130"/>
        <v>61.336063929565874</v>
      </c>
      <c r="J49" s="68">
        <f t="shared" si="131"/>
        <v>100.06121015563802</v>
      </c>
      <c r="L49" t="str">
        <f t="shared" si="132"/>
        <v>23 Teaching and other educational professionals</v>
      </c>
      <c r="M49" s="17">
        <f t="shared" si="97"/>
        <v>23.209606011507141</v>
      </c>
      <c r="N49" s="17">
        <f t="shared" si="97"/>
        <v>22.805924816415406</v>
      </c>
      <c r="O49" s="17">
        <f t="shared" si="97"/>
        <v>22.766604424901136</v>
      </c>
      <c r="P49" s="17">
        <f t="shared" si="97"/>
        <v>21.064558941893001</v>
      </c>
      <c r="Q49" s="17">
        <f t="shared" si="97"/>
        <v>19.109248776228295</v>
      </c>
      <c r="S49" s="67">
        <f t="shared" si="98"/>
        <v>40.516575151741883</v>
      </c>
      <c r="T49" s="68">
        <f t="shared" si="99"/>
        <v>64.544121796946158</v>
      </c>
      <c r="U49" s="68">
        <f t="shared" si="100"/>
        <v>105.06069694868802</v>
      </c>
      <c r="W49" t="str">
        <f t="shared" si="133"/>
        <v>23 Teaching and other educational professionals</v>
      </c>
      <c r="X49" s="17">
        <f t="shared" si="101"/>
        <v>7.7042209778463766</v>
      </c>
      <c r="Y49" s="17">
        <f t="shared" si="101"/>
        <v>6.8608122474419</v>
      </c>
      <c r="Z49" s="17">
        <f t="shared" si="101"/>
        <v>7.0251501277352872</v>
      </c>
      <c r="AA49" s="17">
        <f t="shared" si="101"/>
        <v>5.4913161607979983</v>
      </c>
      <c r="AB49" s="17">
        <f t="shared" si="101"/>
        <v>3.9544277053620713</v>
      </c>
      <c r="AD49" s="67">
        <f t="shared" si="102"/>
        <v>-29.627453935713699</v>
      </c>
      <c r="AE49" s="68">
        <f t="shared" si="103"/>
        <v>41.944726338452767</v>
      </c>
      <c r="AF49" s="68">
        <f t="shared" si="104"/>
        <v>12.317272402739073</v>
      </c>
      <c r="AH49" t="str">
        <f t="shared" si="134"/>
        <v>23 Teaching and other educational professionals</v>
      </c>
      <c r="AI49" s="17">
        <f t="shared" si="105"/>
        <v>3.838504002530728</v>
      </c>
      <c r="AJ49" s="17">
        <f t="shared" si="105"/>
        <v>2.2718012758313955</v>
      </c>
      <c r="AK49" s="17">
        <f t="shared" si="105"/>
        <v>1.9354988130035975</v>
      </c>
      <c r="AL49" s="17">
        <f t="shared" si="105"/>
        <v>1.2240401465045214</v>
      </c>
      <c r="AM49" s="17">
        <f t="shared" si="105"/>
        <v>1.0795405099944861</v>
      </c>
      <c r="AO49" s="67">
        <f t="shared" si="106"/>
        <v>-36.288552618811281</v>
      </c>
      <c r="AP49" s="68">
        <f t="shared" si="107"/>
        <v>20.481357631670395</v>
      </c>
      <c r="AQ49" s="68">
        <f t="shared" si="108"/>
        <v>-15.807194987140885</v>
      </c>
      <c r="AS49" t="str">
        <f t="shared" si="135"/>
        <v>23 Teaching and other educational professionals</v>
      </c>
      <c r="AT49" s="17">
        <f t="shared" si="109"/>
        <v>0.9826286222135947</v>
      </c>
      <c r="AU49" s="17">
        <f t="shared" si="109"/>
        <v>0.95319255077864584</v>
      </c>
      <c r="AV49" s="17">
        <f t="shared" si="109"/>
        <v>0.89613918870117981</v>
      </c>
      <c r="AW49" s="17">
        <f t="shared" si="109"/>
        <v>0.71617425191233353</v>
      </c>
      <c r="AX49" s="17">
        <f t="shared" si="109"/>
        <v>0.5415708122259465</v>
      </c>
      <c r="AZ49" s="67">
        <f t="shared" si="110"/>
        <v>-26.410633090325248</v>
      </c>
      <c r="BA49" s="68">
        <f t="shared" si="111"/>
        <v>38.445340272021113</v>
      </c>
      <c r="BB49" s="68">
        <f t="shared" si="112"/>
        <v>12.034707181695866</v>
      </c>
      <c r="BD49" t="str">
        <f t="shared" si="136"/>
        <v>23 Teaching and other educational professionals</v>
      </c>
      <c r="BE49" s="17">
        <f t="shared" si="113"/>
        <v>0.94588771196276233</v>
      </c>
      <c r="BF49" s="17">
        <f t="shared" si="113"/>
        <v>0.98408508230066372</v>
      </c>
      <c r="BG49" s="17">
        <f t="shared" si="113"/>
        <v>1.0258465538941373</v>
      </c>
      <c r="BH49" s="17">
        <f t="shared" si="113"/>
        <v>1.0442792441831141</v>
      </c>
      <c r="BI49" s="17">
        <f t="shared" si="113"/>
        <v>1.2249992721465042</v>
      </c>
      <c r="BK49" s="67">
        <f t="shared" si="114"/>
        <v>35.678307160832787</v>
      </c>
      <c r="BL49" s="68">
        <f t="shared" si="115"/>
        <v>48.773820188116709</v>
      </c>
      <c r="BM49" s="68">
        <f t="shared" si="116"/>
        <v>84.452127348949503</v>
      </c>
      <c r="BO49" t="str">
        <f t="shared" si="137"/>
        <v>23 Teaching and other educational professionals</v>
      </c>
      <c r="BP49" s="17">
        <f t="shared" si="117"/>
        <v>0.76049505224087288</v>
      </c>
      <c r="BQ49" s="17">
        <f t="shared" si="117"/>
        <v>0.83173652824221489</v>
      </c>
      <c r="BR49" s="17">
        <f t="shared" si="117"/>
        <v>0.83772238978636637</v>
      </c>
      <c r="BS49" s="17">
        <f t="shared" si="117"/>
        <v>0.84318917673878468</v>
      </c>
      <c r="BT49" s="17">
        <f t="shared" si="117"/>
        <v>0.87984881719864061</v>
      </c>
      <c r="BV49" s="67">
        <f t="shared" si="118"/>
        <v>-9.8527646619946569</v>
      </c>
      <c r="BW49" s="68">
        <f t="shared" si="119"/>
        <v>44.373125941259005</v>
      </c>
      <c r="BX49" s="68">
        <f t="shared" si="120"/>
        <v>34.52036127926435</v>
      </c>
      <c r="BZ49" t="str">
        <f t="shared" si="138"/>
        <v>23 Teaching and other educational professionals</v>
      </c>
      <c r="CA49" s="17">
        <f t="shared" si="121"/>
        <v>0.76098058043318073</v>
      </c>
      <c r="CB49" s="17">
        <f t="shared" si="121"/>
        <v>0.87535218297818651</v>
      </c>
      <c r="CC49" s="17">
        <f t="shared" si="121"/>
        <v>0.99613420955292908</v>
      </c>
      <c r="CD49" s="17">
        <f t="shared" si="121"/>
        <v>1.060967868923046</v>
      </c>
      <c r="CE49" s="17">
        <f t="shared" si="121"/>
        <v>1.26356658874251</v>
      </c>
      <c r="CG49" s="67">
        <f t="shared" si="122"/>
        <v>-16.028997540897837</v>
      </c>
      <c r="CH49" s="68">
        <f t="shared" si="123"/>
        <v>40.679018407318239</v>
      </c>
      <c r="CI49" s="68">
        <f t="shared" si="124"/>
        <v>24.650020866420402</v>
      </c>
      <c r="CK49" t="str">
        <f t="shared" si="139"/>
        <v>23 Teaching and other educational professionals</v>
      </c>
      <c r="CL49" s="17">
        <f t="shared" si="125"/>
        <v>0.36263759127768569</v>
      </c>
      <c r="CM49" s="17">
        <f t="shared" si="125"/>
        <v>0.5021750471304014</v>
      </c>
      <c r="CN49" s="17">
        <f t="shared" si="125"/>
        <v>0.62411203935633452</v>
      </c>
      <c r="CO49" s="17">
        <f t="shared" si="125"/>
        <v>0.80525325908571044</v>
      </c>
      <c r="CP49" s="17">
        <f t="shared" si="125"/>
        <v>0.94708306812862542</v>
      </c>
      <c r="CR49" s="67">
        <f t="shared" si="126"/>
        <v>-10.969960890729944</v>
      </c>
      <c r="CS49" s="68">
        <f t="shared" si="127"/>
        <v>34.425951242581696</v>
      </c>
      <c r="CT49" s="68">
        <f t="shared" si="128"/>
        <v>23.455990351851757</v>
      </c>
    </row>
    <row r="50" spans="1:98" x14ac:dyDescent="0.3">
      <c r="A50" t="str">
        <f t="shared" si="95"/>
        <v>24 Business, media and public service professionals</v>
      </c>
      <c r="B50" s="17">
        <f t="shared" si="96"/>
        <v>6.7662118949464487</v>
      </c>
      <c r="C50" s="17">
        <f t="shared" si="96"/>
        <v>6.9273766597684912</v>
      </c>
      <c r="D50" s="17">
        <f t="shared" si="96"/>
        <v>7.4654509429230007</v>
      </c>
      <c r="E50" s="17">
        <f t="shared" si="96"/>
        <v>8.1463869290299797</v>
      </c>
      <c r="F50" s="17">
        <f t="shared" si="96"/>
        <v>8.4004772713980138</v>
      </c>
      <c r="H50" s="67">
        <f t="shared" si="129"/>
        <v>85.388772842316399</v>
      </c>
      <c r="I50" s="68">
        <f t="shared" si="130"/>
        <v>74.770852842908113</v>
      </c>
      <c r="J50" s="68">
        <f t="shared" si="131"/>
        <v>160.15962568522451</v>
      </c>
      <c r="L50" t="str">
        <f t="shared" si="132"/>
        <v>24 Business, media and public service professionals</v>
      </c>
      <c r="M50" s="17">
        <f t="shared" si="97"/>
        <v>13.079439603430318</v>
      </c>
      <c r="N50" s="17">
        <f t="shared" si="97"/>
        <v>13.288874411760625</v>
      </c>
      <c r="O50" s="17">
        <f t="shared" si="97"/>
        <v>13.443890050257174</v>
      </c>
      <c r="P50" s="17">
        <f t="shared" si="97"/>
        <v>14.027198409443026</v>
      </c>
      <c r="Q50" s="17">
        <f t="shared" si="97"/>
        <v>13.888508708717071</v>
      </c>
      <c r="S50" s="67">
        <f t="shared" si="98"/>
        <v>72.946933833864463</v>
      </c>
      <c r="T50" s="68">
        <f t="shared" si="99"/>
        <v>71.61517949987045</v>
      </c>
      <c r="U50" s="68">
        <f t="shared" si="100"/>
        <v>144.56211333373489</v>
      </c>
      <c r="W50" t="str">
        <f t="shared" si="133"/>
        <v>24 Business, media and public service professionals</v>
      </c>
      <c r="X50" s="17">
        <f t="shared" si="101"/>
        <v>11.70250466369175</v>
      </c>
      <c r="Y50" s="17">
        <f t="shared" si="101"/>
        <v>12.20143120330941</v>
      </c>
      <c r="Z50" s="17">
        <f t="shared" si="101"/>
        <v>12.433467149597684</v>
      </c>
      <c r="AA50" s="17">
        <f t="shared" si="101"/>
        <v>12.87545754153007</v>
      </c>
      <c r="AB50" s="17">
        <f t="shared" si="101"/>
        <v>12.445048433769772</v>
      </c>
      <c r="AD50" s="67">
        <f t="shared" si="102"/>
        <v>25.135223392185207</v>
      </c>
      <c r="AE50" s="68">
        <f t="shared" si="103"/>
        <v>58.456985049767383</v>
      </c>
      <c r="AF50" s="68">
        <f t="shared" si="104"/>
        <v>83.592208441952593</v>
      </c>
      <c r="AH50" t="str">
        <f t="shared" si="134"/>
        <v>24 Business, media and public service professionals</v>
      </c>
      <c r="AI50" s="17">
        <f t="shared" si="105"/>
        <v>4.4439355900398603</v>
      </c>
      <c r="AJ50" s="17">
        <f t="shared" si="105"/>
        <v>4.1156355297984888</v>
      </c>
      <c r="AK50" s="17">
        <f t="shared" si="105"/>
        <v>4.3297597631967468</v>
      </c>
      <c r="AL50" s="17">
        <f t="shared" si="105"/>
        <v>4.2313011984941262</v>
      </c>
      <c r="AM50" s="17">
        <f t="shared" si="105"/>
        <v>4.1384845018386791</v>
      </c>
      <c r="AO50" s="67">
        <f t="shared" si="106"/>
        <v>9.1814781522253703</v>
      </c>
      <c r="AP50" s="68">
        <f t="shared" si="107"/>
        <v>37.798773480612148</v>
      </c>
      <c r="AQ50" s="68">
        <f t="shared" si="108"/>
        <v>46.980251632837508</v>
      </c>
      <c r="AS50" t="str">
        <f t="shared" si="135"/>
        <v>24 Business, media and public service professionals</v>
      </c>
      <c r="AT50" s="17">
        <f t="shared" si="109"/>
        <v>6.7159943120089567</v>
      </c>
      <c r="AU50" s="17">
        <f t="shared" si="109"/>
        <v>7.0694083755216575</v>
      </c>
      <c r="AV50" s="17">
        <f t="shared" si="109"/>
        <v>7.241209257424015</v>
      </c>
      <c r="AW50" s="17">
        <f t="shared" si="109"/>
        <v>7.6901300758746514</v>
      </c>
      <c r="AX50" s="17">
        <f t="shared" si="109"/>
        <v>7.713948894741252</v>
      </c>
      <c r="AZ50" s="67">
        <f t="shared" si="110"/>
        <v>29.718209536512102</v>
      </c>
      <c r="BA50" s="68">
        <f t="shared" si="111"/>
        <v>56.151152255899284</v>
      </c>
      <c r="BB50" s="68">
        <f t="shared" si="112"/>
        <v>85.869361792411382</v>
      </c>
      <c r="BD50" t="str">
        <f t="shared" si="136"/>
        <v>24 Business, media and public service professionals</v>
      </c>
      <c r="BE50" s="17">
        <f t="shared" si="113"/>
        <v>3.8386911780632818</v>
      </c>
      <c r="BF50" s="17">
        <f t="shared" si="113"/>
        <v>4.4162801717790021</v>
      </c>
      <c r="BG50" s="17">
        <f t="shared" si="113"/>
        <v>4.6779218133488323</v>
      </c>
      <c r="BH50" s="17">
        <f t="shared" si="113"/>
        <v>5.099501498818257</v>
      </c>
      <c r="BI50" s="17">
        <f t="shared" si="113"/>
        <v>5.4728636693556592</v>
      </c>
      <c r="BK50" s="67">
        <f t="shared" si="114"/>
        <v>32.92867035508219</v>
      </c>
      <c r="BL50" s="68">
        <f t="shared" si="115"/>
        <v>50.853101947371393</v>
      </c>
      <c r="BM50" s="68">
        <f t="shared" si="116"/>
        <v>83.781772302453589</v>
      </c>
      <c r="BO50" t="str">
        <f t="shared" si="137"/>
        <v>24 Business, media and public service professionals</v>
      </c>
      <c r="BP50" s="17">
        <f t="shared" si="117"/>
        <v>2.8127641045574587</v>
      </c>
      <c r="BQ50" s="17">
        <f t="shared" si="117"/>
        <v>3.0245061397331501</v>
      </c>
      <c r="BR50" s="17">
        <f t="shared" si="117"/>
        <v>3.360731742254027</v>
      </c>
      <c r="BS50" s="17">
        <f t="shared" si="117"/>
        <v>3.3915797445500906</v>
      </c>
      <c r="BT50" s="17">
        <f t="shared" si="117"/>
        <v>3.4360369261642494</v>
      </c>
      <c r="BV50" s="67">
        <f t="shared" si="118"/>
        <v>-12.245690130999106</v>
      </c>
      <c r="BW50" s="68">
        <f t="shared" si="119"/>
        <v>39.139156528975931</v>
      </c>
      <c r="BX50" s="68">
        <f t="shared" si="120"/>
        <v>26.893466397976823</v>
      </c>
      <c r="BZ50" t="str">
        <f t="shared" si="138"/>
        <v>24 Business, media and public service professionals</v>
      </c>
      <c r="CA50" s="17">
        <f t="shared" si="121"/>
        <v>2.5657918799562336</v>
      </c>
      <c r="CB50" s="17">
        <f t="shared" si="121"/>
        <v>2.9673390231591954</v>
      </c>
      <c r="CC50" s="17">
        <f t="shared" si="121"/>
        <v>3.3013623582996803</v>
      </c>
      <c r="CD50" s="17">
        <f t="shared" si="121"/>
        <v>3.6024955683186475</v>
      </c>
      <c r="CE50" s="17">
        <f t="shared" si="121"/>
        <v>3.7969987023753968</v>
      </c>
      <c r="CG50" s="67">
        <f t="shared" si="122"/>
        <v>-23.862903190066753</v>
      </c>
      <c r="CH50" s="68">
        <f t="shared" si="123"/>
        <v>36.57548830283114</v>
      </c>
      <c r="CI50" s="68">
        <f t="shared" si="124"/>
        <v>12.712585112764385</v>
      </c>
      <c r="CK50" t="str">
        <f t="shared" si="139"/>
        <v>24 Business, media and public service professionals</v>
      </c>
      <c r="CL50" s="17">
        <f t="shared" si="125"/>
        <v>1.5244548569250662</v>
      </c>
      <c r="CM50" s="17">
        <f t="shared" si="125"/>
        <v>2.0904238402611361</v>
      </c>
      <c r="CN50" s="17">
        <f t="shared" si="125"/>
        <v>2.4258833293030619</v>
      </c>
      <c r="CO50" s="17">
        <f t="shared" si="125"/>
        <v>3.0858081705742162</v>
      </c>
      <c r="CP50" s="17">
        <f t="shared" si="125"/>
        <v>4.1303832107979677</v>
      </c>
      <c r="CR50" s="67">
        <f t="shared" si="126"/>
        <v>-0.10782051954357315</v>
      </c>
      <c r="CS50" s="68">
        <f t="shared" si="127"/>
        <v>32.829109652083389</v>
      </c>
      <c r="CT50" s="68">
        <f t="shared" si="128"/>
        <v>32.721289132539816</v>
      </c>
    </row>
    <row r="51" spans="1:98" x14ac:dyDescent="0.3">
      <c r="A51" t="str">
        <f t="shared" si="95"/>
        <v>31 Science, engineering and technology associate professionals</v>
      </c>
      <c r="B51" s="17">
        <f t="shared" si="96"/>
        <v>2.5923418173497574</v>
      </c>
      <c r="C51" s="17">
        <f t="shared" si="96"/>
        <v>2.8499948857677002</v>
      </c>
      <c r="D51" s="17">
        <f t="shared" si="96"/>
        <v>3.0584477087166912</v>
      </c>
      <c r="E51" s="17">
        <f t="shared" si="96"/>
        <v>2.8979061610633741</v>
      </c>
      <c r="F51" s="17">
        <f t="shared" si="96"/>
        <v>3.2464972978344844</v>
      </c>
      <c r="H51" s="67">
        <f t="shared" si="129"/>
        <v>74.883767500096738</v>
      </c>
      <c r="I51" s="68">
        <f t="shared" si="130"/>
        <v>64.524095479802753</v>
      </c>
      <c r="J51" s="68">
        <f t="shared" si="131"/>
        <v>139.40786297989948</v>
      </c>
      <c r="L51" t="str">
        <f t="shared" si="132"/>
        <v>31 Science, engineering and technology associate professionals</v>
      </c>
      <c r="M51" s="17">
        <f t="shared" si="97"/>
        <v>2.0767439487036476</v>
      </c>
      <c r="N51" s="17">
        <f t="shared" si="97"/>
        <v>2.1122654768657432</v>
      </c>
      <c r="O51" s="17">
        <f t="shared" si="97"/>
        <v>2.3164059838848585</v>
      </c>
      <c r="P51" s="17">
        <f t="shared" si="97"/>
        <v>1.9723006139628594</v>
      </c>
      <c r="Q51" s="17">
        <f t="shared" si="97"/>
        <v>1.9641478106274732</v>
      </c>
      <c r="S51" s="67">
        <f t="shared" si="98"/>
        <v>41.95205772183683</v>
      </c>
      <c r="T51" s="68">
        <f t="shared" si="99"/>
        <v>53.393595085226139</v>
      </c>
      <c r="U51" s="68">
        <f t="shared" si="100"/>
        <v>95.345652807062962</v>
      </c>
      <c r="W51" t="str">
        <f t="shared" si="133"/>
        <v>31 Science, engineering and technology associate professionals</v>
      </c>
      <c r="X51" s="17">
        <f t="shared" si="101"/>
        <v>2.4007363960391159</v>
      </c>
      <c r="Y51" s="17">
        <f t="shared" si="101"/>
        <v>2.6176122655641652</v>
      </c>
      <c r="Z51" s="17">
        <f t="shared" si="101"/>
        <v>2.6684196734425125</v>
      </c>
      <c r="AA51" s="17">
        <f t="shared" si="101"/>
        <v>2.3256231979609008</v>
      </c>
      <c r="AB51" s="17">
        <f t="shared" si="101"/>
        <v>2.2480381817542061</v>
      </c>
      <c r="AD51" s="67">
        <f t="shared" si="102"/>
        <v>5.3233787375521171</v>
      </c>
      <c r="AE51" s="68">
        <f t="shared" si="103"/>
        <v>43.257912102022509</v>
      </c>
      <c r="AF51" s="68">
        <f t="shared" si="104"/>
        <v>48.581290839574621</v>
      </c>
      <c r="AH51" t="str">
        <f t="shared" si="134"/>
        <v>31 Science, engineering and technology associate professionals</v>
      </c>
      <c r="AI51" s="17">
        <f t="shared" si="105"/>
        <v>1.375421359888557</v>
      </c>
      <c r="AJ51" s="17">
        <f t="shared" si="105"/>
        <v>1.6841401545638894</v>
      </c>
      <c r="AK51" s="17">
        <f t="shared" si="105"/>
        <v>1.7671235192329968</v>
      </c>
      <c r="AL51" s="17">
        <f t="shared" si="105"/>
        <v>1.8104421661774672</v>
      </c>
      <c r="AM51" s="17">
        <f t="shared" si="105"/>
        <v>2.0819988913234724</v>
      </c>
      <c r="AO51" s="67">
        <f t="shared" si="106"/>
        <v>34.581394347701618</v>
      </c>
      <c r="AP51" s="68">
        <f t="shared" si="107"/>
        <v>51.929540404256272</v>
      </c>
      <c r="AQ51" s="68">
        <f t="shared" si="108"/>
        <v>86.51093475195789</v>
      </c>
      <c r="AS51" t="str">
        <f t="shared" si="135"/>
        <v>31 Science, engineering and technology associate professionals</v>
      </c>
      <c r="AT51" s="17">
        <f t="shared" si="109"/>
        <v>3.936652548604922</v>
      </c>
      <c r="AU51" s="17">
        <f t="shared" si="109"/>
        <v>4.0878246743534374</v>
      </c>
      <c r="AV51" s="17">
        <f t="shared" si="109"/>
        <v>4.0441889847291215</v>
      </c>
      <c r="AW51" s="17">
        <f t="shared" si="109"/>
        <v>3.2760663990494328</v>
      </c>
      <c r="AX51" s="17">
        <f t="shared" si="109"/>
        <v>2.806214928157285</v>
      </c>
      <c r="AZ51" s="67">
        <f t="shared" si="110"/>
        <v>-15.506213130616423</v>
      </c>
      <c r="BA51" s="68">
        <f t="shared" si="111"/>
        <v>32.953092590760342</v>
      </c>
      <c r="BB51" s="68">
        <f t="shared" si="112"/>
        <v>17.446879460143915</v>
      </c>
      <c r="BD51" t="str">
        <f t="shared" si="136"/>
        <v>31 Science, engineering and technology associate professionals</v>
      </c>
      <c r="BE51" s="17">
        <f t="shared" si="113"/>
        <v>1.5735084842785594</v>
      </c>
      <c r="BF51" s="17">
        <f t="shared" si="113"/>
        <v>1.6687033150596473</v>
      </c>
      <c r="BG51" s="17">
        <f t="shared" si="113"/>
        <v>1.7804101408406814</v>
      </c>
      <c r="BH51" s="17">
        <f t="shared" si="113"/>
        <v>1.3079021613206994</v>
      </c>
      <c r="BI51" s="17">
        <f t="shared" si="113"/>
        <v>1.0465482250195832</v>
      </c>
      <c r="BK51" s="67">
        <f t="shared" si="114"/>
        <v>-33.212347979584948</v>
      </c>
      <c r="BL51" s="68">
        <f t="shared" si="115"/>
        <v>27.997527986526112</v>
      </c>
      <c r="BM51" s="68">
        <f t="shared" si="116"/>
        <v>-5.2148199930588328</v>
      </c>
      <c r="BO51" t="str">
        <f t="shared" si="137"/>
        <v>31 Science, engineering and technology associate professionals</v>
      </c>
      <c r="BP51" s="17">
        <f t="shared" si="117"/>
        <v>1.1415369492269991</v>
      </c>
      <c r="BQ51" s="17">
        <f t="shared" si="117"/>
        <v>1.2662004743398771</v>
      </c>
      <c r="BR51" s="17">
        <f t="shared" si="117"/>
        <v>1.4691533607153646</v>
      </c>
      <c r="BS51" s="17">
        <f t="shared" si="117"/>
        <v>1.212600352283425</v>
      </c>
      <c r="BT51" s="17">
        <f t="shared" si="117"/>
        <v>1.3589567030405088</v>
      </c>
      <c r="BV51" s="67">
        <f t="shared" si="118"/>
        <v>-20.606861971828756</v>
      </c>
      <c r="BW51" s="68">
        <f t="shared" si="119"/>
        <v>31.566092151619685</v>
      </c>
      <c r="BX51" s="68">
        <f t="shared" si="120"/>
        <v>10.959230179790927</v>
      </c>
      <c r="BZ51" t="str">
        <f t="shared" si="138"/>
        <v>31 Science, engineering and technology associate professionals</v>
      </c>
      <c r="CA51" s="17">
        <f t="shared" si="121"/>
        <v>1.3768959785577075</v>
      </c>
      <c r="CB51" s="17">
        <f t="shared" si="121"/>
        <v>1.605380695868458</v>
      </c>
      <c r="CC51" s="17">
        <f t="shared" si="121"/>
        <v>1.9059203240951457</v>
      </c>
      <c r="CD51" s="17">
        <f t="shared" si="121"/>
        <v>1.7318433441880765</v>
      </c>
      <c r="CE51" s="17">
        <f t="shared" si="121"/>
        <v>2.1403245575369363</v>
      </c>
      <c r="CG51" s="67">
        <f t="shared" si="122"/>
        <v>-25.659761099821782</v>
      </c>
      <c r="CH51" s="68">
        <f t="shared" si="123"/>
        <v>29.963944413199034</v>
      </c>
      <c r="CI51" s="68">
        <f t="shared" si="124"/>
        <v>4.3041833133772505</v>
      </c>
      <c r="CK51" t="str">
        <f t="shared" si="139"/>
        <v>31 Science, engineering and technology associate professionals</v>
      </c>
      <c r="CL51" s="17">
        <f t="shared" si="125"/>
        <v>0.67832708475528791</v>
      </c>
      <c r="CM51" s="17">
        <f t="shared" si="125"/>
        <v>0.97179171145524812</v>
      </c>
      <c r="CN51" s="17">
        <f t="shared" si="125"/>
        <v>1.2619079704057445</v>
      </c>
      <c r="CO51" s="17">
        <f t="shared" si="125"/>
        <v>1.5190910237390456</v>
      </c>
      <c r="CP51" s="17">
        <f t="shared" si="125"/>
        <v>2.7386970212025696</v>
      </c>
      <c r="CR51" s="67">
        <f t="shared" si="126"/>
        <v>27.329008745614107</v>
      </c>
      <c r="CS51" s="68">
        <f t="shared" si="127"/>
        <v>37.74700866002236</v>
      </c>
      <c r="CT51" s="68">
        <f t="shared" si="128"/>
        <v>65.076017405636463</v>
      </c>
    </row>
    <row r="52" spans="1:98" x14ac:dyDescent="0.3">
      <c r="A52" t="str">
        <f t="shared" si="95"/>
        <v>32 Health and social care associate professionals</v>
      </c>
      <c r="B52" s="17">
        <f t="shared" si="96"/>
        <v>0.46436747175208876</v>
      </c>
      <c r="C52" s="17">
        <f t="shared" si="96"/>
        <v>0.58804564424450723</v>
      </c>
      <c r="D52" s="17">
        <f t="shared" si="96"/>
        <v>0.48506467379618812</v>
      </c>
      <c r="E52" s="17">
        <f t="shared" si="96"/>
        <v>0.55406429722015327</v>
      </c>
      <c r="F52" s="17">
        <f t="shared" si="96"/>
        <v>0.64694844750500857</v>
      </c>
      <c r="H52" s="67">
        <f t="shared" si="129"/>
        <v>119.73818981501132</v>
      </c>
      <c r="I52" s="68">
        <f t="shared" si="130"/>
        <v>99.302025374097724</v>
      </c>
      <c r="J52" s="68">
        <f t="shared" si="131"/>
        <v>219.04021518910906</v>
      </c>
      <c r="L52" t="str">
        <f t="shared" si="132"/>
        <v>32 Health and social care associate professionals</v>
      </c>
      <c r="M52" s="17">
        <f t="shared" si="97"/>
        <v>1.4621929586673372</v>
      </c>
      <c r="N52" s="17">
        <f t="shared" si="97"/>
        <v>1.694142013089724</v>
      </c>
      <c r="O52" s="17">
        <f t="shared" si="97"/>
        <v>1.5701601298643477</v>
      </c>
      <c r="P52" s="17">
        <f t="shared" si="97"/>
        <v>1.660821583118097</v>
      </c>
      <c r="Q52" s="17">
        <f t="shared" si="97"/>
        <v>1.8591921178796182</v>
      </c>
      <c r="S52" s="67">
        <f t="shared" si="98"/>
        <v>98.226871796061843</v>
      </c>
      <c r="T52" s="68">
        <f t="shared" si="99"/>
        <v>88.740881097072304</v>
      </c>
      <c r="U52" s="68">
        <f t="shared" si="100"/>
        <v>186.96775289313416</v>
      </c>
      <c r="W52" t="str">
        <f t="shared" si="133"/>
        <v>32 Health and social care associate professionals</v>
      </c>
      <c r="X52" s="17">
        <f t="shared" si="101"/>
        <v>2.1985533884291244</v>
      </c>
      <c r="Y52" s="17">
        <f t="shared" si="101"/>
        <v>2.5135155719740099</v>
      </c>
      <c r="Z52" s="17">
        <f t="shared" si="101"/>
        <v>2.4615179850640994</v>
      </c>
      <c r="AA52" s="17">
        <f t="shared" si="101"/>
        <v>2.5421976989760493</v>
      </c>
      <c r="AB52" s="17">
        <f t="shared" si="101"/>
        <v>2.7513293857878196</v>
      </c>
      <c r="AD52" s="67">
        <f t="shared" si="102"/>
        <v>39.738091268563188</v>
      </c>
      <c r="AE52" s="68">
        <f t="shared" si="103"/>
        <v>75.739508182771814</v>
      </c>
      <c r="AF52" s="68">
        <f t="shared" si="104"/>
        <v>115.47759945133502</v>
      </c>
      <c r="AH52" t="str">
        <f t="shared" si="134"/>
        <v>32 Health and social care associate professionals</v>
      </c>
      <c r="AI52" s="17">
        <f t="shared" si="105"/>
        <v>5.1824678320051571</v>
      </c>
      <c r="AJ52" s="17">
        <f t="shared" si="105"/>
        <v>4.6730268852949202</v>
      </c>
      <c r="AK52" s="17">
        <f t="shared" si="105"/>
        <v>4.2937165513057067</v>
      </c>
      <c r="AL52" s="17">
        <f t="shared" si="105"/>
        <v>3.0198690767088121</v>
      </c>
      <c r="AM52" s="17">
        <f t="shared" si="105"/>
        <v>1.5923374718406709</v>
      </c>
      <c r="AO52" s="67">
        <f t="shared" si="106"/>
        <v>-57.638319453925213</v>
      </c>
      <c r="AP52" s="68">
        <f t="shared" si="107"/>
        <v>27.581460409753657</v>
      </c>
      <c r="AQ52" s="68">
        <f t="shared" si="108"/>
        <v>-30.056859044171556</v>
      </c>
      <c r="AS52" t="str">
        <f t="shared" si="135"/>
        <v>32 Health and social care associate professionals</v>
      </c>
      <c r="AT52" s="17">
        <f t="shared" si="109"/>
        <v>1.2348386208102293</v>
      </c>
      <c r="AU52" s="17">
        <f t="shared" si="109"/>
        <v>1.3759597627432028</v>
      </c>
      <c r="AV52" s="17">
        <f t="shared" si="109"/>
        <v>1.5305715462618543</v>
      </c>
      <c r="AW52" s="17">
        <f t="shared" si="109"/>
        <v>1.3942219383962393</v>
      </c>
      <c r="AX52" s="17">
        <f t="shared" si="109"/>
        <v>1.3683880086518423</v>
      </c>
      <c r="AZ52" s="67">
        <f t="shared" si="110"/>
        <v>8.8656601867916844</v>
      </c>
      <c r="BA52" s="68">
        <f t="shared" si="111"/>
        <v>58.183756956214715</v>
      </c>
      <c r="BB52" s="68">
        <f t="shared" si="112"/>
        <v>67.049417143006409</v>
      </c>
      <c r="BD52" t="str">
        <f t="shared" si="136"/>
        <v>32 Health and social care associate professionals</v>
      </c>
      <c r="BE52" s="17">
        <f t="shared" si="113"/>
        <v>1.2981184624006938</v>
      </c>
      <c r="BF52" s="17">
        <f t="shared" si="113"/>
        <v>1.5040629046195848</v>
      </c>
      <c r="BG52" s="17">
        <f t="shared" si="113"/>
        <v>1.594286869238938</v>
      </c>
      <c r="BH52" s="17">
        <f t="shared" si="113"/>
        <v>1.6006559377464837</v>
      </c>
      <c r="BI52" s="17">
        <f t="shared" si="113"/>
        <v>1.7517301353794126</v>
      </c>
      <c r="BK52" s="67">
        <f t="shared" si="114"/>
        <v>24.841138793974839</v>
      </c>
      <c r="BL52" s="68">
        <f t="shared" si="115"/>
        <v>70.962320824810504</v>
      </c>
      <c r="BM52" s="68">
        <f t="shared" si="116"/>
        <v>95.80345961878534</v>
      </c>
      <c r="BO52" t="str">
        <f t="shared" si="137"/>
        <v>32 Health and social care associate professionals</v>
      </c>
      <c r="BP52" s="17">
        <f t="shared" si="117"/>
        <v>1.0410599112172914</v>
      </c>
      <c r="BQ52" s="17">
        <f t="shared" si="117"/>
        <v>1.2659861401456414</v>
      </c>
      <c r="BR52" s="17">
        <f t="shared" si="117"/>
        <v>1.1827908334634327</v>
      </c>
      <c r="BS52" s="17">
        <f t="shared" si="117"/>
        <v>1.2219439114712674</v>
      </c>
      <c r="BT52" s="17">
        <f t="shared" si="117"/>
        <v>1.2235400672942216</v>
      </c>
      <c r="BV52" s="67">
        <f t="shared" si="118"/>
        <v>-11.211907405946452</v>
      </c>
      <c r="BW52" s="68">
        <f t="shared" si="119"/>
        <v>52.250819078365737</v>
      </c>
      <c r="BX52" s="68">
        <f t="shared" si="120"/>
        <v>41.038911672419289</v>
      </c>
      <c r="BZ52" t="str">
        <f t="shared" si="138"/>
        <v>32 Health and social care associate professionals</v>
      </c>
      <c r="CA52" s="17">
        <f t="shared" si="121"/>
        <v>0.61698957820238609</v>
      </c>
      <c r="CB52" s="17">
        <f t="shared" si="121"/>
        <v>0.67896568030068194</v>
      </c>
      <c r="CC52" s="17">
        <f t="shared" si="121"/>
        <v>0.61641468982330438</v>
      </c>
      <c r="CD52" s="17">
        <f t="shared" si="121"/>
        <v>0.58122787802115494</v>
      </c>
      <c r="CE52" s="17">
        <f t="shared" si="121"/>
        <v>0.53611742167186549</v>
      </c>
      <c r="CG52" s="67">
        <f t="shared" si="122"/>
        <v>-42.424727837890629</v>
      </c>
      <c r="CH52" s="68">
        <f t="shared" si="123"/>
        <v>35.251015508011484</v>
      </c>
      <c r="CI52" s="68">
        <f t="shared" si="124"/>
        <v>-7.1737123298791445</v>
      </c>
      <c r="CK52" t="str">
        <f t="shared" si="139"/>
        <v>32 Health and social care associate professionals</v>
      </c>
      <c r="CL52" s="17">
        <f t="shared" si="125"/>
        <v>0.26350844893820041</v>
      </c>
      <c r="CM52" s="17">
        <f t="shared" si="125"/>
        <v>0.3361475687143467</v>
      </c>
      <c r="CN52" s="17">
        <f t="shared" si="125"/>
        <v>0.35604982530730594</v>
      </c>
      <c r="CO52" s="17">
        <f t="shared" si="125"/>
        <v>0.43660910675705661</v>
      </c>
      <c r="CP52" s="17">
        <f t="shared" si="125"/>
        <v>0.68270690148669366</v>
      </c>
      <c r="CR52" s="67">
        <f t="shared" si="126"/>
        <v>12.495349227077805</v>
      </c>
      <c r="CS52" s="68">
        <f t="shared" si="127"/>
        <v>40.557348611045342</v>
      </c>
      <c r="CT52" s="68">
        <f t="shared" si="128"/>
        <v>53.052697838123144</v>
      </c>
    </row>
    <row r="53" spans="1:98" x14ac:dyDescent="0.3">
      <c r="A53" t="str">
        <f t="shared" si="95"/>
        <v>33 Protective service occupations</v>
      </c>
      <c r="B53" s="17">
        <f t="shared" si="96"/>
        <v>0.2884254846894424</v>
      </c>
      <c r="C53" s="17">
        <f t="shared" si="96"/>
        <v>0.24779534523543104</v>
      </c>
      <c r="D53" s="17">
        <f t="shared" si="96"/>
        <v>0.2847156410762407</v>
      </c>
      <c r="E53" s="17">
        <f t="shared" si="96"/>
        <v>0.36249483292408186</v>
      </c>
      <c r="F53" s="17">
        <f t="shared" si="96"/>
        <v>0.43472417348423059</v>
      </c>
      <c r="H53" s="67">
        <f t="shared" si="129"/>
        <v>151.55791060255339</v>
      </c>
      <c r="I53" s="68">
        <f t="shared" si="130"/>
        <v>73.278567821048526</v>
      </c>
      <c r="J53" s="68">
        <f t="shared" si="131"/>
        <v>224.83647842360193</v>
      </c>
      <c r="L53" t="str">
        <f t="shared" si="132"/>
        <v>33 Protective service occupations</v>
      </c>
      <c r="M53" s="17">
        <f t="shared" si="97"/>
        <v>0.57367120240582437</v>
      </c>
      <c r="N53" s="17">
        <f t="shared" si="97"/>
        <v>0.49217385035775052</v>
      </c>
      <c r="O53" s="17">
        <f t="shared" si="97"/>
        <v>0.54139544243737681</v>
      </c>
      <c r="P53" s="17">
        <f t="shared" si="97"/>
        <v>0.65401864206869975</v>
      </c>
      <c r="Q53" s="17">
        <f t="shared" si="97"/>
        <v>0.77137304218554303</v>
      </c>
      <c r="S53" s="67">
        <f t="shared" si="98"/>
        <v>138.5239896903671</v>
      </c>
      <c r="T53" s="68">
        <f t="shared" si="99"/>
        <v>62.067222576869277</v>
      </c>
      <c r="U53" s="68">
        <f t="shared" si="100"/>
        <v>200.59121226723639</v>
      </c>
      <c r="W53" t="str">
        <f t="shared" si="133"/>
        <v>33 Protective service occupations</v>
      </c>
      <c r="X53" s="17">
        <f t="shared" si="101"/>
        <v>1.1684493716093263</v>
      </c>
      <c r="Y53" s="17">
        <f t="shared" si="101"/>
        <v>1.1179638020098999</v>
      </c>
      <c r="Z53" s="17">
        <f t="shared" si="101"/>
        <v>1.2077319492938543</v>
      </c>
      <c r="AA53" s="17">
        <f t="shared" si="101"/>
        <v>1.5412652326952521</v>
      </c>
      <c r="AB53" s="17">
        <f t="shared" si="101"/>
        <v>1.9487212270894481</v>
      </c>
      <c r="AD53" s="67">
        <f t="shared" si="102"/>
        <v>101.7225242141981</v>
      </c>
      <c r="AE53" s="68">
        <f t="shared" si="103"/>
        <v>66.898073708497222</v>
      </c>
      <c r="AF53" s="68">
        <f t="shared" si="104"/>
        <v>168.62059792269531</v>
      </c>
      <c r="AH53" t="str">
        <f t="shared" si="134"/>
        <v>33 Protective service occupations</v>
      </c>
      <c r="AI53" s="17">
        <f t="shared" si="105"/>
        <v>1.0778435522250336</v>
      </c>
      <c r="AJ53" s="17">
        <f t="shared" si="105"/>
        <v>1.0725206609606797</v>
      </c>
      <c r="AK53" s="17">
        <f t="shared" si="105"/>
        <v>1.1307560850862433</v>
      </c>
      <c r="AL53" s="17">
        <f t="shared" si="105"/>
        <v>1.5054628308150604</v>
      </c>
      <c r="AM53" s="17">
        <f t="shared" si="105"/>
        <v>1.8706948176764346</v>
      </c>
      <c r="AO53" s="67">
        <f t="shared" si="106"/>
        <v>88.975475294712695</v>
      </c>
      <c r="AP53" s="68">
        <f t="shared" si="107"/>
        <v>56.543556622456805</v>
      </c>
      <c r="AQ53" s="68">
        <f t="shared" si="108"/>
        <v>145.51903191716949</v>
      </c>
      <c r="AS53" t="str">
        <f t="shared" si="135"/>
        <v>33 Protective service occupations</v>
      </c>
      <c r="AT53" s="17">
        <f t="shared" si="109"/>
        <v>1.0421712770614675</v>
      </c>
      <c r="AU53" s="17">
        <f t="shared" si="109"/>
        <v>0.85080325565576187</v>
      </c>
      <c r="AV53" s="17">
        <f t="shared" si="109"/>
        <v>0.89965368144649449</v>
      </c>
      <c r="AW53" s="17">
        <f t="shared" si="109"/>
        <v>1.0058954529934205</v>
      </c>
      <c r="AX53" s="17">
        <f t="shared" si="109"/>
        <v>1.085912268629627</v>
      </c>
      <c r="AZ53" s="67">
        <f t="shared" si="110"/>
        <v>46.978788936044538</v>
      </c>
      <c r="BA53" s="68">
        <f t="shared" si="111"/>
        <v>47.268572669684019</v>
      </c>
      <c r="BB53" s="68">
        <f t="shared" si="112"/>
        <v>94.247361605728557</v>
      </c>
      <c r="BD53" t="str">
        <f t="shared" si="136"/>
        <v>33 Protective service occupations</v>
      </c>
      <c r="BE53" s="17">
        <f t="shared" si="113"/>
        <v>0.99707737304217847</v>
      </c>
      <c r="BF53" s="17">
        <f t="shared" si="113"/>
        <v>0.92888433007984628</v>
      </c>
      <c r="BG53" s="17">
        <f t="shared" si="113"/>
        <v>0.94775254641307882</v>
      </c>
      <c r="BH53" s="17">
        <f t="shared" si="113"/>
        <v>1.1054946269624484</v>
      </c>
      <c r="BI53" s="17">
        <f t="shared" si="113"/>
        <v>1.144207620819264</v>
      </c>
      <c r="BK53" s="67">
        <f t="shared" si="114"/>
        <v>37.172440537864354</v>
      </c>
      <c r="BL53" s="68">
        <f t="shared" si="115"/>
        <v>33.245700428810331</v>
      </c>
      <c r="BM53" s="68">
        <f t="shared" si="116"/>
        <v>70.418140966674684</v>
      </c>
      <c r="BO53" t="str">
        <f t="shared" si="137"/>
        <v>33 Protective service occupations</v>
      </c>
      <c r="BP53" s="17">
        <f t="shared" si="117"/>
        <v>1.1240875818421805</v>
      </c>
      <c r="BQ53" s="17">
        <f t="shared" si="117"/>
        <v>1.0645604234458297</v>
      </c>
      <c r="BR53" s="17">
        <f t="shared" si="117"/>
        <v>1.188890920749573</v>
      </c>
      <c r="BS53" s="17">
        <f t="shared" si="117"/>
        <v>1.3415053489806912</v>
      </c>
      <c r="BT53" s="17">
        <f t="shared" si="117"/>
        <v>1.4397576484991792</v>
      </c>
      <c r="BV53" s="67">
        <f t="shared" si="118"/>
        <v>3.9421903778269236</v>
      </c>
      <c r="BW53" s="68">
        <f t="shared" si="119"/>
        <v>33.581272022350767</v>
      </c>
      <c r="BX53" s="68">
        <f t="shared" si="120"/>
        <v>37.523462400177685</v>
      </c>
      <c r="BZ53" t="str">
        <f t="shared" si="138"/>
        <v>33 Protective service occupations</v>
      </c>
      <c r="CA53" s="17">
        <f t="shared" si="121"/>
        <v>0.95116363539881121</v>
      </c>
      <c r="CB53" s="17">
        <f t="shared" si="121"/>
        <v>0.93283330595497782</v>
      </c>
      <c r="CC53" s="17">
        <f t="shared" si="121"/>
        <v>1.0353971404310567</v>
      </c>
      <c r="CD53" s="17">
        <f t="shared" si="121"/>
        <v>1.3071543268577532</v>
      </c>
      <c r="CE53" s="17">
        <f t="shared" si="121"/>
        <v>1.4546563694731234</v>
      </c>
      <c r="CG53" s="67">
        <f t="shared" si="122"/>
        <v>-6.9958108194306092</v>
      </c>
      <c r="CH53" s="68">
        <f t="shared" si="123"/>
        <v>38.166872524527633</v>
      </c>
      <c r="CI53" s="68">
        <f t="shared" si="124"/>
        <v>31.171061705097024</v>
      </c>
      <c r="CK53" t="str">
        <f t="shared" si="139"/>
        <v>33 Protective service occupations</v>
      </c>
      <c r="CL53" s="17">
        <f t="shared" si="125"/>
        <v>0.4435234624586698</v>
      </c>
      <c r="CM53" s="17">
        <f t="shared" si="125"/>
        <v>0.40502755726608164</v>
      </c>
      <c r="CN53" s="17">
        <f t="shared" si="125"/>
        <v>0.45409966516645056</v>
      </c>
      <c r="CO53" s="17">
        <f t="shared" si="125"/>
        <v>0.42266437462604645</v>
      </c>
      <c r="CP53" s="17">
        <f t="shared" si="125"/>
        <v>0.56869874816092247</v>
      </c>
      <c r="CR53" s="67">
        <f t="shared" si="126"/>
        <v>-26.52456892656787</v>
      </c>
      <c r="CS53" s="68">
        <f t="shared" si="127"/>
        <v>17.224022229585671</v>
      </c>
      <c r="CT53" s="68">
        <f t="shared" si="128"/>
        <v>-9.3005466969821988</v>
      </c>
    </row>
    <row r="54" spans="1:98" x14ac:dyDescent="0.3">
      <c r="A54" t="str">
        <f t="shared" si="95"/>
        <v>34 Culture, media and sports occupations</v>
      </c>
      <c r="B54" s="17">
        <f t="shared" si="96"/>
        <v>1.7512902121880187</v>
      </c>
      <c r="C54" s="17">
        <f t="shared" si="96"/>
        <v>1.8031125770791485</v>
      </c>
      <c r="D54" s="17">
        <f t="shared" si="96"/>
        <v>2.0792780466459915</v>
      </c>
      <c r="E54" s="17">
        <f t="shared" si="96"/>
        <v>2.0714405952945971</v>
      </c>
      <c r="F54" s="17">
        <f t="shared" si="96"/>
        <v>2.1745990034910121</v>
      </c>
      <c r="H54" s="67">
        <f t="shared" si="129"/>
        <v>72.306686527537266</v>
      </c>
      <c r="I54" s="68">
        <f t="shared" si="130"/>
        <v>75.48336309184748</v>
      </c>
      <c r="J54" s="68">
        <f t="shared" si="131"/>
        <v>147.79004961938475</v>
      </c>
      <c r="L54" t="str">
        <f t="shared" si="132"/>
        <v>34 Culture, media and sports occupations</v>
      </c>
      <c r="M54" s="17">
        <f t="shared" si="97"/>
        <v>3.802684900066053</v>
      </c>
      <c r="N54" s="17">
        <f t="shared" si="97"/>
        <v>3.1628447129156321</v>
      </c>
      <c r="O54" s="17">
        <f t="shared" si="97"/>
        <v>4.232945434001441</v>
      </c>
      <c r="P54" s="17">
        <f t="shared" si="97"/>
        <v>3.9017905150264043</v>
      </c>
      <c r="Q54" s="17">
        <f t="shared" si="97"/>
        <v>3.9298973101622927</v>
      </c>
      <c r="S54" s="67">
        <f t="shared" si="98"/>
        <v>55.42494968557363</v>
      </c>
      <c r="T54" s="68">
        <f t="shared" si="99"/>
        <v>65.501195990208245</v>
      </c>
      <c r="U54" s="68">
        <f t="shared" si="100"/>
        <v>120.92614567578188</v>
      </c>
      <c r="W54" t="str">
        <f t="shared" si="133"/>
        <v>34 Culture, media and sports occupations</v>
      </c>
      <c r="X54" s="17">
        <f t="shared" si="101"/>
        <v>4.2801960388780023</v>
      </c>
      <c r="Y54" s="17">
        <f t="shared" si="101"/>
        <v>3.7531198825787988</v>
      </c>
      <c r="Z54" s="17">
        <f t="shared" si="101"/>
        <v>4.3971165685928462</v>
      </c>
      <c r="AA54" s="17">
        <f t="shared" si="101"/>
        <v>3.9300078557014757</v>
      </c>
      <c r="AB54" s="17">
        <f t="shared" si="101"/>
        <v>3.7057664485037325</v>
      </c>
      <c r="AD54" s="67">
        <f t="shared" si="102"/>
        <v>5.3623137883005736</v>
      </c>
      <c r="AE54" s="68">
        <f t="shared" si="103"/>
        <v>47.773686264167836</v>
      </c>
      <c r="AF54" s="68">
        <f t="shared" si="104"/>
        <v>53.136000052468404</v>
      </c>
      <c r="AH54" t="str">
        <f t="shared" si="134"/>
        <v>34 Culture, media and sports occupations</v>
      </c>
      <c r="AI54" s="17">
        <f t="shared" si="105"/>
        <v>1.8425502243029805</v>
      </c>
      <c r="AJ54" s="17">
        <f t="shared" si="105"/>
        <v>1.8184155275890896</v>
      </c>
      <c r="AK54" s="17">
        <f t="shared" si="105"/>
        <v>2.047251520685609</v>
      </c>
      <c r="AL54" s="17">
        <f t="shared" si="105"/>
        <v>1.9473116161885577</v>
      </c>
      <c r="AM54" s="17">
        <f t="shared" si="105"/>
        <v>2.151283199209455</v>
      </c>
      <c r="AO54" s="67">
        <f t="shared" si="106"/>
        <v>20.032214868232934</v>
      </c>
      <c r="AP54" s="68">
        <f t="shared" si="107"/>
        <v>47.365400275098054</v>
      </c>
      <c r="AQ54" s="68">
        <f t="shared" si="108"/>
        <v>67.397615143330995</v>
      </c>
      <c r="AS54" t="str">
        <f t="shared" si="135"/>
        <v>34 Culture, media and sports occupations</v>
      </c>
      <c r="AT54" s="17">
        <f t="shared" si="109"/>
        <v>2.3645187421801435</v>
      </c>
      <c r="AU54" s="17">
        <f t="shared" si="109"/>
        <v>1.9913291383023752</v>
      </c>
      <c r="AV54" s="17">
        <f t="shared" si="109"/>
        <v>2.1718257038482567</v>
      </c>
      <c r="AW54" s="17">
        <f t="shared" si="109"/>
        <v>1.7823176960800693</v>
      </c>
      <c r="AX54" s="17">
        <f t="shared" si="109"/>
        <v>1.5078558444931924</v>
      </c>
      <c r="AZ54" s="67">
        <f t="shared" si="110"/>
        <v>-15.45846262201141</v>
      </c>
      <c r="BA54" s="68">
        <f t="shared" si="111"/>
        <v>38.338889585405433</v>
      </c>
      <c r="BB54" s="68">
        <f t="shared" si="112"/>
        <v>22.880426963394022</v>
      </c>
      <c r="BD54" t="str">
        <f t="shared" si="136"/>
        <v>34 Culture, media and sports occupations</v>
      </c>
      <c r="BE54" s="17">
        <f t="shared" si="113"/>
        <v>1.5602198700976191</v>
      </c>
      <c r="BF54" s="17">
        <f t="shared" si="113"/>
        <v>1.5305080646958573</v>
      </c>
      <c r="BG54" s="17">
        <f t="shared" si="113"/>
        <v>1.7084771477022223</v>
      </c>
      <c r="BH54" s="17">
        <f t="shared" si="113"/>
        <v>1.4596393598346458</v>
      </c>
      <c r="BI54" s="17">
        <f t="shared" si="113"/>
        <v>1.4430934342347528</v>
      </c>
      <c r="BK54" s="67">
        <f t="shared" si="114"/>
        <v>-4.0285036616376191</v>
      </c>
      <c r="BL54" s="68">
        <f t="shared" si="115"/>
        <v>35.116918857257488</v>
      </c>
      <c r="BM54" s="68">
        <f t="shared" si="116"/>
        <v>31.088415195619874</v>
      </c>
      <c r="BO54" t="str">
        <f t="shared" si="137"/>
        <v>34 Culture, media and sports occupations</v>
      </c>
      <c r="BP54" s="17">
        <f t="shared" si="117"/>
        <v>0.92176092368498364</v>
      </c>
      <c r="BQ54" s="17">
        <f t="shared" si="117"/>
        <v>0.75882162232651118</v>
      </c>
      <c r="BR54" s="17">
        <f t="shared" si="117"/>
        <v>0.86962964733931347</v>
      </c>
      <c r="BS54" s="17">
        <f t="shared" si="117"/>
        <v>0.67228969936365857</v>
      </c>
      <c r="BT54" s="17">
        <f t="shared" si="117"/>
        <v>0.47896596627872279</v>
      </c>
      <c r="BV54" s="67">
        <f t="shared" si="118"/>
        <v>-52.726822100707651</v>
      </c>
      <c r="BW54" s="68">
        <f t="shared" si="119"/>
        <v>25.875722941851702</v>
      </c>
      <c r="BX54" s="68">
        <f t="shared" si="120"/>
        <v>-26.851099158855945</v>
      </c>
      <c r="BZ54" t="str">
        <f t="shared" si="138"/>
        <v>34 Culture, media and sports occupations</v>
      </c>
      <c r="CA54" s="17">
        <f t="shared" si="121"/>
        <v>1.0874478836611177</v>
      </c>
      <c r="CB54" s="17">
        <f t="shared" si="121"/>
        <v>1.0646812888514334</v>
      </c>
      <c r="CC54" s="17">
        <f t="shared" si="121"/>
        <v>1.0582298748237886</v>
      </c>
      <c r="CD54" s="17">
        <f t="shared" si="121"/>
        <v>0.89497288161818767</v>
      </c>
      <c r="CE54" s="17">
        <f t="shared" si="121"/>
        <v>0.7985961295759032</v>
      </c>
      <c r="CG54" s="67">
        <f t="shared" si="122"/>
        <v>-50.043012433974489</v>
      </c>
      <c r="CH54" s="68">
        <f t="shared" si="123"/>
        <v>26.034956604709837</v>
      </c>
      <c r="CI54" s="68">
        <f t="shared" si="124"/>
        <v>-24.008055829264645</v>
      </c>
      <c r="CK54" t="str">
        <f t="shared" si="139"/>
        <v>34 Culture, media and sports occupations</v>
      </c>
      <c r="CL54" s="17">
        <f t="shared" si="125"/>
        <v>0.84212759375077317</v>
      </c>
      <c r="CM54" s="17">
        <f t="shared" si="125"/>
        <v>1.0632512785684067</v>
      </c>
      <c r="CN54" s="17">
        <f t="shared" si="125"/>
        <v>1.3045767673172211</v>
      </c>
      <c r="CO54" s="17">
        <f t="shared" si="125"/>
        <v>1.4453722198339105</v>
      </c>
      <c r="CP54" s="17">
        <f t="shared" si="125"/>
        <v>1.4226795861831052</v>
      </c>
      <c r="CR54" s="67">
        <f t="shared" si="126"/>
        <v>-36.019370026832028</v>
      </c>
      <c r="CS54" s="68">
        <f t="shared" si="127"/>
        <v>25.605073704818615</v>
      </c>
      <c r="CT54" s="68">
        <f t="shared" si="128"/>
        <v>-10.41429632201341</v>
      </c>
    </row>
    <row r="55" spans="1:98" x14ac:dyDescent="0.3">
      <c r="A55" t="str">
        <f t="shared" si="95"/>
        <v>35 Business and public service associate professionals</v>
      </c>
      <c r="B55" s="17">
        <f t="shared" ref="B55:F64" si="140">B18/B$35*100</f>
        <v>5.0290897625681872</v>
      </c>
      <c r="C55" s="17">
        <f t="shared" si="140"/>
        <v>4.9172589006319063</v>
      </c>
      <c r="D55" s="17">
        <f t="shared" si="140"/>
        <v>5.0787789939678811</v>
      </c>
      <c r="E55" s="17">
        <f t="shared" si="140"/>
        <v>5.0376105505474484</v>
      </c>
      <c r="F55" s="17">
        <f t="shared" si="140"/>
        <v>5.2232384650521926</v>
      </c>
      <c r="H55" s="67">
        <f t="shared" si="129"/>
        <v>69.440043295756951</v>
      </c>
      <c r="I55" s="68">
        <f t="shared" si="130"/>
        <v>66.747045830018308</v>
      </c>
      <c r="J55" s="68">
        <f t="shared" si="131"/>
        <v>136.18708912577526</v>
      </c>
      <c r="L55" t="str">
        <f t="shared" si="132"/>
        <v>35 Business and public service associate professionals</v>
      </c>
      <c r="M55" s="17">
        <f t="shared" ref="M55:Q64" si="141">M18/M$35*100</f>
        <v>7.8514006285405724</v>
      </c>
      <c r="N55" s="17">
        <f t="shared" si="141"/>
        <v>7.7002615323322727</v>
      </c>
      <c r="O55" s="17">
        <f t="shared" si="141"/>
        <v>7.5772003725614434</v>
      </c>
      <c r="P55" s="17">
        <f t="shared" si="141"/>
        <v>7.369676947028041</v>
      </c>
      <c r="Q55" s="17">
        <f t="shared" si="141"/>
        <v>7.3789671419884044</v>
      </c>
      <c r="S55" s="67">
        <f t="shared" si="98"/>
        <v>63.030555317639035</v>
      </c>
      <c r="T55" s="68">
        <f t="shared" si="99"/>
        <v>67.060391437209631</v>
      </c>
      <c r="U55" s="68">
        <f t="shared" si="100"/>
        <v>130.09094675484866</v>
      </c>
      <c r="W55" t="str">
        <f t="shared" si="133"/>
        <v>35 Business and public service associate professionals</v>
      </c>
      <c r="X55" s="17">
        <f t="shared" ref="X55:AB64" si="142">X18/X$35*100</f>
        <v>8.721129891212664</v>
      </c>
      <c r="Y55" s="17">
        <f t="shared" si="142"/>
        <v>8.4604774190910117</v>
      </c>
      <c r="Z55" s="17">
        <f t="shared" si="142"/>
        <v>8.2821312085334018</v>
      </c>
      <c r="AA55" s="17">
        <f t="shared" si="142"/>
        <v>7.6377029694234571</v>
      </c>
      <c r="AB55" s="17">
        <f t="shared" si="142"/>
        <v>7.137313004045394</v>
      </c>
      <c r="AD55" s="67">
        <f t="shared" si="102"/>
        <v>7.7377421605748387</v>
      </c>
      <c r="AE55" s="68">
        <f t="shared" si="103"/>
        <v>50.937692427656636</v>
      </c>
      <c r="AF55" s="68">
        <f t="shared" si="104"/>
        <v>58.675434588231454</v>
      </c>
      <c r="AH55" t="str">
        <f t="shared" si="134"/>
        <v>35 Business and public service associate professionals</v>
      </c>
      <c r="AI55" s="17">
        <f t="shared" ref="AI55:AM64" si="143">AI18/AI$35*100</f>
        <v>7.7483871736121701</v>
      </c>
      <c r="AJ55" s="17">
        <f t="shared" si="143"/>
        <v>8.1411065263433908</v>
      </c>
      <c r="AK55" s="17">
        <f t="shared" si="143"/>
        <v>8.304693657423492</v>
      </c>
      <c r="AL55" s="17">
        <f t="shared" si="143"/>
        <v>8.2850969552477736</v>
      </c>
      <c r="AM55" s="17">
        <f t="shared" si="143"/>
        <v>8.4062173719111364</v>
      </c>
      <c r="AO55" s="67">
        <f t="shared" si="106"/>
        <v>15.624118790368478</v>
      </c>
      <c r="AP55" s="68">
        <f t="shared" si="107"/>
        <v>50.549625683801594</v>
      </c>
      <c r="AQ55" s="68">
        <f t="shared" si="108"/>
        <v>66.173744474170064</v>
      </c>
      <c r="AS55" t="str">
        <f t="shared" si="135"/>
        <v>35 Business and public service associate professionals</v>
      </c>
      <c r="AT55" s="17">
        <f t="shared" ref="AT55:AX64" si="144">AT18/AT$35*100</f>
        <v>7.3477769604512924</v>
      </c>
      <c r="AU55" s="17">
        <f t="shared" si="144"/>
        <v>7.2826071325080042</v>
      </c>
      <c r="AV55" s="17">
        <f t="shared" si="144"/>
        <v>7.2365130081835067</v>
      </c>
      <c r="AW55" s="17">
        <f t="shared" si="144"/>
        <v>6.7674433475885243</v>
      </c>
      <c r="AX55" s="17">
        <f t="shared" si="144"/>
        <v>6.5063789362414779</v>
      </c>
      <c r="AZ55" s="67">
        <f t="shared" si="110"/>
        <v>9.4826478760760136</v>
      </c>
      <c r="BA55" s="68">
        <f t="shared" si="111"/>
        <v>47.941179396565211</v>
      </c>
      <c r="BB55" s="68">
        <f t="shared" si="112"/>
        <v>57.423827272641226</v>
      </c>
      <c r="BD55" t="str">
        <f t="shared" si="136"/>
        <v>35 Business and public service associate professionals</v>
      </c>
      <c r="BE55" s="17">
        <f t="shared" ref="BE55:BI64" si="145">BE18/BE$35*100</f>
        <v>5.6676555000187063</v>
      </c>
      <c r="BF55" s="17">
        <f t="shared" si="145"/>
        <v>5.6796556354634005</v>
      </c>
      <c r="BG55" s="17">
        <f t="shared" si="145"/>
        <v>5.8843439470615628</v>
      </c>
      <c r="BH55" s="17">
        <f t="shared" si="145"/>
        <v>5.3048067502948566</v>
      </c>
      <c r="BI55" s="17">
        <f t="shared" si="145"/>
        <v>4.9808065968578754</v>
      </c>
      <c r="BK55" s="67">
        <f t="shared" si="114"/>
        <v>-3.8257920703048129</v>
      </c>
      <c r="BL55" s="68">
        <f t="shared" si="115"/>
        <v>42.659307899100988</v>
      </c>
      <c r="BM55" s="68">
        <f t="shared" si="116"/>
        <v>38.833515828796166</v>
      </c>
      <c r="BO55" t="str">
        <f t="shared" si="137"/>
        <v>35 Business and public service associate professionals</v>
      </c>
      <c r="BP55" s="17">
        <f t="shared" ref="BP55:BT64" si="146">BP18/BP$35*100</f>
        <v>4.773977828944143</v>
      </c>
      <c r="BQ55" s="17">
        <f t="shared" si="146"/>
        <v>4.8669139261007448</v>
      </c>
      <c r="BR55" s="17">
        <f t="shared" si="146"/>
        <v>5.1170662700563874</v>
      </c>
      <c r="BS55" s="17">
        <f t="shared" si="146"/>
        <v>4.5688742145955752</v>
      </c>
      <c r="BT55" s="17">
        <f t="shared" si="146"/>
        <v>4.3856923531672445</v>
      </c>
      <c r="BV55" s="67">
        <f t="shared" si="118"/>
        <v>-26.436632314676057</v>
      </c>
      <c r="BW55" s="68">
        <f t="shared" si="119"/>
        <v>33.754513282558037</v>
      </c>
      <c r="BX55" s="68">
        <f t="shared" si="120"/>
        <v>7.3178809678819805</v>
      </c>
      <c r="BZ55" t="str">
        <f t="shared" si="138"/>
        <v>35 Business and public service associate professionals</v>
      </c>
      <c r="CA55" s="17">
        <f t="shared" ref="CA55:CE64" si="147">CA18/CA$35*100</f>
        <v>4.357687216283086</v>
      </c>
      <c r="CB55" s="17">
        <f t="shared" si="147"/>
        <v>4.569230778835057</v>
      </c>
      <c r="CC55" s="17">
        <f t="shared" si="147"/>
        <v>4.7359753441058929</v>
      </c>
      <c r="CD55" s="17">
        <f t="shared" si="147"/>
        <v>4.3719285128829641</v>
      </c>
      <c r="CE55" s="17">
        <f t="shared" si="147"/>
        <v>4.3712038904749981</v>
      </c>
      <c r="CG55" s="67">
        <f t="shared" si="122"/>
        <v>-38.900073105117862</v>
      </c>
      <c r="CH55" s="68">
        <f t="shared" si="123"/>
        <v>29.038953407130229</v>
      </c>
      <c r="CI55" s="68">
        <f t="shared" si="124"/>
        <v>-9.8611196979876272</v>
      </c>
      <c r="CK55" t="str">
        <f t="shared" si="139"/>
        <v>35 Business and public service associate professionals</v>
      </c>
      <c r="CL55" s="17">
        <f t="shared" ref="CL55:CP64" si="148">CL18/CL$35*100</f>
        <v>2.4612339907679055</v>
      </c>
      <c r="CM55" s="17">
        <f t="shared" si="148"/>
        <v>2.8517449907926888</v>
      </c>
      <c r="CN55" s="17">
        <f t="shared" si="148"/>
        <v>3.071269220306069</v>
      </c>
      <c r="CO55" s="17">
        <f t="shared" si="148"/>
        <v>3.0483885098087948</v>
      </c>
      <c r="CP55" s="17">
        <f t="shared" si="148"/>
        <v>4.7432856614903072</v>
      </c>
      <c r="CR55" s="67">
        <f t="shared" si="126"/>
        <v>-9.3907688417451585</v>
      </c>
      <c r="CS55" s="68">
        <f t="shared" si="127"/>
        <v>26.602723027596493</v>
      </c>
      <c r="CT55" s="68">
        <f t="shared" si="128"/>
        <v>17.211954185851337</v>
      </c>
    </row>
    <row r="56" spans="1:98" x14ac:dyDescent="0.3">
      <c r="A56" t="str">
        <f t="shared" si="95"/>
        <v>41 Administrative occupations</v>
      </c>
      <c r="B56" s="17">
        <f t="shared" si="140"/>
        <v>3.0585012400523257</v>
      </c>
      <c r="C56" s="17">
        <f t="shared" si="140"/>
        <v>2.7977161849473449</v>
      </c>
      <c r="D56" s="17">
        <f t="shared" si="140"/>
        <v>2.8489091205995107</v>
      </c>
      <c r="E56" s="17">
        <f t="shared" si="140"/>
        <v>2.9296859312729842</v>
      </c>
      <c r="F56" s="17">
        <f t="shared" si="140"/>
        <v>3.2991156192214635</v>
      </c>
      <c r="H56" s="67">
        <f t="shared" si="129"/>
        <v>90.789493407594406</v>
      </c>
      <c r="I56" s="68">
        <f t="shared" si="130"/>
        <v>79.592073714499875</v>
      </c>
      <c r="J56" s="68">
        <f t="shared" si="131"/>
        <v>170.38156712209428</v>
      </c>
      <c r="L56" t="str">
        <f t="shared" si="132"/>
        <v>41 Administrative occupations</v>
      </c>
      <c r="M56" s="17">
        <f t="shared" si="141"/>
        <v>4.9431943593086212</v>
      </c>
      <c r="N56" s="17">
        <f t="shared" si="141"/>
        <v>4.8511786326063637</v>
      </c>
      <c r="O56" s="17">
        <f t="shared" si="141"/>
        <v>4.8816407136174371</v>
      </c>
      <c r="P56" s="17">
        <f t="shared" si="141"/>
        <v>4.8295280368826123</v>
      </c>
      <c r="Q56" s="17">
        <f t="shared" si="141"/>
        <v>4.9697298020236778</v>
      </c>
      <c r="S56" s="67">
        <f t="shared" si="98"/>
        <v>70.431226060198938</v>
      </c>
      <c r="T56" s="68">
        <f t="shared" si="99"/>
        <v>74.429411063830102</v>
      </c>
      <c r="U56" s="68">
        <f t="shared" si="100"/>
        <v>144.86063712402904</v>
      </c>
      <c r="W56" t="str">
        <f t="shared" si="133"/>
        <v>41 Administrative occupations</v>
      </c>
      <c r="X56" s="17">
        <f t="shared" si="142"/>
        <v>8.0113545222049627</v>
      </c>
      <c r="Y56" s="17">
        <f t="shared" si="142"/>
        <v>7.4945759971756818</v>
      </c>
      <c r="Z56" s="17">
        <f t="shared" si="142"/>
        <v>7.9073165271747845</v>
      </c>
      <c r="AA56" s="17">
        <f t="shared" si="142"/>
        <v>7.4793419158957679</v>
      </c>
      <c r="AB56" s="17">
        <f t="shared" si="142"/>
        <v>7.3061391010539181</v>
      </c>
      <c r="AD56" s="67">
        <f t="shared" si="102"/>
        <v>15.513846587671926</v>
      </c>
      <c r="AE56" s="68">
        <f t="shared" si="103"/>
        <v>58.418830910463384</v>
      </c>
      <c r="AF56" s="68">
        <f t="shared" si="104"/>
        <v>73.932677498135305</v>
      </c>
      <c r="AH56" t="str">
        <f t="shared" si="134"/>
        <v>41 Administrative occupations</v>
      </c>
      <c r="AI56" s="17">
        <f t="shared" si="143"/>
        <v>10.446025814487667</v>
      </c>
      <c r="AJ56" s="17">
        <f t="shared" si="143"/>
        <v>10.814557885349577</v>
      </c>
      <c r="AK56" s="17">
        <f t="shared" si="143"/>
        <v>11.745450222992353</v>
      </c>
      <c r="AL56" s="17">
        <f t="shared" si="143"/>
        <v>11.566038987140001</v>
      </c>
      <c r="AM56" s="17">
        <f t="shared" si="143"/>
        <v>11.626869307838483</v>
      </c>
      <c r="AO56" s="67">
        <f t="shared" si="106"/>
        <v>13.074469490044685</v>
      </c>
      <c r="AP56" s="68">
        <f t="shared" si="107"/>
        <v>60.193470981642115</v>
      </c>
      <c r="AQ56" s="68">
        <f t="shared" si="108"/>
        <v>73.267940471686799</v>
      </c>
      <c r="AS56" t="str">
        <f t="shared" si="135"/>
        <v>41 Administrative occupations</v>
      </c>
      <c r="AT56" s="17">
        <f t="shared" si="144"/>
        <v>9.8649228348073095</v>
      </c>
      <c r="AU56" s="17">
        <f t="shared" si="144"/>
        <v>9.6244339613578624</v>
      </c>
      <c r="AV56" s="17">
        <f t="shared" si="144"/>
        <v>9.9723590828168653</v>
      </c>
      <c r="AW56" s="17">
        <f t="shared" si="144"/>
        <v>9.16449083363303</v>
      </c>
      <c r="AX56" s="17">
        <f t="shared" si="144"/>
        <v>9.0527814507305688</v>
      </c>
      <c r="AZ56" s="67">
        <f t="shared" si="110"/>
        <v>10.539988238723682</v>
      </c>
      <c r="BA56" s="68">
        <f t="shared" si="111"/>
        <v>55.861458435572317</v>
      </c>
      <c r="BB56" s="68">
        <f t="shared" si="112"/>
        <v>66.401446674296011</v>
      </c>
      <c r="BD56" t="str">
        <f t="shared" si="136"/>
        <v>41 Administrative occupations</v>
      </c>
      <c r="BE56" s="17">
        <f t="shared" si="145"/>
        <v>8.7098610989532901</v>
      </c>
      <c r="BF56" s="17">
        <f t="shared" si="145"/>
        <v>7.910566674916061</v>
      </c>
      <c r="BG56" s="17">
        <f t="shared" si="145"/>
        <v>8.4675418548764725</v>
      </c>
      <c r="BH56" s="17">
        <f t="shared" si="145"/>
        <v>7.3738033471137161</v>
      </c>
      <c r="BI56" s="17">
        <f t="shared" si="145"/>
        <v>6.2098806572360203</v>
      </c>
      <c r="BK56" s="67">
        <f t="shared" si="114"/>
        <v>-16.673547764465841</v>
      </c>
      <c r="BL56" s="68">
        <f t="shared" si="115"/>
        <v>46.075786670803893</v>
      </c>
      <c r="BM56" s="68">
        <f t="shared" si="116"/>
        <v>29.402238906338045</v>
      </c>
      <c r="BO56" t="str">
        <f t="shared" si="137"/>
        <v>41 Administrative occupations</v>
      </c>
      <c r="BP56" s="17">
        <f t="shared" si="146"/>
        <v>10.255503640799187</v>
      </c>
      <c r="BQ56" s="17">
        <f t="shared" si="146"/>
        <v>9.8592317032075663</v>
      </c>
      <c r="BR56" s="17">
        <f t="shared" si="146"/>
        <v>9.7063714414428937</v>
      </c>
      <c r="BS56" s="17">
        <f t="shared" si="146"/>
        <v>8.5476735569547415</v>
      </c>
      <c r="BT56" s="17">
        <f t="shared" si="146"/>
        <v>6.7528517836881505</v>
      </c>
      <c r="BV56" s="67">
        <f t="shared" si="118"/>
        <v>-40.286188690165531</v>
      </c>
      <c r="BW56" s="68">
        <f t="shared" si="119"/>
        <v>34.533152938699338</v>
      </c>
      <c r="BX56" s="68">
        <f t="shared" si="120"/>
        <v>-5.7530357514661903</v>
      </c>
      <c r="BZ56" t="str">
        <f t="shared" si="138"/>
        <v>41 Administrative occupations</v>
      </c>
      <c r="CA56" s="17">
        <f t="shared" si="147"/>
        <v>8.3607623174192369</v>
      </c>
      <c r="CB56" s="17">
        <f t="shared" si="147"/>
        <v>7.8970051923855253</v>
      </c>
      <c r="CC56" s="17">
        <f t="shared" si="147"/>
        <v>7.6030754411291941</v>
      </c>
      <c r="CD56" s="17">
        <f t="shared" si="147"/>
        <v>6.0576523769199841</v>
      </c>
      <c r="CE56" s="17">
        <f t="shared" si="147"/>
        <v>3.5213282268199948</v>
      </c>
      <c r="CG56" s="67">
        <f t="shared" si="122"/>
        <v>-69.340415328661237</v>
      </c>
      <c r="CH56" s="68">
        <f t="shared" si="123"/>
        <v>22.990055652616149</v>
      </c>
      <c r="CI56" s="68">
        <f t="shared" si="124"/>
        <v>-46.350359676045088</v>
      </c>
      <c r="CK56" t="str">
        <f t="shared" si="139"/>
        <v>41 Administrative occupations</v>
      </c>
      <c r="CL56" s="17">
        <f t="shared" si="148"/>
        <v>5.6842294194834375</v>
      </c>
      <c r="CM56" s="17">
        <f t="shared" si="148"/>
        <v>5.6895915921248941</v>
      </c>
      <c r="CN56" s="17">
        <f t="shared" si="148"/>
        <v>6.0286485918325274</v>
      </c>
      <c r="CO56" s="17">
        <f t="shared" si="148"/>
        <v>5.6893378117751139</v>
      </c>
      <c r="CP56" s="17">
        <f t="shared" si="148"/>
        <v>6.6149553225935227</v>
      </c>
      <c r="CR56" s="67">
        <f t="shared" si="126"/>
        <v>-35.624887987247689</v>
      </c>
      <c r="CS56" s="68">
        <f t="shared" si="127"/>
        <v>22.034541020004671</v>
      </c>
      <c r="CT56" s="68">
        <f t="shared" si="128"/>
        <v>-13.59034696724302</v>
      </c>
    </row>
    <row r="57" spans="1:98" x14ac:dyDescent="0.3">
      <c r="A57" t="str">
        <f t="shared" si="95"/>
        <v>42 Secretarial and related occupations</v>
      </c>
      <c r="B57" s="17">
        <f t="shared" si="140"/>
        <v>0.31334081136826736</v>
      </c>
      <c r="C57" s="17">
        <f t="shared" si="140"/>
        <v>0.31377382010593347</v>
      </c>
      <c r="D57" s="17">
        <f t="shared" si="140"/>
        <v>0.29692957393813668</v>
      </c>
      <c r="E57" s="17">
        <f t="shared" si="140"/>
        <v>0.39142128126252285</v>
      </c>
      <c r="F57" s="17">
        <f t="shared" si="140"/>
        <v>0.53329148685587136</v>
      </c>
      <c r="H57" s="67">
        <f t="shared" si="129"/>
        <v>195.90118906429385</v>
      </c>
      <c r="I57" s="68">
        <f t="shared" si="130"/>
        <v>126.06981837481261</v>
      </c>
      <c r="J57" s="68">
        <f t="shared" si="131"/>
        <v>321.97100743910647</v>
      </c>
      <c r="L57" t="str">
        <f t="shared" si="132"/>
        <v>42 Secretarial and related occupations</v>
      </c>
      <c r="M57" s="17">
        <f t="shared" si="141"/>
        <v>0.97351926141974998</v>
      </c>
      <c r="N57" s="17">
        <f t="shared" si="141"/>
        <v>0.90161824236996946</v>
      </c>
      <c r="O57" s="17">
        <f t="shared" si="141"/>
        <v>0.92344351049482076</v>
      </c>
      <c r="P57" s="17">
        <f t="shared" si="141"/>
        <v>1.1544307406953296</v>
      </c>
      <c r="Q57" s="17">
        <f t="shared" si="141"/>
        <v>1.0739017207834107</v>
      </c>
      <c r="S57" s="67">
        <f t="shared" si="98"/>
        <v>94.686755685354228</v>
      </c>
      <c r="T57" s="68">
        <f t="shared" si="99"/>
        <v>93.338864902355297</v>
      </c>
      <c r="U57" s="68">
        <f t="shared" si="100"/>
        <v>188.02562058770954</v>
      </c>
      <c r="W57" t="str">
        <f t="shared" si="133"/>
        <v>42 Secretarial and related occupations</v>
      </c>
      <c r="X57" s="17">
        <f t="shared" si="142"/>
        <v>1.6167675105571946</v>
      </c>
      <c r="Y57" s="17">
        <f t="shared" si="142"/>
        <v>1.4806850719211011</v>
      </c>
      <c r="Z57" s="17">
        <f t="shared" si="142"/>
        <v>1.581352731898257</v>
      </c>
      <c r="AA57" s="17">
        <f t="shared" si="142"/>
        <v>2.0001188428270562</v>
      </c>
      <c r="AB57" s="17">
        <f t="shared" si="142"/>
        <v>2.064925726986012</v>
      </c>
      <c r="AD57" s="67">
        <f t="shared" si="102"/>
        <v>63.249144995665375</v>
      </c>
      <c r="AE57" s="68">
        <f t="shared" si="103"/>
        <v>86.321827458098113</v>
      </c>
      <c r="AF57" s="68">
        <f t="shared" si="104"/>
        <v>149.57097245376346</v>
      </c>
      <c r="AH57" t="str">
        <f t="shared" si="134"/>
        <v>42 Secretarial and related occupations</v>
      </c>
      <c r="AI57" s="17">
        <f t="shared" si="143"/>
        <v>2.7530765616386872</v>
      </c>
      <c r="AJ57" s="17">
        <f t="shared" si="143"/>
        <v>2.7646526074248912</v>
      </c>
      <c r="AK57" s="17">
        <f t="shared" si="143"/>
        <v>2.9896241851671914</v>
      </c>
      <c r="AL57" s="17">
        <f t="shared" si="143"/>
        <v>3.7802035680460184</v>
      </c>
      <c r="AM57" s="17">
        <f t="shared" si="143"/>
        <v>3.4941097414975504</v>
      </c>
      <c r="AO57" s="67">
        <f t="shared" si="106"/>
        <v>33.503108986631048</v>
      </c>
      <c r="AP57" s="68">
        <f t="shared" si="107"/>
        <v>75.808456980353782</v>
      </c>
      <c r="AQ57" s="68">
        <f t="shared" si="108"/>
        <v>109.31156596698483</v>
      </c>
      <c r="AS57" t="str">
        <f t="shared" si="135"/>
        <v>42 Secretarial and related occupations</v>
      </c>
      <c r="AT57" s="17">
        <f t="shared" si="144"/>
        <v>2.2213862320955786</v>
      </c>
      <c r="AU57" s="17">
        <f t="shared" si="144"/>
        <v>2.0504874432052294</v>
      </c>
      <c r="AV57" s="17">
        <f t="shared" si="144"/>
        <v>2.2522578868572629</v>
      </c>
      <c r="AW57" s="17">
        <f t="shared" si="144"/>
        <v>2.4773445679507349</v>
      </c>
      <c r="AX57" s="17">
        <f t="shared" si="144"/>
        <v>1.76033103663563</v>
      </c>
      <c r="AZ57" s="67">
        <f t="shared" si="110"/>
        <v>-4.8274915733090991</v>
      </c>
      <c r="BA57" s="68">
        <f t="shared" si="111"/>
        <v>61.232007473675132</v>
      </c>
      <c r="BB57" s="68">
        <f t="shared" si="112"/>
        <v>56.404515900366036</v>
      </c>
      <c r="BD57" t="str">
        <f t="shared" si="136"/>
        <v>42 Secretarial and related occupations</v>
      </c>
      <c r="BE57" s="17">
        <f t="shared" si="145"/>
        <v>2.3344471022175193</v>
      </c>
      <c r="BF57" s="17">
        <f t="shared" si="145"/>
        <v>1.929931520006158</v>
      </c>
      <c r="BG57" s="17">
        <f t="shared" si="145"/>
        <v>2.0809475226863765</v>
      </c>
      <c r="BH57" s="17">
        <f t="shared" si="145"/>
        <v>2.3847104827373684</v>
      </c>
      <c r="BI57" s="17">
        <f t="shared" si="145"/>
        <v>1.3844224747594911</v>
      </c>
      <c r="BK57" s="67">
        <f t="shared" si="114"/>
        <v>-24.409972690312443</v>
      </c>
      <c r="BL57" s="68">
        <f t="shared" si="115"/>
        <v>56.821693514829754</v>
      </c>
      <c r="BM57" s="68">
        <f t="shared" si="116"/>
        <v>32.411720824517317</v>
      </c>
      <c r="BO57" t="str">
        <f t="shared" si="137"/>
        <v>42 Secretarial and related occupations</v>
      </c>
      <c r="BP57" s="17">
        <f t="shared" si="146"/>
        <v>3.0774483334579266</v>
      </c>
      <c r="BQ57" s="17">
        <f t="shared" si="146"/>
        <v>2.7481257958854974</v>
      </c>
      <c r="BR57" s="17">
        <f t="shared" si="146"/>
        <v>2.4368308493728805</v>
      </c>
      <c r="BS57" s="17">
        <f t="shared" si="146"/>
        <v>2.1946460286077074</v>
      </c>
      <c r="BT57" s="17">
        <f t="shared" si="146"/>
        <v>0.63053097429598781</v>
      </c>
      <c r="BV57" s="67">
        <f t="shared" si="118"/>
        <v>-77.791178048344065</v>
      </c>
      <c r="BW57" s="68">
        <f t="shared" si="119"/>
        <v>30.694944007989751</v>
      </c>
      <c r="BX57" s="68">
        <f t="shared" si="120"/>
        <v>-47.096234040354318</v>
      </c>
      <c r="BZ57" t="str">
        <f t="shared" si="138"/>
        <v>42 Secretarial and related occupations</v>
      </c>
      <c r="CA57" s="17">
        <f t="shared" si="147"/>
        <v>3.6625262421846947</v>
      </c>
      <c r="CB57" s="17">
        <f t="shared" si="147"/>
        <v>3.6276930286166285</v>
      </c>
      <c r="CC57" s="17">
        <f t="shared" si="147"/>
        <v>3.3830913994613536</v>
      </c>
      <c r="CD57" s="17">
        <f t="shared" si="147"/>
        <v>2.23354660670672</v>
      </c>
      <c r="CE57" s="17">
        <f t="shared" si="147"/>
        <v>0.57874443742034742</v>
      </c>
      <c r="CG57" s="67">
        <f t="shared" si="122"/>
        <v>-88.675418596601602</v>
      </c>
      <c r="CH57" s="68">
        <f t="shared" si="123"/>
        <v>19.527936862408136</v>
      </c>
      <c r="CI57" s="68">
        <f t="shared" si="124"/>
        <v>-69.147481734193477</v>
      </c>
      <c r="CK57" t="str">
        <f t="shared" si="139"/>
        <v>42 Secretarial and related occupations</v>
      </c>
      <c r="CL57" s="17">
        <f t="shared" si="148"/>
        <v>2.3881078276354781</v>
      </c>
      <c r="CM57" s="17">
        <f t="shared" si="148"/>
        <v>2.7576904307137626</v>
      </c>
      <c r="CN57" s="17">
        <f t="shared" si="148"/>
        <v>2.8233038464945159</v>
      </c>
      <c r="CO57" s="17">
        <f t="shared" si="148"/>
        <v>3.6303540349913219</v>
      </c>
      <c r="CP57" s="17">
        <f t="shared" si="148"/>
        <v>5.7898833425509464</v>
      </c>
      <c r="CR57" s="67">
        <f t="shared" si="126"/>
        <v>20.315961409370122</v>
      </c>
      <c r="CS57" s="68">
        <f t="shared" si="127"/>
        <v>40.182684979108345</v>
      </c>
      <c r="CT57" s="68">
        <f t="shared" si="128"/>
        <v>60.498646388478463</v>
      </c>
    </row>
    <row r="58" spans="1:98" x14ac:dyDescent="0.3">
      <c r="A58" t="str">
        <f t="shared" si="95"/>
        <v>51 Skilled agricultural and related trades</v>
      </c>
      <c r="B58" s="17">
        <f t="shared" si="140"/>
        <v>0.21618985226069645</v>
      </c>
      <c r="C58" s="17">
        <f t="shared" si="140"/>
        <v>0.27908604013648597</v>
      </c>
      <c r="D58" s="17">
        <f t="shared" si="140"/>
        <v>0.2018281766657522</v>
      </c>
      <c r="E58" s="17">
        <f t="shared" si="140"/>
        <v>0.22061532153934607</v>
      </c>
      <c r="F58" s="17">
        <f t="shared" si="140"/>
        <v>0.26185511560490926</v>
      </c>
      <c r="H58" s="67">
        <f t="shared" si="129"/>
        <v>113.75426086581571</v>
      </c>
      <c r="I58" s="68">
        <f t="shared" si="130"/>
        <v>106.16079947191692</v>
      </c>
      <c r="J58" s="68">
        <f t="shared" si="131"/>
        <v>219.91506033773263</v>
      </c>
      <c r="L58" t="str">
        <f t="shared" si="132"/>
        <v>51 Skilled agricultural and related trades</v>
      </c>
      <c r="M58" s="17">
        <f t="shared" si="141"/>
        <v>0.19474274621916918</v>
      </c>
      <c r="N58" s="17">
        <f t="shared" si="141"/>
        <v>0.18762346492448634</v>
      </c>
      <c r="O58" s="17">
        <f t="shared" si="141"/>
        <v>0.1070268555370936</v>
      </c>
      <c r="P58" s="17">
        <f t="shared" si="141"/>
        <v>0.1108036097884796</v>
      </c>
      <c r="Q58" s="17">
        <f t="shared" si="141"/>
        <v>0.12142273933795189</v>
      </c>
      <c r="S58" s="67">
        <f t="shared" si="98"/>
        <v>89.928205023780706</v>
      </c>
      <c r="T58" s="68">
        <f t="shared" si="99"/>
        <v>86.168326763492203</v>
      </c>
      <c r="U58" s="68">
        <f t="shared" si="100"/>
        <v>176.09653178727288</v>
      </c>
      <c r="W58" t="str">
        <f t="shared" si="133"/>
        <v>51 Skilled agricultural and related trades</v>
      </c>
      <c r="X58" s="17">
        <f t="shared" si="142"/>
        <v>0.7888098297516587</v>
      </c>
      <c r="Y58" s="17">
        <f t="shared" si="142"/>
        <v>0.81337267913854994</v>
      </c>
      <c r="Z58" s="17">
        <f t="shared" si="142"/>
        <v>0.63749383874718946</v>
      </c>
      <c r="AA58" s="17">
        <f t="shared" si="142"/>
        <v>0.68474643086578335</v>
      </c>
      <c r="AB58" s="17">
        <f t="shared" si="142"/>
        <v>0.78823275573223128</v>
      </c>
      <c r="AD58" s="67">
        <f t="shared" si="102"/>
        <v>54.580148443505486</v>
      </c>
      <c r="AE58" s="68">
        <f t="shared" si="103"/>
        <v>84.742173509102543</v>
      </c>
      <c r="AF58" s="68">
        <f t="shared" si="104"/>
        <v>139.32232195260806</v>
      </c>
      <c r="AH58" t="str">
        <f t="shared" si="134"/>
        <v>51 Skilled agricultural and related trades</v>
      </c>
      <c r="AI58" s="17">
        <f t="shared" si="143"/>
        <v>1.1644327807521118</v>
      </c>
      <c r="AJ58" s="17">
        <f t="shared" si="143"/>
        <v>1.3968162212370048</v>
      </c>
      <c r="AK58" s="17">
        <f t="shared" si="143"/>
        <v>0.9289337471831064</v>
      </c>
      <c r="AL58" s="17">
        <f t="shared" si="143"/>
        <v>1.1207849424735719</v>
      </c>
      <c r="AM58" s="17">
        <f t="shared" si="143"/>
        <v>1.2625500965147447</v>
      </c>
      <c r="AO58" s="67">
        <f t="shared" si="106"/>
        <v>55.251325058862257</v>
      </c>
      <c r="AP58" s="68">
        <f t="shared" si="107"/>
        <v>90.937949006310276</v>
      </c>
      <c r="AQ58" s="68">
        <f t="shared" si="108"/>
        <v>146.18927406517255</v>
      </c>
      <c r="AS58" t="str">
        <f t="shared" si="135"/>
        <v>51 Skilled agricultural and related trades</v>
      </c>
      <c r="AT58" s="17">
        <f t="shared" si="144"/>
        <v>2.0882174917837428</v>
      </c>
      <c r="AU58" s="17">
        <f t="shared" si="144"/>
        <v>2.0819233193754916</v>
      </c>
      <c r="AV58" s="17">
        <f t="shared" si="144"/>
        <v>1.4112861356387074</v>
      </c>
      <c r="AW58" s="17">
        <f t="shared" si="144"/>
        <v>1.606277103120098</v>
      </c>
      <c r="AX58" s="17">
        <f t="shared" si="144"/>
        <v>1.8687360695573103</v>
      </c>
      <c r="AZ58" s="67">
        <f t="shared" si="110"/>
        <v>61.238288431805785</v>
      </c>
      <c r="BA58" s="68">
        <f t="shared" si="111"/>
        <v>83.484092957853306</v>
      </c>
      <c r="BB58" s="68">
        <f t="shared" si="112"/>
        <v>144.72238138965909</v>
      </c>
      <c r="BD58" t="str">
        <f t="shared" si="136"/>
        <v>51 Skilled agricultural and related trades</v>
      </c>
      <c r="BE58" s="17">
        <f t="shared" si="145"/>
        <v>0.97751241730187988</v>
      </c>
      <c r="BF58" s="17">
        <f t="shared" si="145"/>
        <v>1.0394512337204187</v>
      </c>
      <c r="BG58" s="17">
        <f t="shared" si="145"/>
        <v>0.58898859618740507</v>
      </c>
      <c r="BH58" s="17">
        <f t="shared" si="145"/>
        <v>0.59167111469044531</v>
      </c>
      <c r="BI58" s="17">
        <f t="shared" si="145"/>
        <v>0.62710354677372071</v>
      </c>
      <c r="BK58" s="67">
        <f t="shared" si="114"/>
        <v>20.973253366215701</v>
      </c>
      <c r="BL58" s="68">
        <f t="shared" si="115"/>
        <v>58.832362975128383</v>
      </c>
      <c r="BM58" s="68">
        <f t="shared" si="116"/>
        <v>79.805616341344091</v>
      </c>
      <c r="BO58" t="str">
        <f t="shared" si="137"/>
        <v>51 Skilled agricultural and related trades</v>
      </c>
      <c r="BP58" s="17">
        <f t="shared" si="146"/>
        <v>1.4755811540682537</v>
      </c>
      <c r="BQ58" s="17">
        <f t="shared" si="146"/>
        <v>1.561465874063291</v>
      </c>
      <c r="BR58" s="17">
        <f t="shared" si="146"/>
        <v>1.127264611680745</v>
      </c>
      <c r="BS58" s="17">
        <f t="shared" si="146"/>
        <v>1.1461046684575404</v>
      </c>
      <c r="BT58" s="17">
        <f t="shared" si="146"/>
        <v>1.3748896019596366</v>
      </c>
      <c r="BV58" s="67">
        <f t="shared" si="118"/>
        <v>4.6854766366408285</v>
      </c>
      <c r="BW58" s="68">
        <f t="shared" si="119"/>
        <v>54.915193940594811</v>
      </c>
      <c r="BX58" s="68">
        <f t="shared" si="120"/>
        <v>59.60067057723564</v>
      </c>
      <c r="BZ58" t="str">
        <f t="shared" si="138"/>
        <v>51 Skilled agricultural and related trades</v>
      </c>
      <c r="CA58" s="17">
        <f t="shared" si="147"/>
        <v>1.7605105679282005</v>
      </c>
      <c r="CB58" s="17">
        <f t="shared" si="147"/>
        <v>1.754718845803803</v>
      </c>
      <c r="CC58" s="17">
        <f t="shared" si="147"/>
        <v>1.3005060196146834</v>
      </c>
      <c r="CD58" s="17">
        <f t="shared" si="147"/>
        <v>1.3744834392340788</v>
      </c>
      <c r="CE58" s="17">
        <f t="shared" si="147"/>
        <v>2.4376460001753926</v>
      </c>
      <c r="CG58" s="67">
        <f t="shared" si="122"/>
        <v>24.081584061552036</v>
      </c>
      <c r="CH58" s="68">
        <f t="shared" si="123"/>
        <v>49.682484503156111</v>
      </c>
      <c r="CI58" s="68">
        <f t="shared" si="124"/>
        <v>73.764068564708154</v>
      </c>
      <c r="CK58" t="str">
        <f t="shared" si="139"/>
        <v>51 Skilled agricultural and related trades</v>
      </c>
      <c r="CL58" s="17">
        <f t="shared" si="148"/>
        <v>2.9580488976026946</v>
      </c>
      <c r="CM58" s="17">
        <f t="shared" si="148"/>
        <v>3.3796275148379027</v>
      </c>
      <c r="CN58" s="17">
        <f t="shared" si="148"/>
        <v>2.1047989428280562</v>
      </c>
      <c r="CO58" s="17">
        <f t="shared" si="148"/>
        <v>2.8004806733955965</v>
      </c>
      <c r="CP58" s="17">
        <f t="shared" si="148"/>
        <v>2.0827033834103315</v>
      </c>
      <c r="CR58" s="67">
        <f t="shared" si="126"/>
        <v>-41.946573575075128</v>
      </c>
      <c r="CS58" s="68">
        <f t="shared" si="127"/>
        <v>29.379962081181464</v>
      </c>
      <c r="CT58" s="68">
        <f t="shared" si="128"/>
        <v>-12.566611493893662</v>
      </c>
    </row>
    <row r="59" spans="1:98" x14ac:dyDescent="0.3">
      <c r="A59" t="str">
        <f t="shared" si="95"/>
        <v>52 Skilled metal, electrical and electronic trades</v>
      </c>
      <c r="B59" s="17">
        <f t="shared" si="140"/>
        <v>0.24192362460443345</v>
      </c>
      <c r="C59" s="17">
        <f t="shared" si="140"/>
        <v>0.19435067518946192</v>
      </c>
      <c r="D59" s="17">
        <f t="shared" si="140"/>
        <v>0.1813861998509802</v>
      </c>
      <c r="E59" s="17">
        <f t="shared" si="140"/>
        <v>0.18495767484204131</v>
      </c>
      <c r="F59" s="17">
        <f t="shared" si="140"/>
        <v>0.18148808103438152</v>
      </c>
      <c r="H59" s="67">
        <f t="shared" si="129"/>
        <v>64.846367278644962</v>
      </c>
      <c r="I59" s="68">
        <f t="shared" si="130"/>
        <v>62.367372781355833</v>
      </c>
      <c r="J59" s="68">
        <f t="shared" si="131"/>
        <v>127.21374006000079</v>
      </c>
      <c r="L59" t="str">
        <f t="shared" si="132"/>
        <v>52 Skilled metal, electrical and electronic trades</v>
      </c>
      <c r="M59" s="17">
        <f t="shared" si="141"/>
        <v>0.66038602029455973</v>
      </c>
      <c r="N59" s="17">
        <f t="shared" si="141"/>
        <v>0.58742327563522401</v>
      </c>
      <c r="O59" s="17">
        <f t="shared" si="141"/>
        <v>0.53055669363881641</v>
      </c>
      <c r="P59" s="17">
        <f t="shared" si="141"/>
        <v>0.65926650245315854</v>
      </c>
      <c r="Q59" s="17">
        <f t="shared" si="141"/>
        <v>0.7318568681517118</v>
      </c>
      <c r="S59" s="67">
        <f t="shared" si="98"/>
        <v>130.92798076564353</v>
      </c>
      <c r="T59" s="68">
        <f t="shared" si="99"/>
        <v>88.807494239627616</v>
      </c>
      <c r="U59" s="68">
        <f t="shared" si="100"/>
        <v>219.73547500527113</v>
      </c>
      <c r="W59" t="str">
        <f t="shared" si="133"/>
        <v>52 Skilled metal, electrical and electronic trades</v>
      </c>
      <c r="X59" s="17">
        <f t="shared" si="142"/>
        <v>1.0562714928173667</v>
      </c>
      <c r="Y59" s="17">
        <f t="shared" si="142"/>
        <v>0.98201252708861964</v>
      </c>
      <c r="Z59" s="17">
        <f t="shared" si="142"/>
        <v>0.80928817732068492</v>
      </c>
      <c r="AA59" s="17">
        <f t="shared" si="142"/>
        <v>0.97213200088985519</v>
      </c>
      <c r="AB59" s="17">
        <f t="shared" si="142"/>
        <v>1.0278263033596815</v>
      </c>
      <c r="AD59" s="67">
        <f t="shared" si="102"/>
        <v>58.7785256847854</v>
      </c>
      <c r="AE59" s="68">
        <f t="shared" si="103"/>
        <v>66.359838370433096</v>
      </c>
      <c r="AF59" s="68">
        <f t="shared" si="104"/>
        <v>125.1383640552185</v>
      </c>
      <c r="AH59" t="str">
        <f t="shared" si="134"/>
        <v>52 Skilled metal, electrical and electronic trades</v>
      </c>
      <c r="AI59" s="17">
        <f t="shared" si="143"/>
        <v>1.3711409320196761</v>
      </c>
      <c r="AJ59" s="17">
        <f t="shared" si="143"/>
        <v>1.3484230878611443</v>
      </c>
      <c r="AK59" s="17">
        <f t="shared" si="143"/>
        <v>1.1535095980968078</v>
      </c>
      <c r="AL59" s="17">
        <f t="shared" si="143"/>
        <v>1.2917783327679428</v>
      </c>
      <c r="AM59" s="17">
        <f t="shared" si="143"/>
        <v>1.4594044483449249</v>
      </c>
      <c r="AO59" s="67">
        <f t="shared" si="106"/>
        <v>44.519313487123888</v>
      </c>
      <c r="AP59" s="68">
        <f t="shared" si="107"/>
        <v>54.385410852856744</v>
      </c>
      <c r="AQ59" s="68">
        <f t="shared" si="108"/>
        <v>98.904724339980646</v>
      </c>
      <c r="AS59" t="str">
        <f t="shared" si="135"/>
        <v>52 Skilled metal, electrical and electronic trades</v>
      </c>
      <c r="AT59" s="17">
        <f t="shared" si="144"/>
        <v>5.5222076318156317</v>
      </c>
      <c r="AU59" s="17">
        <f t="shared" si="144"/>
        <v>5.0278207617040751</v>
      </c>
      <c r="AV59" s="17">
        <f t="shared" si="144"/>
        <v>4.3670395093982659</v>
      </c>
      <c r="AW59" s="17">
        <f t="shared" si="144"/>
        <v>4.673274472135045</v>
      </c>
      <c r="AX59" s="17">
        <f t="shared" si="144"/>
        <v>4.7911795564789692</v>
      </c>
      <c r="AZ59" s="67">
        <f t="shared" si="110"/>
        <v>33.595125459700547</v>
      </c>
      <c r="BA59" s="68">
        <f t="shared" si="111"/>
        <v>52.216877950895281</v>
      </c>
      <c r="BB59" s="68">
        <f t="shared" si="112"/>
        <v>85.812003410595821</v>
      </c>
      <c r="BD59" t="str">
        <f t="shared" si="136"/>
        <v>52 Skilled metal, electrical and electronic trades</v>
      </c>
      <c r="BE59" s="17">
        <f t="shared" si="145"/>
        <v>7.5234083907851703</v>
      </c>
      <c r="BF59" s="17">
        <f t="shared" si="145"/>
        <v>7.5003540554635704</v>
      </c>
      <c r="BG59" s="17">
        <f t="shared" si="145"/>
        <v>6.4321293407177347</v>
      </c>
      <c r="BH59" s="17">
        <f t="shared" si="145"/>
        <v>6.4281904382959612</v>
      </c>
      <c r="BI59" s="17">
        <f t="shared" si="145"/>
        <v>6.0525191722879468</v>
      </c>
      <c r="BK59" s="67">
        <f t="shared" si="114"/>
        <v>6.9149394880592601</v>
      </c>
      <c r="BL59" s="68">
        <f t="shared" si="115"/>
        <v>36.793992065804055</v>
      </c>
      <c r="BM59" s="68">
        <f t="shared" si="116"/>
        <v>43.708931553863309</v>
      </c>
      <c r="BO59" t="str">
        <f t="shared" si="137"/>
        <v>52 Skilled metal, electrical and electronic trades</v>
      </c>
      <c r="BP59" s="17">
        <f t="shared" si="146"/>
        <v>4.5653238181285696</v>
      </c>
      <c r="BQ59" s="17">
        <f t="shared" si="146"/>
        <v>4.1253222100246045</v>
      </c>
      <c r="BR59" s="17">
        <f t="shared" si="146"/>
        <v>4.2475344646732562</v>
      </c>
      <c r="BS59" s="17">
        <f t="shared" si="146"/>
        <v>3.8415318601902269</v>
      </c>
      <c r="BT59" s="17">
        <f t="shared" si="146"/>
        <v>3.8544400153596232</v>
      </c>
      <c r="BV59" s="67">
        <f t="shared" si="118"/>
        <v>-22.112303388883532</v>
      </c>
      <c r="BW59" s="68">
        <f t="shared" si="119"/>
        <v>32.417197286459619</v>
      </c>
      <c r="BX59" s="68">
        <f t="shared" si="120"/>
        <v>10.304893897576086</v>
      </c>
      <c r="BZ59" t="str">
        <f t="shared" si="138"/>
        <v>52 Skilled metal, electrical and electronic trades</v>
      </c>
      <c r="CA59" s="17">
        <f t="shared" si="147"/>
        <v>3.5244049377535696</v>
      </c>
      <c r="CB59" s="17">
        <f t="shared" si="147"/>
        <v>3.1851855671678684</v>
      </c>
      <c r="CC59" s="17">
        <f t="shared" si="147"/>
        <v>3.0086574041142282</v>
      </c>
      <c r="CD59" s="17">
        <f t="shared" si="147"/>
        <v>3.107765816136741</v>
      </c>
      <c r="CE59" s="17">
        <f t="shared" si="147"/>
        <v>2.5678997993948518</v>
      </c>
      <c r="CG59" s="67">
        <f t="shared" si="122"/>
        <v>-43.499226277863784</v>
      </c>
      <c r="CH59" s="68">
        <f t="shared" si="123"/>
        <v>31.65333778445175</v>
      </c>
      <c r="CI59" s="68">
        <f t="shared" si="124"/>
        <v>-11.845888493412032</v>
      </c>
      <c r="CK59" t="str">
        <f t="shared" si="139"/>
        <v>52 Skilled metal, electrical and electronic trades</v>
      </c>
      <c r="CL59" s="17">
        <f t="shared" si="148"/>
        <v>3.3086947838665814</v>
      </c>
      <c r="CM59" s="17">
        <f t="shared" si="148"/>
        <v>3.6424686248784477</v>
      </c>
      <c r="CN59" s="17">
        <f t="shared" si="148"/>
        <v>3.3751467636339525</v>
      </c>
      <c r="CO59" s="17">
        <f t="shared" si="148"/>
        <v>4.057546404224575</v>
      </c>
      <c r="CP59" s="17">
        <f t="shared" si="148"/>
        <v>4.6226564001937165</v>
      </c>
      <c r="CR59" s="67">
        <f t="shared" si="126"/>
        <v>-19.645536910492183</v>
      </c>
      <c r="CS59" s="68">
        <f t="shared" si="127"/>
        <v>30.982626560845571</v>
      </c>
      <c r="CT59" s="68">
        <f t="shared" si="128"/>
        <v>11.337089650353386</v>
      </c>
    </row>
    <row r="60" spans="1:98" x14ac:dyDescent="0.3">
      <c r="A60" t="str">
        <f t="shared" si="95"/>
        <v>53 Skilled construction and building trades</v>
      </c>
      <c r="B60" s="17">
        <f t="shared" si="140"/>
        <v>0.15302964984937698</v>
      </c>
      <c r="C60" s="17">
        <f t="shared" si="140"/>
        <v>8.047916602455317E-2</v>
      </c>
      <c r="D60" s="17">
        <f t="shared" si="140"/>
        <v>5.9300827957813128E-2</v>
      </c>
      <c r="E60" s="17">
        <f t="shared" si="140"/>
        <v>8.7012006315358825E-2</v>
      </c>
      <c r="F60" s="17">
        <f t="shared" si="140"/>
        <v>6.9790642591763208E-2</v>
      </c>
      <c r="H60" s="67">
        <f t="shared" si="129"/>
        <v>93.897386162810619</v>
      </c>
      <c r="I60" s="68">
        <f t="shared" si="130"/>
        <v>84.450150218863769</v>
      </c>
      <c r="J60" s="68">
        <f t="shared" si="131"/>
        <v>178.34753638167439</v>
      </c>
      <c r="L60" t="str">
        <f t="shared" si="132"/>
        <v>53 Skilled construction and building trades</v>
      </c>
      <c r="M60" s="17">
        <f t="shared" si="141"/>
        <v>0.33188140575555358</v>
      </c>
      <c r="N60" s="17">
        <f t="shared" si="141"/>
        <v>0.24773611022581932</v>
      </c>
      <c r="O60" s="17">
        <f t="shared" si="141"/>
        <v>0.24301829474713721</v>
      </c>
      <c r="P60" s="17">
        <f t="shared" si="141"/>
        <v>0.27130835980790302</v>
      </c>
      <c r="Q60" s="17">
        <f t="shared" si="141"/>
        <v>0.23857845891098356</v>
      </c>
      <c r="S60" s="67">
        <f t="shared" si="98"/>
        <v>64.351799350918398</v>
      </c>
      <c r="T60" s="68">
        <f t="shared" si="99"/>
        <v>72.793336380793107</v>
      </c>
      <c r="U60" s="68">
        <f t="shared" si="100"/>
        <v>137.14513573171152</v>
      </c>
      <c r="W60" t="str">
        <f t="shared" si="133"/>
        <v>53 Skilled construction and building trades</v>
      </c>
      <c r="X60" s="17">
        <f t="shared" si="142"/>
        <v>0.64038484410575669</v>
      </c>
      <c r="Y60" s="17">
        <f t="shared" si="142"/>
        <v>0.48311071729866412</v>
      </c>
      <c r="Z60" s="17">
        <f t="shared" si="142"/>
        <v>0.44449130551767502</v>
      </c>
      <c r="AA60" s="17">
        <f t="shared" si="142"/>
        <v>0.56250584136369353</v>
      </c>
      <c r="AB60" s="17">
        <f t="shared" si="142"/>
        <v>0.53881015213179062</v>
      </c>
      <c r="AD60" s="67">
        <f t="shared" si="102"/>
        <v>51.547135893611674</v>
      </c>
      <c r="AE60" s="68">
        <f t="shared" si="103"/>
        <v>69.943842711199196</v>
      </c>
      <c r="AF60" s="68">
        <f t="shared" si="104"/>
        <v>121.49097860481089</v>
      </c>
      <c r="AH60" t="str">
        <f t="shared" si="134"/>
        <v>53 Skilled construction and building trades</v>
      </c>
      <c r="AI60" s="17">
        <f t="shared" si="143"/>
        <v>1.2177163879523005</v>
      </c>
      <c r="AJ60" s="17">
        <f t="shared" si="143"/>
        <v>1.1559011280810536</v>
      </c>
      <c r="AK60" s="17">
        <f t="shared" si="143"/>
        <v>1.1309018959195885</v>
      </c>
      <c r="AL60" s="17">
        <f t="shared" si="143"/>
        <v>1.4580871590204374</v>
      </c>
      <c r="AM60" s="17">
        <f t="shared" si="143"/>
        <v>1.4549186349675109</v>
      </c>
      <c r="AO60" s="67">
        <f t="shared" si="106"/>
        <v>46.955285571099211</v>
      </c>
      <c r="AP60" s="68">
        <f t="shared" si="107"/>
        <v>72.494073735640512</v>
      </c>
      <c r="AQ60" s="68">
        <f t="shared" si="108"/>
        <v>119.44935930673972</v>
      </c>
      <c r="AS60" t="str">
        <f t="shared" si="135"/>
        <v>53 Skilled construction and building trades</v>
      </c>
      <c r="AT60" s="17">
        <f t="shared" si="144"/>
        <v>1.9499858709388755</v>
      </c>
      <c r="AU60" s="17">
        <f t="shared" si="144"/>
        <v>1.5746327731860374</v>
      </c>
      <c r="AV60" s="17">
        <f t="shared" si="144"/>
        <v>1.5886922027054502</v>
      </c>
      <c r="AW60" s="17">
        <f t="shared" si="144"/>
        <v>2.0680270326073478</v>
      </c>
      <c r="AX60" s="17">
        <f t="shared" si="144"/>
        <v>1.9280491646923053</v>
      </c>
      <c r="AZ60" s="67">
        <f t="shared" si="110"/>
        <v>47.779307225925926</v>
      </c>
      <c r="BA60" s="68">
        <f t="shared" si="111"/>
        <v>73.459877263880784</v>
      </c>
      <c r="BB60" s="68">
        <f t="shared" si="112"/>
        <v>121.2391844898067</v>
      </c>
      <c r="BD60" t="str">
        <f t="shared" si="136"/>
        <v>53 Skilled construction and building trades</v>
      </c>
      <c r="BE60" s="17">
        <f t="shared" si="145"/>
        <v>5.0450827898520751</v>
      </c>
      <c r="BF60" s="17">
        <f t="shared" si="145"/>
        <v>4.4118511982256914</v>
      </c>
      <c r="BG60" s="17">
        <f t="shared" si="145"/>
        <v>4.1782397704618841</v>
      </c>
      <c r="BH60" s="17">
        <f t="shared" si="145"/>
        <v>4.2887991977809925</v>
      </c>
      <c r="BI60" s="17">
        <f t="shared" si="145"/>
        <v>3.5577843343959978</v>
      </c>
      <c r="BK60" s="67">
        <f t="shared" si="114"/>
        <v>-3.2517207507749188</v>
      </c>
      <c r="BL60" s="68">
        <f t="shared" si="115"/>
        <v>39.001141409214398</v>
      </c>
      <c r="BM60" s="68">
        <f t="shared" si="116"/>
        <v>35.749420658439476</v>
      </c>
      <c r="BO60" t="str">
        <f t="shared" si="137"/>
        <v>53 Skilled construction and building trades</v>
      </c>
      <c r="BP60" s="17">
        <f t="shared" si="146"/>
        <v>4.4290054247399242</v>
      </c>
      <c r="BQ60" s="17">
        <f t="shared" si="146"/>
        <v>3.9550772381963513</v>
      </c>
      <c r="BR60" s="17">
        <f t="shared" si="146"/>
        <v>4.5163844862753422</v>
      </c>
      <c r="BS60" s="17">
        <f t="shared" si="146"/>
        <v>4.7172357753864445</v>
      </c>
      <c r="BT60" s="17">
        <f t="shared" si="146"/>
        <v>5.2132657889881298</v>
      </c>
      <c r="BV60" s="67">
        <f t="shared" si="118"/>
        <v>-0.92514602532396373</v>
      </c>
      <c r="BW60" s="68">
        <f t="shared" si="119"/>
        <v>45.457154488924395</v>
      </c>
      <c r="BX60" s="68">
        <f t="shared" si="120"/>
        <v>44.532008463600434</v>
      </c>
      <c r="BZ60" t="str">
        <f t="shared" si="138"/>
        <v>53 Skilled construction and building trades</v>
      </c>
      <c r="CA60" s="17">
        <f t="shared" si="147"/>
        <v>3.5863168171902089</v>
      </c>
      <c r="CB60" s="17">
        <f t="shared" si="147"/>
        <v>2.9751096407088835</v>
      </c>
      <c r="CC60" s="17">
        <f t="shared" si="147"/>
        <v>3.2819648299350801</v>
      </c>
      <c r="CD60" s="17">
        <f t="shared" si="147"/>
        <v>3.6886722054948606</v>
      </c>
      <c r="CE60" s="17">
        <f t="shared" si="147"/>
        <v>4.5877421580543514</v>
      </c>
      <c r="CG60" s="67">
        <f t="shared" si="122"/>
        <v>-7.4632722799506173</v>
      </c>
      <c r="CH60" s="68">
        <f t="shared" si="123"/>
        <v>41.035942329959866</v>
      </c>
      <c r="CI60" s="68">
        <f t="shared" si="124"/>
        <v>33.572670050009251</v>
      </c>
      <c r="CK60" t="str">
        <f t="shared" si="139"/>
        <v>53 Skilled construction and building trades</v>
      </c>
      <c r="CL60" s="17">
        <f t="shared" si="148"/>
        <v>4.997180534992955</v>
      </c>
      <c r="CM60" s="17">
        <f t="shared" si="148"/>
        <v>4.459686122904519</v>
      </c>
      <c r="CN60" s="17">
        <f t="shared" si="148"/>
        <v>4.575056967311216</v>
      </c>
      <c r="CO60" s="17">
        <f t="shared" si="148"/>
        <v>4.1945512262906961</v>
      </c>
      <c r="CP60" s="17">
        <f t="shared" si="148"/>
        <v>1.3143248302546475</v>
      </c>
      <c r="CR60" s="67">
        <f t="shared" si="126"/>
        <v>-83.145446240433444</v>
      </c>
      <c r="CS60" s="68">
        <f t="shared" si="127"/>
        <v>14.715638924664001</v>
      </c>
      <c r="CT60" s="68">
        <f t="shared" si="128"/>
        <v>-68.429807315769438</v>
      </c>
    </row>
    <row r="61" spans="1:98" x14ac:dyDescent="0.3">
      <c r="A61" t="str">
        <f t="shared" si="95"/>
        <v>54 Textiles, printing and other skilled trades</v>
      </c>
      <c r="B61" s="17">
        <f t="shared" si="140"/>
        <v>0.53555096334515273</v>
      </c>
      <c r="C61" s="17">
        <f t="shared" si="140"/>
        <v>0.42746839839134926</v>
      </c>
      <c r="D61" s="17">
        <f t="shared" si="140"/>
        <v>0.43522537605038453</v>
      </c>
      <c r="E61" s="17">
        <f t="shared" si="140"/>
        <v>0.48517018682058455</v>
      </c>
      <c r="F61" s="17">
        <f t="shared" si="140"/>
        <v>0.53841356373889337</v>
      </c>
      <c r="H61" s="67">
        <f t="shared" si="129"/>
        <v>103.81554167719914</v>
      </c>
      <c r="I61" s="68">
        <f t="shared" si="130"/>
        <v>83.832264994505607</v>
      </c>
      <c r="J61" s="68">
        <f t="shared" si="131"/>
        <v>187.64780667170473</v>
      </c>
      <c r="L61" t="str">
        <f t="shared" si="132"/>
        <v>54 Textiles, printing and other skilled trades</v>
      </c>
      <c r="M61" s="17">
        <f t="shared" si="141"/>
        <v>0.70169346553458434</v>
      </c>
      <c r="N61" s="17">
        <f t="shared" si="141"/>
        <v>0.61532579989456848</v>
      </c>
      <c r="O61" s="17">
        <f t="shared" si="141"/>
        <v>0.6055053034407234</v>
      </c>
      <c r="P61" s="17">
        <f t="shared" si="141"/>
        <v>0.64381484093372499</v>
      </c>
      <c r="Q61" s="17">
        <f t="shared" si="141"/>
        <v>0.72772449508516379</v>
      </c>
      <c r="S61" s="67">
        <f t="shared" si="98"/>
        <v>101.20151448875932</v>
      </c>
      <c r="T61" s="68">
        <f t="shared" si="99"/>
        <v>88.858920415910319</v>
      </c>
      <c r="U61" s="68">
        <f t="shared" si="100"/>
        <v>190.06043490466965</v>
      </c>
      <c r="W61" t="str">
        <f t="shared" si="133"/>
        <v>54 Textiles, printing and other skilled trades</v>
      </c>
      <c r="X61" s="17">
        <f t="shared" si="142"/>
        <v>0.98873805153837502</v>
      </c>
      <c r="Y61" s="17">
        <f t="shared" si="142"/>
        <v>0.84017412890999188</v>
      </c>
      <c r="Z61" s="17">
        <f t="shared" si="142"/>
        <v>0.81507632589767476</v>
      </c>
      <c r="AA61" s="17">
        <f t="shared" si="142"/>
        <v>0.92211857967429722</v>
      </c>
      <c r="AB61" s="17">
        <f t="shared" si="142"/>
        <v>1.033261065549461</v>
      </c>
      <c r="AD61" s="67">
        <f t="shared" si="102"/>
        <v>58.48458217600686</v>
      </c>
      <c r="AE61" s="68">
        <f t="shared" si="103"/>
        <v>73.186713785074957</v>
      </c>
      <c r="AF61" s="68">
        <f t="shared" si="104"/>
        <v>131.6712959610818</v>
      </c>
      <c r="AH61" t="str">
        <f t="shared" si="134"/>
        <v>54 Textiles, printing and other skilled trades</v>
      </c>
      <c r="AI61" s="17">
        <f t="shared" si="143"/>
        <v>1.2313838337864811</v>
      </c>
      <c r="AJ61" s="17">
        <f t="shared" si="143"/>
        <v>1.1605486509601044</v>
      </c>
      <c r="AK61" s="17">
        <f t="shared" si="143"/>
        <v>1.2470879404809483</v>
      </c>
      <c r="AL61" s="17">
        <f t="shared" si="143"/>
        <v>1.3174903869502981</v>
      </c>
      <c r="AM61" s="17">
        <f t="shared" si="143"/>
        <v>1.4690687384381265</v>
      </c>
      <c r="AO61" s="67">
        <f t="shared" si="106"/>
        <v>34.560153627873952</v>
      </c>
      <c r="AP61" s="68">
        <f t="shared" si="107"/>
        <v>63.952141256692762</v>
      </c>
      <c r="AQ61" s="68">
        <f t="shared" si="108"/>
        <v>98.512294884566714</v>
      </c>
      <c r="AS61" t="str">
        <f t="shared" si="135"/>
        <v>54 Textiles, printing and other skilled trades</v>
      </c>
      <c r="AT61" s="17">
        <f t="shared" si="144"/>
        <v>1.5476910250898694</v>
      </c>
      <c r="AU61" s="17">
        <f t="shared" si="144"/>
        <v>1.3895937964143592</v>
      </c>
      <c r="AV61" s="17">
        <f t="shared" si="144"/>
        <v>1.3477562142335158</v>
      </c>
      <c r="AW61" s="17">
        <f t="shared" si="144"/>
        <v>1.4408043338890957</v>
      </c>
      <c r="AX61" s="17">
        <f t="shared" si="144"/>
        <v>1.507116452645699</v>
      </c>
      <c r="AZ61" s="67">
        <f t="shared" si="110"/>
        <v>36.166650376111811</v>
      </c>
      <c r="BA61" s="68">
        <f t="shared" si="111"/>
        <v>63.28803046047895</v>
      </c>
      <c r="BB61" s="68">
        <f t="shared" si="112"/>
        <v>99.454680836590768</v>
      </c>
      <c r="BD61" t="str">
        <f t="shared" si="136"/>
        <v>54 Textiles, printing and other skilled trades</v>
      </c>
      <c r="BE61" s="17">
        <f t="shared" si="145"/>
        <v>2.7360062122523297</v>
      </c>
      <c r="BF61" s="17">
        <f t="shared" si="145"/>
        <v>2.4349002761113683</v>
      </c>
      <c r="BG61" s="17">
        <f t="shared" si="145"/>
        <v>2.3723762695708746</v>
      </c>
      <c r="BH61" s="17">
        <f t="shared" si="145"/>
        <v>2.5213303716760267</v>
      </c>
      <c r="BI61" s="17">
        <f t="shared" si="145"/>
        <v>2.64047160587356</v>
      </c>
      <c r="BK61" s="67">
        <f t="shared" si="114"/>
        <v>26.460507399900496</v>
      </c>
      <c r="BL61" s="68">
        <f t="shared" si="115"/>
        <v>49.950431861021961</v>
      </c>
      <c r="BM61" s="68">
        <f t="shared" si="116"/>
        <v>76.410939260922461</v>
      </c>
      <c r="BO61" t="str">
        <f t="shared" si="137"/>
        <v>54 Textiles, printing and other skilled trades</v>
      </c>
      <c r="BP61" s="17">
        <f t="shared" si="146"/>
        <v>2.8443238710474721</v>
      </c>
      <c r="BQ61" s="17">
        <f t="shared" si="146"/>
        <v>2.2992663304053149</v>
      </c>
      <c r="BR61" s="17">
        <f t="shared" si="146"/>
        <v>2.4378335984808075</v>
      </c>
      <c r="BS61" s="17">
        <f t="shared" si="146"/>
        <v>2.2476325401480217</v>
      </c>
      <c r="BT61" s="17">
        <f t="shared" si="146"/>
        <v>2.2126136645599757</v>
      </c>
      <c r="BV61" s="67">
        <f t="shared" si="118"/>
        <v>-22.098465485899442</v>
      </c>
      <c r="BW61" s="68">
        <f t="shared" si="119"/>
        <v>34.692319302530514</v>
      </c>
      <c r="BX61" s="68">
        <f t="shared" si="120"/>
        <v>12.593853816631077</v>
      </c>
      <c r="BZ61" t="str">
        <f t="shared" si="138"/>
        <v>54 Textiles, printing and other skilled trades</v>
      </c>
      <c r="CA61" s="17">
        <f t="shared" si="147"/>
        <v>3.5800511395308607</v>
      </c>
      <c r="CB61" s="17">
        <f t="shared" si="147"/>
        <v>3.1088316420087208</v>
      </c>
      <c r="CC61" s="17">
        <f t="shared" si="147"/>
        <v>3.301271821445797</v>
      </c>
      <c r="CD61" s="17">
        <f t="shared" si="147"/>
        <v>3.4511128202468808</v>
      </c>
      <c r="CE61" s="17">
        <f t="shared" si="147"/>
        <v>4.0599333919656688</v>
      </c>
      <c r="CG61" s="67">
        <f t="shared" si="122"/>
        <v>-18.588326393848291</v>
      </c>
      <c r="CH61" s="68">
        <f t="shared" si="123"/>
        <v>34.505639689812327</v>
      </c>
      <c r="CI61" s="68">
        <f t="shared" si="124"/>
        <v>15.917313295964036</v>
      </c>
      <c r="CK61" t="str">
        <f t="shared" si="139"/>
        <v>54 Textiles, printing and other skilled trades</v>
      </c>
      <c r="CL61" s="17">
        <f t="shared" si="148"/>
        <v>4.074168977541933</v>
      </c>
      <c r="CM61" s="17">
        <f t="shared" si="148"/>
        <v>3.5898296591250372</v>
      </c>
      <c r="CN61" s="17">
        <f t="shared" si="148"/>
        <v>3.8926541530791399</v>
      </c>
      <c r="CO61" s="17">
        <f t="shared" si="148"/>
        <v>3.2436778618338562</v>
      </c>
      <c r="CP61" s="17">
        <f t="shared" si="148"/>
        <v>3.226606366751871</v>
      </c>
      <c r="CR61" s="67">
        <f t="shared" si="126"/>
        <v>-51.369221894185365</v>
      </c>
      <c r="CS61" s="68">
        <f t="shared" si="127"/>
        <v>17.990689641885034</v>
      </c>
      <c r="CT61" s="68">
        <f t="shared" si="128"/>
        <v>-33.378532252300339</v>
      </c>
    </row>
    <row r="62" spans="1:98" x14ac:dyDescent="0.3">
      <c r="A62" t="str">
        <f t="shared" si="95"/>
        <v>61 Caring personal service occupations</v>
      </c>
      <c r="B62" s="17">
        <f t="shared" si="140"/>
        <v>0.35642342678538663</v>
      </c>
      <c r="C62" s="17">
        <f t="shared" si="140"/>
        <v>0.34793985228177704</v>
      </c>
      <c r="D62" s="17">
        <f t="shared" si="140"/>
        <v>0.32975427428823262</v>
      </c>
      <c r="E62" s="17">
        <f t="shared" si="140"/>
        <v>0.39610664078591684</v>
      </c>
      <c r="F62" s="17">
        <f t="shared" si="140"/>
        <v>0.45248871114502492</v>
      </c>
      <c r="H62" s="67">
        <f t="shared" si="129"/>
        <v>126.07515105430195</v>
      </c>
      <c r="I62" s="68">
        <f t="shared" si="130"/>
        <v>97.306494238561228</v>
      </c>
      <c r="J62" s="68">
        <f t="shared" si="131"/>
        <v>223.38164529286314</v>
      </c>
      <c r="L62" t="str">
        <f t="shared" si="132"/>
        <v>61 Caring personal service occupations</v>
      </c>
      <c r="M62" s="17">
        <f t="shared" si="141"/>
        <v>2.550811546421901</v>
      </c>
      <c r="N62" s="17">
        <f t="shared" si="141"/>
        <v>2.9133243098062147</v>
      </c>
      <c r="O62" s="17">
        <f t="shared" si="141"/>
        <v>2.6529235730646037</v>
      </c>
      <c r="P62" s="17">
        <f t="shared" si="141"/>
        <v>3.0465887702321259</v>
      </c>
      <c r="Q62" s="17">
        <f t="shared" si="141"/>
        <v>3.4731460026055512</v>
      </c>
      <c r="S62" s="67">
        <f t="shared" si="98"/>
        <v>119.16969585284689</v>
      </c>
      <c r="T62" s="68">
        <f t="shared" si="99"/>
        <v>97.995357240750209</v>
      </c>
      <c r="U62" s="68">
        <f t="shared" si="100"/>
        <v>217.16505309359709</v>
      </c>
      <c r="W62" t="str">
        <f t="shared" si="133"/>
        <v>61 Caring personal service occupations</v>
      </c>
      <c r="X62" s="17">
        <f t="shared" si="142"/>
        <v>4.0322973756801908</v>
      </c>
      <c r="Y62" s="17">
        <f t="shared" si="142"/>
        <v>4.4755908887957485</v>
      </c>
      <c r="Z62" s="17">
        <f t="shared" si="142"/>
        <v>4.4627344456268165</v>
      </c>
      <c r="AA62" s="17">
        <f t="shared" si="142"/>
        <v>4.8407934946994535</v>
      </c>
      <c r="AB62" s="17">
        <f t="shared" si="142"/>
        <v>5.315041624681772</v>
      </c>
      <c r="AD62" s="67">
        <f t="shared" si="102"/>
        <v>48.895255195333995</v>
      </c>
      <c r="AE62" s="68">
        <f t="shared" si="103"/>
        <v>80.017596369861735</v>
      </c>
      <c r="AF62" s="68">
        <f t="shared" si="104"/>
        <v>128.91285156519572</v>
      </c>
      <c r="AH62" t="str">
        <f t="shared" si="134"/>
        <v>61 Caring personal service occupations</v>
      </c>
      <c r="AI62" s="17">
        <f t="shared" si="143"/>
        <v>12.610047002480613</v>
      </c>
      <c r="AJ62" s="17">
        <f t="shared" si="143"/>
        <v>13.666580089247621</v>
      </c>
      <c r="AK62" s="17">
        <f t="shared" si="143"/>
        <v>13.727380680491772</v>
      </c>
      <c r="AL62" s="17">
        <f t="shared" si="143"/>
        <v>13.980782066199451</v>
      </c>
      <c r="AM62" s="17">
        <f t="shared" si="143"/>
        <v>13.651500229939986</v>
      </c>
      <c r="AO62" s="67">
        <f t="shared" si="106"/>
        <v>13.596287969225582</v>
      </c>
      <c r="AP62" s="68">
        <f t="shared" si="107"/>
        <v>61.244788873880019</v>
      </c>
      <c r="AQ62" s="68">
        <f t="shared" si="108"/>
        <v>74.841076843105597</v>
      </c>
      <c r="AS62" t="str">
        <f t="shared" si="135"/>
        <v>61 Caring personal service occupations</v>
      </c>
      <c r="AT62" s="17">
        <f t="shared" si="144"/>
        <v>6.8256344396216679</v>
      </c>
      <c r="AU62" s="17">
        <f t="shared" si="144"/>
        <v>7.6950952490005164</v>
      </c>
      <c r="AV62" s="17">
        <f t="shared" si="144"/>
        <v>7.7257408712656499</v>
      </c>
      <c r="AW62" s="17">
        <f t="shared" si="144"/>
        <v>7.7057191384702683</v>
      </c>
      <c r="AX62" s="17">
        <f t="shared" si="144"/>
        <v>7.8051830096571058</v>
      </c>
      <c r="AZ62" s="67">
        <f t="shared" si="110"/>
        <v>23.020712880896685</v>
      </c>
      <c r="BA62" s="68">
        <f t="shared" si="111"/>
        <v>65.148769583722725</v>
      </c>
      <c r="BB62" s="68">
        <f t="shared" si="112"/>
        <v>88.169482464619406</v>
      </c>
      <c r="BD62" t="str">
        <f t="shared" si="136"/>
        <v>61 Caring personal service occupations</v>
      </c>
      <c r="BE62" s="17">
        <f t="shared" si="145"/>
        <v>11.37342911933667</v>
      </c>
      <c r="BF62" s="17">
        <f t="shared" si="145"/>
        <v>12.467508562976912</v>
      </c>
      <c r="BG62" s="17">
        <f t="shared" si="145"/>
        <v>12.711239593624477</v>
      </c>
      <c r="BH62" s="17">
        <f t="shared" si="145"/>
        <v>13.542956407699341</v>
      </c>
      <c r="BI62" s="17">
        <f t="shared" si="145"/>
        <v>15.087674914332133</v>
      </c>
      <c r="BK62" s="67">
        <f t="shared" si="114"/>
        <v>34.862561058411124</v>
      </c>
      <c r="BL62" s="68">
        <f t="shared" si="115"/>
        <v>72.237613760627909</v>
      </c>
      <c r="BM62" s="68">
        <f t="shared" si="116"/>
        <v>107.10017481903901</v>
      </c>
      <c r="BO62" t="str">
        <f t="shared" si="137"/>
        <v>61 Caring personal service occupations</v>
      </c>
      <c r="BP62" s="17">
        <f t="shared" si="146"/>
        <v>9.1031667034014774</v>
      </c>
      <c r="BQ62" s="17">
        <f t="shared" si="146"/>
        <v>9.9726665678539046</v>
      </c>
      <c r="BR62" s="17">
        <f t="shared" si="146"/>
        <v>8.8199703252163051</v>
      </c>
      <c r="BS62" s="17">
        <f t="shared" si="146"/>
        <v>9.5819486570961061</v>
      </c>
      <c r="BT62" s="17">
        <f t="shared" si="146"/>
        <v>9.7960185157566624</v>
      </c>
      <c r="BV62" s="67">
        <f t="shared" si="118"/>
        <v>-4.6705792772246983</v>
      </c>
      <c r="BW62" s="68">
        <f t="shared" si="119"/>
        <v>50.858130563456548</v>
      </c>
      <c r="BX62" s="68">
        <f t="shared" si="120"/>
        <v>46.187551286231852</v>
      </c>
      <c r="BZ62" t="str">
        <f t="shared" si="138"/>
        <v>61 Caring personal service occupations</v>
      </c>
      <c r="CA62" s="17">
        <f t="shared" si="147"/>
        <v>4.0179871902887498</v>
      </c>
      <c r="CB62" s="17">
        <f t="shared" si="147"/>
        <v>2.7766413140051895</v>
      </c>
      <c r="CC62" s="17">
        <f t="shared" si="147"/>
        <v>2.4570518991549282</v>
      </c>
      <c r="CD62" s="17">
        <f t="shared" si="147"/>
        <v>1.9421763787293287</v>
      </c>
      <c r="CE62" s="17">
        <f t="shared" si="147"/>
        <v>2.2506145007010909</v>
      </c>
      <c r="CG62" s="67">
        <f t="shared" si="122"/>
        <v>-39.363260346355794</v>
      </c>
      <c r="CH62" s="68">
        <f t="shared" si="123"/>
        <v>24.070086171065864</v>
      </c>
      <c r="CI62" s="68">
        <f t="shared" si="124"/>
        <v>-15.293174175289931</v>
      </c>
      <c r="CK62" t="str">
        <f t="shared" si="139"/>
        <v>61 Caring personal service occupations</v>
      </c>
      <c r="CL62" s="17">
        <f t="shared" si="148"/>
        <v>1.7719302862471389</v>
      </c>
      <c r="CM62" s="17">
        <f t="shared" si="148"/>
        <v>1.718258378054013</v>
      </c>
      <c r="CN62" s="17">
        <f t="shared" si="148"/>
        <v>1.6004789076123016</v>
      </c>
      <c r="CO62" s="17">
        <f t="shared" si="148"/>
        <v>2.0146090370101377</v>
      </c>
      <c r="CP62" s="17">
        <f t="shared" si="148"/>
        <v>2.4775376276113579</v>
      </c>
      <c r="CR62" s="67">
        <f t="shared" si="126"/>
        <v>-9.1800295756924282</v>
      </c>
      <c r="CS62" s="68">
        <f t="shared" si="127"/>
        <v>25.816005805893603</v>
      </c>
      <c r="CT62" s="68">
        <f t="shared" si="128"/>
        <v>16.635976230201177</v>
      </c>
    </row>
    <row r="63" spans="1:98" x14ac:dyDescent="0.3">
      <c r="A63" t="str">
        <f t="shared" si="95"/>
        <v>62 Leisure, travel and related personal service occupations</v>
      </c>
      <c r="B63" s="17">
        <f t="shared" si="140"/>
        <v>0.18279262982214098</v>
      </c>
      <c r="C63" s="17">
        <f t="shared" si="140"/>
        <v>0.16838665693974822</v>
      </c>
      <c r="D63" s="17">
        <f t="shared" si="140"/>
        <v>0.15490426772961552</v>
      </c>
      <c r="E63" s="17">
        <f t="shared" si="140"/>
        <v>0.17351873995695061</v>
      </c>
      <c r="F63" s="17">
        <f t="shared" si="140"/>
        <v>0.20431618020647535</v>
      </c>
      <c r="H63" s="67">
        <f t="shared" si="129"/>
        <v>117.30758837065403</v>
      </c>
      <c r="I63" s="68">
        <f t="shared" si="130"/>
        <v>89.027268228669939</v>
      </c>
      <c r="J63" s="68">
        <f t="shared" si="131"/>
        <v>206.33485659932398</v>
      </c>
      <c r="L63" t="str">
        <f t="shared" si="132"/>
        <v>62 Leisure, travel and related personal service occupations</v>
      </c>
      <c r="M63" s="17">
        <f t="shared" si="141"/>
        <v>0.49769254046985362</v>
      </c>
      <c r="N63" s="17">
        <f t="shared" si="141"/>
        <v>0.51553426356579946</v>
      </c>
      <c r="O63" s="17">
        <f t="shared" si="141"/>
        <v>0.45886466637467388</v>
      </c>
      <c r="P63" s="17">
        <f t="shared" si="141"/>
        <v>0.49736343216261636</v>
      </c>
      <c r="Q63" s="17">
        <f t="shared" si="141"/>
        <v>0.50823143929840586</v>
      </c>
      <c r="S63" s="67">
        <f t="shared" si="98"/>
        <v>85.421082891781381</v>
      </c>
      <c r="T63" s="68">
        <f t="shared" si="99"/>
        <v>79.949006481883316</v>
      </c>
      <c r="U63" s="68">
        <f t="shared" si="100"/>
        <v>165.37008937366468</v>
      </c>
      <c r="W63" t="str">
        <f t="shared" si="133"/>
        <v>62 Leisure, travel and related personal service occupations</v>
      </c>
      <c r="X63" s="17">
        <f t="shared" si="142"/>
        <v>1.1255663505636833</v>
      </c>
      <c r="Y63" s="17">
        <f t="shared" si="142"/>
        <v>1.2742960352718287</v>
      </c>
      <c r="Z63" s="17">
        <f t="shared" si="142"/>
        <v>1.3122029737079925</v>
      </c>
      <c r="AA63" s="17">
        <f t="shared" si="142"/>
        <v>1.5194284282053094</v>
      </c>
      <c r="AB63" s="17">
        <f t="shared" si="142"/>
        <v>1.7924051570503072</v>
      </c>
      <c r="AD63" s="67">
        <f t="shared" si="102"/>
        <v>70.769536837268944</v>
      </c>
      <c r="AE63" s="68">
        <f t="shared" si="103"/>
        <v>81.918953373560527</v>
      </c>
      <c r="AF63" s="68">
        <f t="shared" si="104"/>
        <v>152.68849021082946</v>
      </c>
      <c r="AH63" t="str">
        <f t="shared" si="134"/>
        <v>62 Leisure, travel and related personal service occupations</v>
      </c>
      <c r="AI63" s="17">
        <f t="shared" si="143"/>
        <v>2.1655163204290995</v>
      </c>
      <c r="AJ63" s="17">
        <f t="shared" si="143"/>
        <v>2.6778807224858516</v>
      </c>
      <c r="AK63" s="17">
        <f t="shared" si="143"/>
        <v>2.7283300074120969</v>
      </c>
      <c r="AL63" s="17">
        <f t="shared" si="143"/>
        <v>2.9882949305358455</v>
      </c>
      <c r="AM63" s="17">
        <f t="shared" si="143"/>
        <v>3.4551890821511688</v>
      </c>
      <c r="AO63" s="67">
        <f t="shared" si="106"/>
        <v>44.659298876563973</v>
      </c>
      <c r="AP63" s="68">
        <f t="shared" si="107"/>
        <v>72.447058448924835</v>
      </c>
      <c r="AQ63" s="68">
        <f t="shared" si="108"/>
        <v>117.10635732548882</v>
      </c>
      <c r="AS63" t="str">
        <f t="shared" si="135"/>
        <v>62 Leisure, travel and related personal service occupations</v>
      </c>
      <c r="AT63" s="17">
        <f t="shared" si="144"/>
        <v>2.540714905539935</v>
      </c>
      <c r="AU63" s="17">
        <f t="shared" si="144"/>
        <v>2.9535375776213635</v>
      </c>
      <c r="AV63" s="17">
        <f t="shared" si="144"/>
        <v>3.437291000044477</v>
      </c>
      <c r="AW63" s="17">
        <f t="shared" si="144"/>
        <v>3.8307265993089499</v>
      </c>
      <c r="AX63" s="17">
        <f t="shared" si="144"/>
        <v>4.5593672515206505</v>
      </c>
      <c r="AZ63" s="67">
        <f t="shared" si="110"/>
        <v>61.518979054348087</v>
      </c>
      <c r="BA63" s="68">
        <f t="shared" si="111"/>
        <v>79.282134384812892</v>
      </c>
      <c r="BB63" s="68">
        <f t="shared" si="112"/>
        <v>140.80111343916099</v>
      </c>
      <c r="BD63" t="str">
        <f t="shared" si="136"/>
        <v>62 Leisure, travel and related personal service occupations</v>
      </c>
      <c r="BE63" s="17">
        <f t="shared" si="145"/>
        <v>2.7544293143517766</v>
      </c>
      <c r="BF63" s="17">
        <f t="shared" si="145"/>
        <v>2.7341512325524469</v>
      </c>
      <c r="BG63" s="17">
        <f t="shared" si="145"/>
        <v>2.9116190259338377</v>
      </c>
      <c r="BH63" s="17">
        <f t="shared" si="145"/>
        <v>2.7544586729986724</v>
      </c>
      <c r="BI63" s="17">
        <f t="shared" si="145"/>
        <v>2.5315011307231945</v>
      </c>
      <c r="BK63" s="67">
        <f t="shared" si="114"/>
        <v>-1.212824894176276</v>
      </c>
      <c r="BL63" s="68">
        <f t="shared" si="115"/>
        <v>48.47613571967657</v>
      </c>
      <c r="BM63" s="68">
        <f t="shared" si="116"/>
        <v>47.263310825500298</v>
      </c>
      <c r="BO63" t="str">
        <f t="shared" si="137"/>
        <v>62 Leisure, travel and related personal service occupations</v>
      </c>
      <c r="BP63" s="17">
        <f t="shared" si="146"/>
        <v>2.6772856769870632</v>
      </c>
      <c r="BQ63" s="17">
        <f t="shared" si="146"/>
        <v>2.8821074187103033</v>
      </c>
      <c r="BR63" s="17">
        <f t="shared" si="146"/>
        <v>2.7980075613257145</v>
      </c>
      <c r="BS63" s="17">
        <f t="shared" si="146"/>
        <v>2.677026917288539</v>
      </c>
      <c r="BT63" s="17">
        <f t="shared" si="146"/>
        <v>2.3503152044961122</v>
      </c>
      <c r="BV63" s="67">
        <f t="shared" si="118"/>
        <v>-27.902250779596159</v>
      </c>
      <c r="BW63" s="68">
        <f t="shared" si="119"/>
        <v>40.617514661256983</v>
      </c>
      <c r="BX63" s="68">
        <f t="shared" si="120"/>
        <v>12.715263881660821</v>
      </c>
      <c r="BZ63" t="str">
        <f t="shared" si="138"/>
        <v>62 Leisure, travel and related personal service occupations</v>
      </c>
      <c r="CA63" s="17">
        <f t="shared" si="147"/>
        <v>2.381189135856066</v>
      </c>
      <c r="CB63" s="17">
        <f t="shared" si="147"/>
        <v>2.7362890588165203</v>
      </c>
      <c r="CC63" s="17">
        <f t="shared" si="147"/>
        <v>2.8456242496372153</v>
      </c>
      <c r="CD63" s="17">
        <f t="shared" si="147"/>
        <v>2.9941867865566878</v>
      </c>
      <c r="CE63" s="17">
        <f t="shared" si="147"/>
        <v>3.0462903445444405</v>
      </c>
      <c r="CG63" s="67">
        <f t="shared" si="122"/>
        <v>-29.133203686840847</v>
      </c>
      <c r="CH63" s="68">
        <f t="shared" si="123"/>
        <v>37.373222109385814</v>
      </c>
      <c r="CI63" s="68">
        <f t="shared" si="124"/>
        <v>8.2400184225449671</v>
      </c>
      <c r="CK63" t="str">
        <f t="shared" si="139"/>
        <v>62 Leisure, travel and related personal service occupations</v>
      </c>
      <c r="CL63" s="17">
        <f t="shared" si="148"/>
        <v>2.7950404224411951</v>
      </c>
      <c r="CM63" s="17">
        <f t="shared" si="148"/>
        <v>2.8855978556942827</v>
      </c>
      <c r="CN63" s="17">
        <f t="shared" si="148"/>
        <v>2.7610056297273142</v>
      </c>
      <c r="CO63" s="17">
        <f t="shared" si="148"/>
        <v>2.7716291437628318</v>
      </c>
      <c r="CP63" s="17">
        <f t="shared" si="148"/>
        <v>2.7696590862539958</v>
      </c>
      <c r="CR63" s="67">
        <f t="shared" si="126"/>
        <v>-41.146800809687846</v>
      </c>
      <c r="CS63" s="68">
        <f t="shared" si="127"/>
        <v>22.513344584275885</v>
      </c>
      <c r="CT63" s="68">
        <f t="shared" si="128"/>
        <v>-18.633456225411962</v>
      </c>
    </row>
    <row r="64" spans="1:98" x14ac:dyDescent="0.3">
      <c r="A64" t="str">
        <f t="shared" si="95"/>
        <v>63 Community and civil enforcement occupations</v>
      </c>
      <c r="B64" s="17">
        <f t="shared" si="140"/>
        <v>1.9472346654967176E-2</v>
      </c>
      <c r="C64" s="17">
        <f t="shared" si="140"/>
        <v>1.6384243690612948E-2</v>
      </c>
      <c r="D64" s="17">
        <f t="shared" si="140"/>
        <v>1.6782771006380797E-2</v>
      </c>
      <c r="E64" s="17">
        <f t="shared" si="140"/>
        <v>1.9082257693332508E-2</v>
      </c>
      <c r="F64" s="17">
        <f t="shared" si="140"/>
        <v>1.9910770113293199E-2</v>
      </c>
      <c r="H64" s="67">
        <f t="shared" si="129"/>
        <v>95.460904339326007</v>
      </c>
      <c r="I64" s="68">
        <f t="shared" si="130"/>
        <v>90.362521936137853</v>
      </c>
      <c r="J64" s="68">
        <f t="shared" si="131"/>
        <v>185.82342627546385</v>
      </c>
      <c r="L64" t="str">
        <f t="shared" si="132"/>
        <v>63 Community and civil enforcement occupations</v>
      </c>
      <c r="M64" s="17">
        <f t="shared" si="141"/>
        <v>4.0172630840241356E-2</v>
      </c>
      <c r="N64" s="17">
        <f t="shared" si="141"/>
        <v>2.964214694573936E-2</v>
      </c>
      <c r="O64" s="17">
        <f t="shared" si="141"/>
        <v>3.8053136313253404E-2</v>
      </c>
      <c r="P64" s="17">
        <f t="shared" si="141"/>
        <v>3.2092628028992376E-2</v>
      </c>
      <c r="Q64" s="17">
        <f t="shared" si="141"/>
        <v>3.4036658191287927E-2</v>
      </c>
      <c r="S64" s="67">
        <f t="shared" si="98"/>
        <v>49.74028653272444</v>
      </c>
      <c r="T64" s="68">
        <f t="shared" si="99"/>
        <v>66.712176529614496</v>
      </c>
      <c r="U64" s="68">
        <f t="shared" si="100"/>
        <v>116.45246306233894</v>
      </c>
      <c r="W64" t="str">
        <f t="shared" si="133"/>
        <v>63 Community and civil enforcement occupations</v>
      </c>
      <c r="X64" s="17">
        <f t="shared" si="142"/>
        <v>8.3544289849309006E-2</v>
      </c>
      <c r="Y64" s="17">
        <f t="shared" si="142"/>
        <v>7.4303342505776457E-2</v>
      </c>
      <c r="Z64" s="17">
        <f t="shared" si="142"/>
        <v>8.0903873678784141E-2</v>
      </c>
      <c r="AA64" s="17">
        <f t="shared" si="142"/>
        <v>8.7434917179701283E-2</v>
      </c>
      <c r="AB64" s="17">
        <f t="shared" si="142"/>
        <v>9.4438079377475795E-2</v>
      </c>
      <c r="AD64" s="67">
        <f t="shared" si="102"/>
        <v>45.932849728693384</v>
      </c>
      <c r="AE64" s="68">
        <f t="shared" si="103"/>
        <v>79.715487024909464</v>
      </c>
      <c r="AF64" s="68">
        <f t="shared" si="104"/>
        <v>125.64833675360285</v>
      </c>
      <c r="AH64" t="str">
        <f t="shared" si="134"/>
        <v>63 Community and civil enforcement occupations</v>
      </c>
      <c r="AI64" s="17">
        <f t="shared" si="143"/>
        <v>8.0989366140178654E-2</v>
      </c>
      <c r="AJ64" s="17">
        <f t="shared" si="143"/>
        <v>7.0831385875380654E-2</v>
      </c>
      <c r="AK64" s="17">
        <f t="shared" si="143"/>
        <v>9.1419511545614784E-2</v>
      </c>
      <c r="AL64" s="17">
        <f t="shared" si="143"/>
        <v>8.1305395018456281E-2</v>
      </c>
      <c r="AM64" s="17">
        <f t="shared" si="143"/>
        <v>8.8981636026253738E-2</v>
      </c>
      <c r="AO64" s="67">
        <f t="shared" si="106"/>
        <v>11.181601806324796</v>
      </c>
      <c r="AP64" s="68">
        <f t="shared" si="107"/>
        <v>57.157717511920978</v>
      </c>
      <c r="AQ64" s="68">
        <f t="shared" si="108"/>
        <v>68.339319318245785</v>
      </c>
      <c r="AS64" t="str">
        <f t="shared" si="135"/>
        <v>63 Community and civil enforcement occupations</v>
      </c>
      <c r="AT64" s="17">
        <f t="shared" si="144"/>
        <v>8.3948329940302935E-2</v>
      </c>
      <c r="AU64" s="17">
        <f t="shared" si="144"/>
        <v>6.3691440277192091E-2</v>
      </c>
      <c r="AV64" s="17">
        <f t="shared" si="144"/>
        <v>7.898267601461674E-2</v>
      </c>
      <c r="AW64" s="17">
        <f t="shared" si="144"/>
        <v>6.5237790391466599E-2</v>
      </c>
      <c r="AX64" s="17">
        <f t="shared" si="144"/>
        <v>6.3324234611149943E-2</v>
      </c>
      <c r="AZ64" s="67">
        <f t="shared" si="110"/>
        <v>-2.3722250162736906</v>
      </c>
      <c r="BA64" s="68">
        <f t="shared" si="111"/>
        <v>54.660060291138791</v>
      </c>
      <c r="BB64" s="68">
        <f t="shared" si="112"/>
        <v>52.287835274865088</v>
      </c>
      <c r="BD64" t="str">
        <f t="shared" si="136"/>
        <v>63 Community and civil enforcement occupations</v>
      </c>
      <c r="BE64" s="17">
        <f t="shared" si="145"/>
        <v>8.782731669230226E-2</v>
      </c>
      <c r="BF64" s="17">
        <f t="shared" si="145"/>
        <v>6.0787031333013629E-2</v>
      </c>
      <c r="BG64" s="17">
        <f t="shared" si="145"/>
        <v>8.6322472113339432E-2</v>
      </c>
      <c r="BH64" s="17">
        <f t="shared" si="145"/>
        <v>5.7220531769889407E-2</v>
      </c>
      <c r="BI64" s="17">
        <f t="shared" si="145"/>
        <v>6.1266757099387677E-2</v>
      </c>
      <c r="BK64" s="67">
        <f t="shared" si="114"/>
        <v>-19.358608392601067</v>
      </c>
      <c r="BL64" s="68">
        <f t="shared" si="115"/>
        <v>29.222923408196742</v>
      </c>
      <c r="BM64" s="68">
        <f t="shared" si="116"/>
        <v>9.8643150155956789</v>
      </c>
      <c r="BO64" t="str">
        <f t="shared" si="137"/>
        <v>63 Community and civil enforcement occupations</v>
      </c>
      <c r="BP64" s="17">
        <f t="shared" si="146"/>
        <v>0.12228906673088451</v>
      </c>
      <c r="BQ64" s="17">
        <f t="shared" si="146"/>
        <v>9.9893614216994012E-2</v>
      </c>
      <c r="BR64" s="17">
        <f t="shared" si="146"/>
        <v>0.14221625728652715</v>
      </c>
      <c r="BS64" s="17">
        <f t="shared" si="146"/>
        <v>0.1046484025637861</v>
      </c>
      <c r="BT64" s="17">
        <f t="shared" si="146"/>
        <v>0.11926721958705608</v>
      </c>
      <c r="BV64" s="67">
        <f t="shared" si="118"/>
        <v>-28.019256137222953</v>
      </c>
      <c r="BW64" s="68">
        <f t="shared" si="119"/>
        <v>32.442075270305693</v>
      </c>
      <c r="BX64" s="68">
        <f t="shared" si="120"/>
        <v>4.4228191330827418</v>
      </c>
      <c r="BZ64" t="str">
        <f t="shared" si="138"/>
        <v>63 Community and civil enforcement occupations</v>
      </c>
      <c r="CA64" s="17">
        <f t="shared" si="147"/>
        <v>0.15430135834150396</v>
      </c>
      <c r="CB64" s="17">
        <f t="shared" si="147"/>
        <v>0.13830356353989703</v>
      </c>
      <c r="CC64" s="17">
        <f t="shared" si="147"/>
        <v>0.19386725411252714</v>
      </c>
      <c r="CD64" s="17">
        <f t="shared" si="147"/>
        <v>0.16130987595976937</v>
      </c>
      <c r="CE64" s="17">
        <f t="shared" si="147"/>
        <v>0.20127231814105628</v>
      </c>
      <c r="CG64" s="67">
        <f t="shared" si="122"/>
        <v>-31.272800337456243</v>
      </c>
      <c r="CH64" s="68">
        <f t="shared" si="123"/>
        <v>31.256869639602115</v>
      </c>
      <c r="CI64" s="68">
        <f t="shared" si="124"/>
        <v>-1.593069785412813E-2</v>
      </c>
      <c r="CK64" t="str">
        <f t="shared" si="139"/>
        <v>63 Community and civil enforcement occupations</v>
      </c>
      <c r="CL64" s="17">
        <f t="shared" si="148"/>
        <v>0.13571067712233983</v>
      </c>
      <c r="CM64" s="17">
        <f t="shared" si="148"/>
        <v>9.963283157513933E-2</v>
      </c>
      <c r="CN64" s="17">
        <f t="shared" si="148"/>
        <v>0.15550614903026358</v>
      </c>
      <c r="CO64" s="17">
        <f t="shared" si="148"/>
        <v>9.4821129151280506E-2</v>
      </c>
      <c r="CP64" s="17">
        <f t="shared" si="148"/>
        <v>9.3563984788898796E-2</v>
      </c>
      <c r="CR64" s="67">
        <f t="shared" si="126"/>
        <v>-64.700204031448166</v>
      </c>
      <c r="CS64" s="68">
        <f t="shared" si="127"/>
        <v>11.948394818242274</v>
      </c>
      <c r="CT64" s="68">
        <f t="shared" si="128"/>
        <v>-52.751809213205888</v>
      </c>
    </row>
    <row r="65" spans="1:98" x14ac:dyDescent="0.3">
      <c r="A65" t="str">
        <f t="shared" si="95"/>
        <v>71 Sales occupations</v>
      </c>
      <c r="B65" s="17">
        <f t="shared" ref="B65:F70" si="149">B28/B$35*100</f>
        <v>1.2571889271868439</v>
      </c>
      <c r="C65" s="17">
        <f t="shared" si="149"/>
        <v>1.0776057195204063</v>
      </c>
      <c r="D65" s="17">
        <f t="shared" si="149"/>
        <v>0.96709357775983296</v>
      </c>
      <c r="E65" s="17">
        <f t="shared" si="149"/>
        <v>0.96747369022435958</v>
      </c>
      <c r="F65" s="17">
        <f t="shared" si="149"/>
        <v>0.97107732414934234</v>
      </c>
      <c r="H65" s="67">
        <f t="shared" si="129"/>
        <v>65.432498254647768</v>
      </c>
      <c r="I65" s="68">
        <f t="shared" si="130"/>
        <v>66.468574946684143</v>
      </c>
      <c r="J65" s="68">
        <f t="shared" si="131"/>
        <v>131.90107320133194</v>
      </c>
      <c r="L65" t="str">
        <f t="shared" si="132"/>
        <v>71 Sales occupations</v>
      </c>
      <c r="M65" s="17">
        <f t="shared" ref="M65:Q70" si="150">M28/M$35*100</f>
        <v>2.1568989356374968</v>
      </c>
      <c r="N65" s="17">
        <f t="shared" si="150"/>
        <v>1.8902636369905901</v>
      </c>
      <c r="O65" s="17">
        <f t="shared" si="150"/>
        <v>1.9130377262864726</v>
      </c>
      <c r="P65" s="17">
        <f t="shared" si="150"/>
        <v>1.8955586985712252</v>
      </c>
      <c r="Q65" s="17">
        <f t="shared" si="150"/>
        <v>2.027518409947294</v>
      </c>
      <c r="S65" s="67">
        <f t="shared" si="98"/>
        <v>77.428538398078075</v>
      </c>
      <c r="T65" s="68">
        <f t="shared" si="99"/>
        <v>68.251629543788297</v>
      </c>
      <c r="U65" s="68">
        <f t="shared" si="100"/>
        <v>145.68016794186636</v>
      </c>
      <c r="W65" t="str">
        <f t="shared" si="133"/>
        <v>71 Sales occupations</v>
      </c>
      <c r="X65" s="17">
        <f t="shared" ref="X65:AB70" si="151">X28/X$35*100</f>
        <v>4.3009425558161887</v>
      </c>
      <c r="Y65" s="17">
        <f t="shared" si="151"/>
        <v>3.8152245642267628</v>
      </c>
      <c r="Z65" s="17">
        <f t="shared" si="151"/>
        <v>4.0251260363105787</v>
      </c>
      <c r="AA65" s="17">
        <f t="shared" si="151"/>
        <v>3.9863358940933633</v>
      </c>
      <c r="AB65" s="17">
        <f t="shared" si="151"/>
        <v>4.3499587835150875</v>
      </c>
      <c r="AD65" s="67">
        <f t="shared" si="102"/>
        <v>35.107946005645054</v>
      </c>
      <c r="AE65" s="68">
        <f t="shared" si="103"/>
        <v>61.349615730369599</v>
      </c>
      <c r="AF65" s="68">
        <f t="shared" si="104"/>
        <v>96.457561736014654</v>
      </c>
      <c r="AH65" t="str">
        <f t="shared" si="134"/>
        <v>71 Sales occupations</v>
      </c>
      <c r="AI65" s="17">
        <f t="shared" ref="AI65:AM70" si="152">AI28/AI$35*100</f>
        <v>4.9388704679749083</v>
      </c>
      <c r="AJ65" s="17">
        <f t="shared" si="152"/>
        <v>4.4798623157378872</v>
      </c>
      <c r="AK65" s="17">
        <f t="shared" si="152"/>
        <v>4.735588299573239</v>
      </c>
      <c r="AL65" s="17">
        <f t="shared" si="152"/>
        <v>4.5905816555690571</v>
      </c>
      <c r="AM65" s="17">
        <f t="shared" si="152"/>
        <v>4.8466505471107197</v>
      </c>
      <c r="AO65" s="67">
        <f t="shared" si="106"/>
        <v>16.906647151052027</v>
      </c>
      <c r="AP65" s="68">
        <f t="shared" si="107"/>
        <v>55.765947682252424</v>
      </c>
      <c r="AQ65" s="68">
        <f t="shared" si="108"/>
        <v>72.672594833304458</v>
      </c>
      <c r="AS65" t="str">
        <f t="shared" si="135"/>
        <v>71 Sales occupations</v>
      </c>
      <c r="AT65" s="17">
        <f t="shared" ref="AT65:AX70" si="153">AT28/AT$35*100</f>
        <v>4.2938892101698345</v>
      </c>
      <c r="AU65" s="17">
        <f t="shared" si="153"/>
        <v>3.675360486474847</v>
      </c>
      <c r="AV65" s="17">
        <f t="shared" si="153"/>
        <v>3.7853883149619372</v>
      </c>
      <c r="AW65" s="17">
        <f t="shared" si="153"/>
        <v>3.4647473139539913</v>
      </c>
      <c r="AX65" s="17">
        <f t="shared" si="153"/>
        <v>3.4668533416384752</v>
      </c>
      <c r="AZ65" s="67">
        <f t="shared" si="110"/>
        <v>11.521940892229155</v>
      </c>
      <c r="BA65" s="68">
        <f t="shared" si="111"/>
        <v>46.655183242998163</v>
      </c>
      <c r="BB65" s="68">
        <f t="shared" si="112"/>
        <v>58.177124135227331</v>
      </c>
      <c r="BD65" t="str">
        <f t="shared" si="136"/>
        <v>71 Sales occupations</v>
      </c>
      <c r="BE65" s="17">
        <f t="shared" ref="BE65:BI70" si="154">BE28/BE$35*100</f>
        <v>8.8342849219931825</v>
      </c>
      <c r="BF65" s="17">
        <f t="shared" si="154"/>
        <v>7.661370976355542</v>
      </c>
      <c r="BG65" s="17">
        <f t="shared" si="154"/>
        <v>8.1237502506254806</v>
      </c>
      <c r="BH65" s="17">
        <f t="shared" si="154"/>
        <v>7.6280565343455393</v>
      </c>
      <c r="BI65" s="17">
        <f t="shared" si="154"/>
        <v>7.7182138427051781</v>
      </c>
      <c r="BK65" s="67">
        <f t="shared" si="114"/>
        <v>7.9486544214513914</v>
      </c>
      <c r="BL65" s="68">
        <f t="shared" si="115"/>
        <v>47.756201957195799</v>
      </c>
      <c r="BM65" s="68">
        <f t="shared" si="116"/>
        <v>55.704856378647186</v>
      </c>
      <c r="BO65" t="str">
        <f t="shared" si="137"/>
        <v>71 Sales occupations</v>
      </c>
      <c r="BP65" s="17">
        <f t="shared" ref="BP65:BT70" si="155">BP28/BP$35*100</f>
        <v>9.2412412559497952</v>
      </c>
      <c r="BQ65" s="17">
        <f t="shared" si="155"/>
        <v>7.9126044403431406</v>
      </c>
      <c r="BR65" s="17">
        <f t="shared" si="155"/>
        <v>7.881718983387878</v>
      </c>
      <c r="BS65" s="17">
        <f t="shared" si="155"/>
        <v>7.2533240684769016</v>
      </c>
      <c r="BT65" s="17">
        <f t="shared" si="155"/>
        <v>6.5660895366767322</v>
      </c>
      <c r="BV65" s="67">
        <f t="shared" si="118"/>
        <v>-28.496000409743388</v>
      </c>
      <c r="BW65" s="68">
        <f t="shared" si="119"/>
        <v>38.573286527786067</v>
      </c>
      <c r="BX65" s="68">
        <f t="shared" si="120"/>
        <v>10.077286118042682</v>
      </c>
      <c r="BZ65" t="str">
        <f t="shared" si="138"/>
        <v>71 Sales occupations</v>
      </c>
      <c r="CA65" s="17">
        <f t="shared" ref="CA65:CE70" si="156">CA28/CA$35*100</f>
        <v>8.9614655484027477</v>
      </c>
      <c r="CB65" s="17">
        <f t="shared" si="156"/>
        <v>8.1619403315061128</v>
      </c>
      <c r="CC65" s="17">
        <f t="shared" si="156"/>
        <v>8.3120693424416672</v>
      </c>
      <c r="CD65" s="17">
        <f t="shared" si="156"/>
        <v>7.119170471608097</v>
      </c>
      <c r="CE65" s="17">
        <f t="shared" si="156"/>
        <v>4.5644205242409761</v>
      </c>
      <c r="CG65" s="67">
        <f t="shared" si="122"/>
        <v>-63.648230904487455</v>
      </c>
      <c r="CH65" s="68">
        <f t="shared" si="123"/>
        <v>24.095231045938807</v>
      </c>
      <c r="CI65" s="68">
        <f t="shared" si="124"/>
        <v>-39.552999858548652</v>
      </c>
      <c r="CK65" t="str">
        <f t="shared" si="139"/>
        <v>71 Sales occupations</v>
      </c>
      <c r="CL65" s="17">
        <f t="shared" ref="CL65:CP70" si="157">CL28/CL$35*100</f>
        <v>10.930733405611903</v>
      </c>
      <c r="CM65" s="17">
        <f t="shared" si="157"/>
        <v>9.2063125347749235</v>
      </c>
      <c r="CN65" s="17">
        <f t="shared" si="157"/>
        <v>9.2462226306702942</v>
      </c>
      <c r="CO65" s="17">
        <f t="shared" si="157"/>
        <v>8.138533757928645</v>
      </c>
      <c r="CP65" s="17">
        <f t="shared" si="157"/>
        <v>6.8191028489318448</v>
      </c>
      <c r="CR65" s="67">
        <f t="shared" si="126"/>
        <v>-56.731290079578301</v>
      </c>
      <c r="CS65" s="68">
        <f t="shared" si="127"/>
        <v>15.84737240219593</v>
      </c>
      <c r="CT65" s="68">
        <f t="shared" si="128"/>
        <v>-40.883917677382357</v>
      </c>
    </row>
    <row r="66" spans="1:98" x14ac:dyDescent="0.3">
      <c r="A66" t="str">
        <f t="shared" si="95"/>
        <v>72 Customer service occupations</v>
      </c>
      <c r="B66" s="17">
        <f t="shared" si="149"/>
        <v>0.37099013895213212</v>
      </c>
      <c r="C66" s="17">
        <f t="shared" si="149"/>
        <v>0.35031289210749456</v>
      </c>
      <c r="D66" s="17">
        <f t="shared" si="149"/>
        <v>0.35652949000187356</v>
      </c>
      <c r="E66" s="17">
        <f t="shared" si="149"/>
        <v>0.47689864616522382</v>
      </c>
      <c r="F66" s="17">
        <f t="shared" si="149"/>
        <v>0.54417350538630338</v>
      </c>
      <c r="H66" s="67">
        <f t="shared" si="129"/>
        <v>151.46494391647482</v>
      </c>
      <c r="I66" s="68">
        <f t="shared" si="130"/>
        <v>86.806815646561049</v>
      </c>
      <c r="J66" s="68">
        <f t="shared" si="131"/>
        <v>238.27175956303589</v>
      </c>
      <c r="L66" t="str">
        <f t="shared" si="132"/>
        <v>72 Customer service occupations</v>
      </c>
      <c r="M66" s="17">
        <f t="shared" si="150"/>
        <v>0.59016573691648677</v>
      </c>
      <c r="N66" s="17">
        <f t="shared" si="150"/>
        <v>0.62734684055635492</v>
      </c>
      <c r="O66" s="17">
        <f t="shared" si="150"/>
        <v>0.61458683717258655</v>
      </c>
      <c r="P66" s="17">
        <f t="shared" si="150"/>
        <v>0.81552572306959681</v>
      </c>
      <c r="Q66" s="17">
        <f t="shared" si="150"/>
        <v>0.93352021448888989</v>
      </c>
      <c r="S66" s="67">
        <f t="shared" si="98"/>
        <v>154.28613180363374</v>
      </c>
      <c r="T66" s="68">
        <f t="shared" si="99"/>
        <v>92.635631509911306</v>
      </c>
      <c r="U66" s="68">
        <f t="shared" si="100"/>
        <v>246.92176331354503</v>
      </c>
      <c r="W66" t="str">
        <f t="shared" si="133"/>
        <v>72 Customer service occupations</v>
      </c>
      <c r="X66" s="17">
        <f t="shared" si="151"/>
        <v>1.1926642502103018</v>
      </c>
      <c r="Y66" s="17">
        <f t="shared" si="151"/>
        <v>1.225298396669382</v>
      </c>
      <c r="Z66" s="17">
        <f t="shared" si="151"/>
        <v>1.2847623819716647</v>
      </c>
      <c r="AA66" s="17">
        <f t="shared" si="151"/>
        <v>1.627708942615437</v>
      </c>
      <c r="AB66" s="17">
        <f t="shared" si="151"/>
        <v>1.8740817441713453</v>
      </c>
      <c r="AD66" s="67">
        <f t="shared" si="102"/>
        <v>82.364773499384157</v>
      </c>
      <c r="AE66" s="68">
        <f t="shared" si="103"/>
        <v>75.370364350828964</v>
      </c>
      <c r="AF66" s="68">
        <f t="shared" si="104"/>
        <v>157.73513785021314</v>
      </c>
      <c r="AH66" t="str">
        <f t="shared" si="134"/>
        <v>72 Customer service occupations</v>
      </c>
      <c r="AI66" s="17">
        <f t="shared" si="152"/>
        <v>1.2785077997915779</v>
      </c>
      <c r="AJ66" s="17">
        <f t="shared" si="152"/>
        <v>1.4784473256735136</v>
      </c>
      <c r="AK66" s="17">
        <f t="shared" si="152"/>
        <v>1.6150855307104335</v>
      </c>
      <c r="AL66" s="17">
        <f t="shared" si="152"/>
        <v>2.1888556707191706</v>
      </c>
      <c r="AM66" s="17">
        <f t="shared" si="152"/>
        <v>2.5974902901282064</v>
      </c>
      <c r="AO66" s="67">
        <f t="shared" si="106"/>
        <v>83.708750417068927</v>
      </c>
      <c r="AP66" s="68">
        <f t="shared" si="107"/>
        <v>79.066977427477596</v>
      </c>
      <c r="AQ66" s="68">
        <f t="shared" si="108"/>
        <v>162.77572784454654</v>
      </c>
      <c r="AS66" t="str">
        <f t="shared" si="135"/>
        <v>72 Customer service occupations</v>
      </c>
      <c r="AT66" s="17">
        <f t="shared" si="153"/>
        <v>1.5722463284468273</v>
      </c>
      <c r="AU66" s="17">
        <f t="shared" si="153"/>
        <v>1.6348847504737307</v>
      </c>
      <c r="AV66" s="17">
        <f t="shared" si="153"/>
        <v>1.709894027120832</v>
      </c>
      <c r="AW66" s="17">
        <f t="shared" si="153"/>
        <v>2.0879901670686958</v>
      </c>
      <c r="AX66" s="17">
        <f t="shared" si="153"/>
        <v>2.2014567190620467</v>
      </c>
      <c r="AZ66" s="67">
        <f t="shared" si="110"/>
        <v>56.774795362485762</v>
      </c>
      <c r="BA66" s="68">
        <f t="shared" si="111"/>
        <v>65.889787799541168</v>
      </c>
      <c r="BB66" s="68">
        <f t="shared" si="112"/>
        <v>122.66458316202693</v>
      </c>
      <c r="BD66" t="str">
        <f t="shared" si="136"/>
        <v>72 Customer service occupations</v>
      </c>
      <c r="BE66" s="17">
        <f t="shared" si="154"/>
        <v>1.75330933559508</v>
      </c>
      <c r="BF66" s="17">
        <f t="shared" si="154"/>
        <v>1.7616301010633102</v>
      </c>
      <c r="BG66" s="17">
        <f t="shared" si="154"/>
        <v>1.897525557613428</v>
      </c>
      <c r="BH66" s="17">
        <f t="shared" si="154"/>
        <v>2.2504811917664873</v>
      </c>
      <c r="BI66" s="17">
        <f t="shared" si="154"/>
        <v>2.3976318783884571</v>
      </c>
      <c r="BK66" s="67">
        <f t="shared" si="114"/>
        <v>43.566085738264313</v>
      </c>
      <c r="BL66" s="68">
        <f t="shared" si="115"/>
        <v>59.798008978518638</v>
      </c>
      <c r="BM66" s="68">
        <f t="shared" si="116"/>
        <v>103.36409471678294</v>
      </c>
      <c r="BO66" t="str">
        <f t="shared" si="137"/>
        <v>72 Customer service occupations</v>
      </c>
      <c r="BP66" s="17">
        <f t="shared" si="155"/>
        <v>1.9238001249321564</v>
      </c>
      <c r="BQ66" s="17">
        <f t="shared" si="155"/>
        <v>2.1496624798136512</v>
      </c>
      <c r="BR66" s="17">
        <f t="shared" si="155"/>
        <v>2.0523407210229947</v>
      </c>
      <c r="BS66" s="17">
        <f t="shared" si="155"/>
        <v>2.6851677692264517</v>
      </c>
      <c r="BT66" s="17">
        <f t="shared" si="155"/>
        <v>3.0105906845243009</v>
      </c>
      <c r="BV66" s="67">
        <f t="shared" si="118"/>
        <v>25.906088482080818</v>
      </c>
      <c r="BW66" s="68">
        <f t="shared" si="119"/>
        <v>59.68731530483965</v>
      </c>
      <c r="BX66" s="68">
        <f t="shared" si="120"/>
        <v>85.593403786920462</v>
      </c>
      <c r="BZ66" t="str">
        <f t="shared" si="138"/>
        <v>72 Customer service occupations</v>
      </c>
      <c r="CA66" s="17">
        <f t="shared" si="156"/>
        <v>1.4253689196015937</v>
      </c>
      <c r="CB66" s="17">
        <f t="shared" si="156"/>
        <v>1.4369895729460411</v>
      </c>
      <c r="CC66" s="17">
        <f t="shared" si="156"/>
        <v>1.5191750243228674</v>
      </c>
      <c r="CD66" s="17">
        <f t="shared" si="156"/>
        <v>1.7751664686366835</v>
      </c>
      <c r="CE66" s="17">
        <f t="shared" si="156"/>
        <v>2.2780146030592139</v>
      </c>
      <c r="CG66" s="67">
        <f t="shared" si="122"/>
        <v>-0.73463334495384314</v>
      </c>
      <c r="CH66" s="68">
        <f t="shared" si="123"/>
        <v>35.492285378179751</v>
      </c>
      <c r="CI66" s="68">
        <f t="shared" si="124"/>
        <v>34.757652033225909</v>
      </c>
      <c r="CK66" t="str">
        <f t="shared" si="139"/>
        <v>72 Customer service occupations</v>
      </c>
      <c r="CL66" s="17">
        <f t="shared" si="157"/>
        <v>1.1885433901779758</v>
      </c>
      <c r="CM66" s="17">
        <f t="shared" si="157"/>
        <v>1.4892833141477946</v>
      </c>
      <c r="CN66" s="17">
        <f t="shared" si="157"/>
        <v>1.7131949788628142</v>
      </c>
      <c r="CO66" s="17">
        <f t="shared" si="157"/>
        <v>2.8551625650246333</v>
      </c>
      <c r="CP66" s="17">
        <f t="shared" si="157"/>
        <v>4.3420304334529742</v>
      </c>
      <c r="CR66" s="67">
        <f t="shared" si="126"/>
        <v>48.695259228719387</v>
      </c>
      <c r="CS66" s="68">
        <f t="shared" si="127"/>
        <v>41.933708698312515</v>
      </c>
      <c r="CT66" s="68">
        <f t="shared" si="128"/>
        <v>90.628967927031894</v>
      </c>
    </row>
    <row r="67" spans="1:98" x14ac:dyDescent="0.3">
      <c r="A67" t="str">
        <f t="shared" si="95"/>
        <v>81 Process, plant and machine operatives</v>
      </c>
      <c r="B67" s="17">
        <f t="shared" si="149"/>
        <v>0.33480112004109969</v>
      </c>
      <c r="C67" s="17">
        <f t="shared" si="149"/>
        <v>0.34468700850199868</v>
      </c>
      <c r="D67" s="17">
        <f t="shared" si="149"/>
        <v>0.30161201990107261</v>
      </c>
      <c r="E67" s="17">
        <f t="shared" si="149"/>
        <v>0.42596627153008143</v>
      </c>
      <c r="F67" s="17">
        <f t="shared" si="149"/>
        <v>0.58860523264721487</v>
      </c>
      <c r="H67" s="67">
        <f t="shared" si="129"/>
        <v>221.52221718051663</v>
      </c>
      <c r="I67" s="68">
        <f t="shared" si="130"/>
        <v>121.02878097031287</v>
      </c>
      <c r="J67" s="68">
        <f t="shared" si="131"/>
        <v>342.55099815082951</v>
      </c>
      <c r="L67" t="str">
        <f t="shared" si="132"/>
        <v>81 Process, plant and machine operatives</v>
      </c>
      <c r="M67" s="17">
        <f t="shared" si="150"/>
        <v>0.30612623786106463</v>
      </c>
      <c r="N67" s="17">
        <f t="shared" si="150"/>
        <v>0.28441019796320449</v>
      </c>
      <c r="O67" s="17">
        <f t="shared" si="150"/>
        <v>0.25043091926519717</v>
      </c>
      <c r="P67" s="17">
        <f t="shared" si="150"/>
        <v>0.36255979144290729</v>
      </c>
      <c r="Q67" s="17">
        <f t="shared" si="150"/>
        <v>0.45520681934880824</v>
      </c>
      <c r="S67" s="67">
        <f t="shared" si="98"/>
        <v>204.30074466974193</v>
      </c>
      <c r="T67" s="68">
        <f t="shared" si="99"/>
        <v>104.25708084532977</v>
      </c>
      <c r="U67" s="68">
        <f t="shared" si="100"/>
        <v>308.55782551507167</v>
      </c>
      <c r="W67" t="str">
        <f t="shared" si="133"/>
        <v>81 Process, plant and machine operatives</v>
      </c>
      <c r="X67" s="17">
        <f t="shared" si="151"/>
        <v>0.5032172828347109</v>
      </c>
      <c r="Y67" s="17">
        <f t="shared" si="151"/>
        <v>0.45519223086710314</v>
      </c>
      <c r="Z67" s="17">
        <f t="shared" si="151"/>
        <v>0.4416078311492268</v>
      </c>
      <c r="AA67" s="17">
        <f t="shared" si="151"/>
        <v>0.65406196443507048</v>
      </c>
      <c r="AB67" s="17">
        <f t="shared" si="151"/>
        <v>0.93355926855124682</v>
      </c>
      <c r="AD67" s="67">
        <f t="shared" si="102"/>
        <v>164.28977558561141</v>
      </c>
      <c r="AE67" s="68">
        <f t="shared" si="103"/>
        <v>94.519480140378647</v>
      </c>
      <c r="AF67" s="68">
        <f t="shared" si="104"/>
        <v>258.80925572599006</v>
      </c>
      <c r="AH67" t="str">
        <f t="shared" si="134"/>
        <v>81 Process, plant and machine operatives</v>
      </c>
      <c r="AI67" s="17">
        <f t="shared" si="152"/>
        <v>0.69591593393872297</v>
      </c>
      <c r="AJ67" s="17">
        <f t="shared" si="152"/>
        <v>0.67380460001744891</v>
      </c>
      <c r="AK67" s="17">
        <f t="shared" si="152"/>
        <v>0.67053444405496965</v>
      </c>
      <c r="AL67" s="17">
        <f t="shared" si="152"/>
        <v>0.9881572020270657</v>
      </c>
      <c r="AM67" s="17">
        <f t="shared" si="152"/>
        <v>1.1998262809329232</v>
      </c>
      <c r="AO67" s="67">
        <f t="shared" si="106"/>
        <v>104.39426951802284</v>
      </c>
      <c r="AP67" s="68">
        <f t="shared" si="107"/>
        <v>75.315028589200935</v>
      </c>
      <c r="AQ67" s="68">
        <f t="shared" si="108"/>
        <v>179.70929810722379</v>
      </c>
      <c r="AS67" t="str">
        <f t="shared" si="135"/>
        <v>81 Process, plant and machine operatives</v>
      </c>
      <c r="AT67" s="17">
        <f t="shared" si="153"/>
        <v>1.5907311142719132</v>
      </c>
      <c r="AU67" s="17">
        <f t="shared" si="153"/>
        <v>1.4964683017141018</v>
      </c>
      <c r="AV67" s="17">
        <f t="shared" si="153"/>
        <v>1.3598018197781374</v>
      </c>
      <c r="AW67" s="17">
        <f t="shared" si="153"/>
        <v>1.9650073764057991</v>
      </c>
      <c r="AX67" s="17">
        <f t="shared" si="153"/>
        <v>2.2817455516068272</v>
      </c>
      <c r="AZ67" s="67">
        <f t="shared" si="110"/>
        <v>104.32752794337459</v>
      </c>
      <c r="BA67" s="68">
        <f t="shared" si="111"/>
        <v>76.451162613933136</v>
      </c>
      <c r="BB67" s="68">
        <f t="shared" si="112"/>
        <v>180.7786905573077</v>
      </c>
      <c r="BD67" t="str">
        <f t="shared" si="136"/>
        <v>81 Process, plant and machine operatives</v>
      </c>
      <c r="BE67" s="17">
        <f t="shared" si="154"/>
        <v>2.5392644492316205</v>
      </c>
      <c r="BF67" s="17">
        <f t="shared" si="154"/>
        <v>2.6052112285809539</v>
      </c>
      <c r="BG67" s="17">
        <f t="shared" si="154"/>
        <v>2.3054340327812386</v>
      </c>
      <c r="BH67" s="17">
        <f t="shared" si="154"/>
        <v>3.1135132022732965</v>
      </c>
      <c r="BI67" s="17">
        <f t="shared" si="154"/>
        <v>3.5714702974859751</v>
      </c>
      <c r="BK67" s="67">
        <f t="shared" si="114"/>
        <v>76.015669645165843</v>
      </c>
      <c r="BL67" s="68">
        <f t="shared" si="115"/>
        <v>54.603236328745894</v>
      </c>
      <c r="BM67" s="68">
        <f t="shared" si="116"/>
        <v>130.61890597391172</v>
      </c>
      <c r="BO67" t="str">
        <f t="shared" si="137"/>
        <v>81 Process, plant and machine operatives</v>
      </c>
      <c r="BP67" s="17">
        <f t="shared" si="155"/>
        <v>3.5696413577749406</v>
      </c>
      <c r="BQ67" s="17">
        <f t="shared" si="155"/>
        <v>3.5306895954576789</v>
      </c>
      <c r="BR67" s="17">
        <f t="shared" si="155"/>
        <v>3.4873996009587778</v>
      </c>
      <c r="BS67" s="17">
        <f t="shared" si="155"/>
        <v>4.4806249111606924</v>
      </c>
      <c r="BT67" s="17">
        <f t="shared" si="155"/>
        <v>5.3184924671323284</v>
      </c>
      <c r="BV67" s="67">
        <f t="shared" si="118"/>
        <v>30.897488996329088</v>
      </c>
      <c r="BW67" s="68">
        <f t="shared" si="119"/>
        <v>50.191383587127326</v>
      </c>
      <c r="BX67" s="68">
        <f t="shared" si="120"/>
        <v>81.088872583456407</v>
      </c>
      <c r="BZ67" t="str">
        <f t="shared" si="138"/>
        <v>81 Process, plant and machine operatives</v>
      </c>
      <c r="CA67" s="17">
        <f t="shared" si="156"/>
        <v>4.4525571024199015</v>
      </c>
      <c r="CB67" s="17">
        <f t="shared" si="156"/>
        <v>4.2213171234045186</v>
      </c>
      <c r="CC67" s="17">
        <f t="shared" si="156"/>
        <v>4.0402387312366201</v>
      </c>
      <c r="CD67" s="17">
        <f t="shared" si="156"/>
        <v>4.89183481280548</v>
      </c>
      <c r="CE67" s="17">
        <f t="shared" si="156"/>
        <v>3.0133536055596037</v>
      </c>
      <c r="CG67" s="67">
        <f t="shared" si="122"/>
        <v>-50.62670300779142</v>
      </c>
      <c r="CH67" s="68">
        <f t="shared" si="123"/>
        <v>32.783257089945202</v>
      </c>
      <c r="CI67" s="68">
        <f t="shared" si="124"/>
        <v>-17.843445917846214</v>
      </c>
      <c r="CK67" t="str">
        <f t="shared" si="139"/>
        <v>81 Process, plant and machine operatives</v>
      </c>
      <c r="CL67" s="17">
        <f t="shared" si="157"/>
        <v>5.3769692483402372</v>
      </c>
      <c r="CM67" s="17">
        <f t="shared" si="157"/>
        <v>4.5627895845877546</v>
      </c>
      <c r="CN67" s="17">
        <f t="shared" si="157"/>
        <v>4.29394561131644</v>
      </c>
      <c r="CO67" s="17">
        <f t="shared" si="157"/>
        <v>3.0676080286592149</v>
      </c>
      <c r="CP67" s="17">
        <f t="shared" si="157"/>
        <v>1.8223760382762835</v>
      </c>
      <c r="CR67" s="67">
        <f t="shared" si="126"/>
        <v>-75.100392036641836</v>
      </c>
      <c r="CS67" s="68">
        <f t="shared" si="127"/>
        <v>11.955031285798523</v>
      </c>
      <c r="CT67" s="68">
        <f t="shared" si="128"/>
        <v>-63.145360750843317</v>
      </c>
    </row>
    <row r="68" spans="1:98" x14ac:dyDescent="0.3">
      <c r="A68" t="str">
        <f t="shared" si="95"/>
        <v>82 Transport and mobile machine drivers and operatives</v>
      </c>
      <c r="B68" s="17">
        <f t="shared" si="149"/>
        <v>0.49562087461731752</v>
      </c>
      <c r="C68" s="17">
        <f t="shared" si="149"/>
        <v>0.59480763643691403</v>
      </c>
      <c r="D68" s="17">
        <f t="shared" si="149"/>
        <v>0.5909963647382025</v>
      </c>
      <c r="E68" s="17">
        <f t="shared" si="149"/>
        <v>0.76349209696647724</v>
      </c>
      <c r="F68" s="17">
        <f t="shared" si="149"/>
        <v>0.82014330529911095</v>
      </c>
      <c r="H68" s="67">
        <f t="shared" si="129"/>
        <v>128.63380769887357</v>
      </c>
      <c r="I68" s="68">
        <f t="shared" si="130"/>
        <v>116.10083153018039</v>
      </c>
      <c r="J68" s="68">
        <f t="shared" si="131"/>
        <v>244.73463922905395</v>
      </c>
      <c r="L68" t="str">
        <f t="shared" si="132"/>
        <v>82 Transport and mobile machine drivers and operatives</v>
      </c>
      <c r="M68" s="17">
        <f t="shared" si="150"/>
        <v>0.53681918678116247</v>
      </c>
      <c r="N68" s="17">
        <f t="shared" si="150"/>
        <v>0.56349678854665963</v>
      </c>
      <c r="O68" s="17">
        <f t="shared" si="150"/>
        <v>0.56685138720234229</v>
      </c>
      <c r="P68" s="17">
        <f t="shared" si="150"/>
        <v>0.65868244660206343</v>
      </c>
      <c r="Q68" s="17">
        <f t="shared" si="150"/>
        <v>0.70708298055845498</v>
      </c>
      <c r="S68" s="67">
        <f t="shared" si="98"/>
        <v>108.82542477305321</v>
      </c>
      <c r="T68" s="68">
        <f t="shared" si="99"/>
        <v>103.65681835371252</v>
      </c>
      <c r="U68" s="68">
        <f t="shared" si="100"/>
        <v>212.48224312676575</v>
      </c>
      <c r="W68" t="str">
        <f t="shared" si="133"/>
        <v>82 Transport and mobile machine drivers and operatives</v>
      </c>
      <c r="X68" s="17">
        <f t="shared" si="151"/>
        <v>0.79149416178031529</v>
      </c>
      <c r="Y68" s="17">
        <f t="shared" si="151"/>
        <v>0.91557258753424708</v>
      </c>
      <c r="Z68" s="17">
        <f t="shared" si="151"/>
        <v>0.87663262524002528</v>
      </c>
      <c r="AA68" s="17">
        <f t="shared" si="151"/>
        <v>1.0737973773860827</v>
      </c>
      <c r="AB68" s="17">
        <f t="shared" si="151"/>
        <v>1.2116977288827899</v>
      </c>
      <c r="AD68" s="67">
        <f t="shared" si="102"/>
        <v>72.803246603076033</v>
      </c>
      <c r="AE68" s="68">
        <f t="shared" si="103"/>
        <v>93.24020253855538</v>
      </c>
      <c r="AF68" s="68">
        <f t="shared" si="104"/>
        <v>166.04344914163141</v>
      </c>
      <c r="AH68" t="str">
        <f t="shared" si="134"/>
        <v>82 Transport and mobile machine drivers and operatives</v>
      </c>
      <c r="AI68" s="17">
        <f t="shared" si="152"/>
        <v>1.278786342547942</v>
      </c>
      <c r="AJ68" s="17">
        <f t="shared" si="152"/>
        <v>1.6271731860233292</v>
      </c>
      <c r="AK68" s="17">
        <f t="shared" si="152"/>
        <v>1.5361301860669139</v>
      </c>
      <c r="AL68" s="17">
        <f t="shared" si="152"/>
        <v>2.0589574298281512</v>
      </c>
      <c r="AM68" s="17">
        <f t="shared" si="152"/>
        <v>2.2391987868811558</v>
      </c>
      <c r="AO68" s="67">
        <f t="shared" si="106"/>
        <v>66.508367726472187</v>
      </c>
      <c r="AP68" s="68">
        <f t="shared" si="107"/>
        <v>92.240359431066281</v>
      </c>
      <c r="AQ68" s="68">
        <f t="shared" si="108"/>
        <v>158.74872715753844</v>
      </c>
      <c r="AS68" t="str">
        <f t="shared" si="135"/>
        <v>82 Transport and mobile machine drivers and operatives</v>
      </c>
      <c r="AT68" s="17">
        <f t="shared" si="153"/>
        <v>2.0831782854601664</v>
      </c>
      <c r="AU68" s="17">
        <f t="shared" si="153"/>
        <v>2.4384681244462056</v>
      </c>
      <c r="AV68" s="17">
        <f t="shared" si="153"/>
        <v>2.3058803101286611</v>
      </c>
      <c r="AW68" s="17">
        <f t="shared" si="153"/>
        <v>2.9031751628546671</v>
      </c>
      <c r="AX68" s="17">
        <f t="shared" si="153"/>
        <v>3.0264088001411418</v>
      </c>
      <c r="AZ68" s="67">
        <f t="shared" si="110"/>
        <v>59.818156385404386</v>
      </c>
      <c r="BA68" s="68">
        <f t="shared" si="111"/>
        <v>90.72306080534787</v>
      </c>
      <c r="BB68" s="68">
        <f t="shared" si="112"/>
        <v>150.54121719075226</v>
      </c>
      <c r="BD68" t="str">
        <f t="shared" si="136"/>
        <v>82 Transport and mobile machine drivers and operatives</v>
      </c>
      <c r="BE68" s="17">
        <f t="shared" si="154"/>
        <v>3.2714044159464697</v>
      </c>
      <c r="BF68" s="17">
        <f t="shared" si="154"/>
        <v>3.9792333903726531</v>
      </c>
      <c r="BG68" s="17">
        <f t="shared" si="154"/>
        <v>3.4746662944314659</v>
      </c>
      <c r="BH68" s="17">
        <f t="shared" si="154"/>
        <v>4.1228218735817341</v>
      </c>
      <c r="BI68" s="17">
        <f t="shared" si="154"/>
        <v>4.5972132411613673</v>
      </c>
      <c r="BK68" s="67">
        <f t="shared" si="114"/>
        <v>50.32753528413074</v>
      </c>
      <c r="BL68" s="68">
        <f t="shared" si="115"/>
        <v>66.408707776588088</v>
      </c>
      <c r="BM68" s="68">
        <f t="shared" si="116"/>
        <v>116.73624306071883</v>
      </c>
      <c r="BO68" t="str">
        <f t="shared" si="137"/>
        <v>82 Transport and mobile machine drivers and operatives</v>
      </c>
      <c r="BP68" s="17">
        <f t="shared" si="155"/>
        <v>5.0806161025639813</v>
      </c>
      <c r="BQ68" s="17">
        <f t="shared" si="155"/>
        <v>5.8376862911567899</v>
      </c>
      <c r="BR68" s="17">
        <f t="shared" si="155"/>
        <v>5.809210654372821</v>
      </c>
      <c r="BS68" s="17">
        <f t="shared" si="155"/>
        <v>6.5151633837328289</v>
      </c>
      <c r="BT68" s="17">
        <f t="shared" si="155"/>
        <v>7.628393188301656</v>
      </c>
      <c r="BV68" s="67">
        <f t="shared" si="118"/>
        <v>12.70947454671145</v>
      </c>
      <c r="BW68" s="68">
        <f t="shared" si="119"/>
        <v>60.614912726852097</v>
      </c>
      <c r="BX68" s="68">
        <f t="shared" si="120"/>
        <v>73.324387273563545</v>
      </c>
      <c r="BZ68" t="str">
        <f t="shared" si="138"/>
        <v>82 Transport and mobile machine drivers and operatives</v>
      </c>
      <c r="CA68" s="17">
        <f t="shared" si="156"/>
        <v>7.2029511026552706</v>
      </c>
      <c r="CB68" s="17">
        <f t="shared" si="156"/>
        <v>7.6739342190377284</v>
      </c>
      <c r="CC68" s="17">
        <f t="shared" si="156"/>
        <v>7.2246170937371428</v>
      </c>
      <c r="CD68" s="17">
        <f t="shared" si="156"/>
        <v>7.9379356311127136</v>
      </c>
      <c r="CE68" s="17">
        <f t="shared" si="156"/>
        <v>9.5156642364784787</v>
      </c>
      <c r="CG68" s="67">
        <f t="shared" si="122"/>
        <v>-12.808663601328988</v>
      </c>
      <c r="CH68" s="68">
        <f t="shared" si="123"/>
        <v>45.294014716383202</v>
      </c>
      <c r="CI68" s="68">
        <f t="shared" si="124"/>
        <v>32.485351115054215</v>
      </c>
      <c r="CK68" t="str">
        <f t="shared" si="139"/>
        <v>82 Transport and mobile machine drivers and operatives</v>
      </c>
      <c r="CL68" s="17">
        <f t="shared" si="157"/>
        <v>7.7611946510120298</v>
      </c>
      <c r="CM68" s="17">
        <f t="shared" si="157"/>
        <v>9.6500401591662452</v>
      </c>
      <c r="CN68" s="17">
        <f t="shared" si="157"/>
        <v>9.8444471960922986</v>
      </c>
      <c r="CO68" s="17">
        <f t="shared" si="157"/>
        <v>10.405569188281341</v>
      </c>
      <c r="CP68" s="17">
        <f t="shared" si="157"/>
        <v>8.833272286289791</v>
      </c>
      <c r="CR68" s="67">
        <f t="shared" si="126"/>
        <v>-47.356914500007072</v>
      </c>
      <c r="CS68" s="68">
        <f t="shared" si="127"/>
        <v>28.698243943897957</v>
      </c>
      <c r="CT68" s="68">
        <f t="shared" si="128"/>
        <v>-18.658670556109115</v>
      </c>
    </row>
    <row r="69" spans="1:98" x14ac:dyDescent="0.3">
      <c r="A69" t="str">
        <f t="shared" si="95"/>
        <v>91 Elementary trades and related occupations</v>
      </c>
      <c r="B69" s="17">
        <f t="shared" si="149"/>
        <v>6.3043910989132312E-3</v>
      </c>
      <c r="C69" s="17">
        <f t="shared" si="149"/>
        <v>3.8783772763301347E-3</v>
      </c>
      <c r="D69" s="17">
        <f t="shared" si="149"/>
        <v>4.5525495775689418E-3</v>
      </c>
      <c r="E69" s="17">
        <f t="shared" si="149"/>
        <v>4.3849383203474618E-3</v>
      </c>
      <c r="F69" s="17">
        <f t="shared" si="149"/>
        <v>4.9030362132441484E-3</v>
      </c>
      <c r="H69" s="67">
        <f t="shared" si="129"/>
        <v>77.437713106866155</v>
      </c>
      <c r="I69" s="68">
        <f t="shared" si="130"/>
        <v>88.173083149309264</v>
      </c>
      <c r="J69" s="68">
        <f t="shared" si="131"/>
        <v>165.61079625617543</v>
      </c>
      <c r="L69" t="str">
        <f t="shared" si="132"/>
        <v>91 Elementary trades and related occupations</v>
      </c>
      <c r="M69" s="17">
        <f t="shared" si="150"/>
        <v>0.17822534165074885</v>
      </c>
      <c r="N69" s="17">
        <f t="shared" si="150"/>
        <v>0.14343614103705221</v>
      </c>
      <c r="O69" s="17">
        <f t="shared" si="150"/>
        <v>0.13876668588017999</v>
      </c>
      <c r="P69" s="17">
        <f t="shared" si="150"/>
        <v>0.13633730471632452</v>
      </c>
      <c r="Q69" s="17">
        <f t="shared" si="150"/>
        <v>0.14347526550974751</v>
      </c>
      <c r="S69" s="67">
        <f t="shared" si="98"/>
        <v>73.090815530240718</v>
      </c>
      <c r="T69" s="68">
        <f t="shared" si="99"/>
        <v>71.414844879529383</v>
      </c>
      <c r="U69" s="68">
        <f t="shared" si="100"/>
        <v>144.50566040977012</v>
      </c>
      <c r="W69" t="str">
        <f t="shared" si="133"/>
        <v>91 Elementary trades and related occupations</v>
      </c>
      <c r="X69" s="17">
        <f t="shared" si="151"/>
        <v>0.35107135549098639</v>
      </c>
      <c r="Y69" s="17">
        <f t="shared" si="151"/>
        <v>0.30107509967941837</v>
      </c>
      <c r="Z69" s="17">
        <f t="shared" si="151"/>
        <v>0.26624538142122162</v>
      </c>
      <c r="AA69" s="17">
        <f t="shared" si="151"/>
        <v>0.24001573317199146</v>
      </c>
      <c r="AB69" s="17">
        <f t="shared" si="151"/>
        <v>0.23622491244182503</v>
      </c>
      <c r="AD69" s="67">
        <f t="shared" si="102"/>
        <v>10.922295167616888</v>
      </c>
      <c r="AE69" s="68">
        <f t="shared" si="103"/>
        <v>58.098739715193027</v>
      </c>
      <c r="AF69" s="68">
        <f t="shared" si="104"/>
        <v>69.021034882809914</v>
      </c>
      <c r="AH69" t="str">
        <f t="shared" si="134"/>
        <v>91 Elementary trades and related occupations</v>
      </c>
      <c r="AI69" s="17">
        <f t="shared" si="152"/>
        <v>0.90373163594360673</v>
      </c>
      <c r="AJ69" s="17">
        <f t="shared" si="152"/>
        <v>0.85527866976251288</v>
      </c>
      <c r="AK69" s="17">
        <f t="shared" si="152"/>
        <v>0.75070404749421715</v>
      </c>
      <c r="AL69" s="17">
        <f t="shared" si="152"/>
        <v>0.78400860619851886</v>
      </c>
      <c r="AM69" s="17">
        <f t="shared" si="152"/>
        <v>0.89806638630634483</v>
      </c>
      <c r="AO69" s="67">
        <f t="shared" si="106"/>
        <v>36.650467187382127</v>
      </c>
      <c r="AP69" s="68">
        <f t="shared" si="107"/>
        <v>65.330539189166799</v>
      </c>
      <c r="AQ69" s="68">
        <f t="shared" si="108"/>
        <v>101.98100637654892</v>
      </c>
      <c r="AS69" t="str">
        <f t="shared" si="135"/>
        <v>91 Elementary trades and related occupations</v>
      </c>
      <c r="AT69" s="17">
        <f t="shared" si="153"/>
        <v>1.0127590383355958</v>
      </c>
      <c r="AU69" s="17">
        <f t="shared" si="153"/>
        <v>0.85176909653210764</v>
      </c>
      <c r="AV69" s="17">
        <f t="shared" si="153"/>
        <v>0.89245001781848732</v>
      </c>
      <c r="AW69" s="17">
        <f t="shared" si="153"/>
        <v>0.84997224163730778</v>
      </c>
      <c r="AX69" s="17">
        <f t="shared" si="153"/>
        <v>0.8417717532166259</v>
      </c>
      <c r="AZ69" s="67">
        <f t="shared" si="110"/>
        <v>14.853896098631303</v>
      </c>
      <c r="BA69" s="68">
        <f t="shared" si="111"/>
        <v>51.55732592791469</v>
      </c>
      <c r="BB69" s="68">
        <f t="shared" si="112"/>
        <v>66.411222026545985</v>
      </c>
      <c r="BD69" t="str">
        <f t="shared" si="136"/>
        <v>91 Elementary trades and related occupations</v>
      </c>
      <c r="BE69" s="17">
        <f t="shared" si="154"/>
        <v>1.3706558935190902</v>
      </c>
      <c r="BF69" s="17">
        <f t="shared" si="154"/>
        <v>1.2514865016667831</v>
      </c>
      <c r="BG69" s="17">
        <f t="shared" si="154"/>
        <v>1.1828836719698526</v>
      </c>
      <c r="BH69" s="17">
        <f t="shared" si="154"/>
        <v>1.222906446963965</v>
      </c>
      <c r="BI69" s="17">
        <f t="shared" si="154"/>
        <v>1.4917900125289882</v>
      </c>
      <c r="BK69" s="67">
        <f t="shared" si="114"/>
        <v>43.292232071251249</v>
      </c>
      <c r="BL69" s="68">
        <f t="shared" si="115"/>
        <v>41.686801036073632</v>
      </c>
      <c r="BM69" s="68">
        <f t="shared" si="116"/>
        <v>84.979033107324881</v>
      </c>
      <c r="BO69" t="str">
        <f t="shared" si="137"/>
        <v>91 Elementary trades and related occupations</v>
      </c>
      <c r="BP69" s="17">
        <f t="shared" si="155"/>
        <v>2.0944196939996274</v>
      </c>
      <c r="BQ69" s="17">
        <f t="shared" si="155"/>
        <v>1.7885168244289606</v>
      </c>
      <c r="BR69" s="17">
        <f t="shared" si="155"/>
        <v>1.8628551972473766</v>
      </c>
      <c r="BS69" s="17">
        <f t="shared" si="155"/>
        <v>1.5804869927774861</v>
      </c>
      <c r="BT69" s="17">
        <f t="shared" si="155"/>
        <v>1.7662425155999688</v>
      </c>
      <c r="BV69" s="67">
        <f t="shared" si="118"/>
        <v>-18.620368796707666</v>
      </c>
      <c r="BW69" s="68">
        <f t="shared" si="119"/>
        <v>30.956512049575764</v>
      </c>
      <c r="BX69" s="68">
        <f t="shared" si="120"/>
        <v>12.336143252868098</v>
      </c>
      <c r="BZ69" t="str">
        <f t="shared" si="138"/>
        <v>91 Elementary trades and related occupations</v>
      </c>
      <c r="CA69" s="17">
        <f t="shared" si="156"/>
        <v>3.8934088690106359</v>
      </c>
      <c r="CB69" s="17">
        <f t="shared" si="156"/>
        <v>3.501769201626058</v>
      </c>
      <c r="CC69" s="17">
        <f t="shared" si="156"/>
        <v>3.3958515612723921</v>
      </c>
      <c r="CD69" s="17">
        <f t="shared" si="156"/>
        <v>2.9746458242727565</v>
      </c>
      <c r="CE69" s="17">
        <f t="shared" si="156"/>
        <v>3.4127077475165781</v>
      </c>
      <c r="CG69" s="67">
        <f t="shared" si="122"/>
        <v>-33.472767197851191</v>
      </c>
      <c r="CH69" s="68">
        <f t="shared" si="123"/>
        <v>29.137814446789001</v>
      </c>
      <c r="CI69" s="68">
        <f t="shared" si="124"/>
        <v>-4.3349527510621906</v>
      </c>
      <c r="CK69" t="str">
        <f t="shared" si="139"/>
        <v>91 Elementary trades and related occupations</v>
      </c>
      <c r="CL69" s="17">
        <f t="shared" si="157"/>
        <v>4.8899419344584523</v>
      </c>
      <c r="CM69" s="17">
        <f t="shared" si="157"/>
        <v>4.4025532060707251</v>
      </c>
      <c r="CN69" s="17">
        <f t="shared" si="157"/>
        <v>4.5468903075221361</v>
      </c>
      <c r="CO69" s="17">
        <f t="shared" si="157"/>
        <v>3.5805835525641561</v>
      </c>
      <c r="CP69" s="17">
        <f t="shared" si="157"/>
        <v>3.0951430768307566</v>
      </c>
      <c r="CR69" s="67">
        <f t="shared" si="126"/>
        <v>-60.062828373012387</v>
      </c>
      <c r="CS69" s="68">
        <f t="shared" si="127"/>
        <v>16.95079944174066</v>
      </c>
      <c r="CT69" s="68">
        <f t="shared" si="128"/>
        <v>-43.11202893127173</v>
      </c>
    </row>
    <row r="70" spans="1:98" x14ac:dyDescent="0.3">
      <c r="A70" t="str">
        <f t="shared" si="95"/>
        <v>92 Elementary administration and service occupations</v>
      </c>
      <c r="B70" s="17">
        <f t="shared" si="149"/>
        <v>0.43450142655049723</v>
      </c>
      <c r="C70" s="17">
        <f t="shared" si="149"/>
        <v>0.38547545070842509</v>
      </c>
      <c r="D70" s="17">
        <f t="shared" si="149"/>
        <v>0.40555962661777933</v>
      </c>
      <c r="E70" s="17">
        <f t="shared" si="149"/>
        <v>0.4648995346594329</v>
      </c>
      <c r="F70" s="17">
        <f t="shared" si="149"/>
        <v>0.47963064118157911</v>
      </c>
      <c r="H70" s="67">
        <f t="shared" si="129"/>
        <v>94.844306636990865</v>
      </c>
      <c r="I70" s="68">
        <f t="shared" si="130"/>
        <v>90.099802787421552</v>
      </c>
      <c r="J70" s="68">
        <f t="shared" si="131"/>
        <v>184.94410942441243</v>
      </c>
      <c r="L70" t="str">
        <f t="shared" ref="L70" si="158">A70</f>
        <v>92 Elementary administration and service occupations</v>
      </c>
      <c r="M70" s="17">
        <f t="shared" si="150"/>
        <v>1.8326970668123883</v>
      </c>
      <c r="N70" s="17">
        <f t="shared" si="150"/>
        <v>1.834396442604989</v>
      </c>
      <c r="O70" s="17">
        <f t="shared" si="150"/>
        <v>1.8736849759615981</v>
      </c>
      <c r="P70" s="17">
        <f t="shared" si="150"/>
        <v>2.1545771133133993</v>
      </c>
      <c r="Q70" s="17">
        <f t="shared" si="150"/>
        <v>2.3884409246800939</v>
      </c>
      <c r="S70" s="67">
        <f t="shared" si="98"/>
        <v>113.40280957726594</v>
      </c>
      <c r="T70" s="68">
        <f t="shared" si="99"/>
        <v>93.269894452683005</v>
      </c>
      <c r="U70" s="68">
        <f t="shared" si="100"/>
        <v>206.67270402994893</v>
      </c>
      <c r="W70" t="str">
        <f t="shared" ref="W70" si="159">A70</f>
        <v>92 Elementary administration and service occupations</v>
      </c>
      <c r="X70" s="17">
        <f t="shared" si="151"/>
        <v>3.2454416686112877</v>
      </c>
      <c r="Y70" s="17">
        <f t="shared" si="151"/>
        <v>3.3473633744159978</v>
      </c>
      <c r="Z70" s="17">
        <f t="shared" si="151"/>
        <v>3.5169162488510883</v>
      </c>
      <c r="AA70" s="17">
        <f t="shared" si="151"/>
        <v>3.9311455157586952</v>
      </c>
      <c r="AB70" s="17">
        <f t="shared" si="151"/>
        <v>4.4396267259234836</v>
      </c>
      <c r="AD70" s="67">
        <f t="shared" si="102"/>
        <v>57.819137014877576</v>
      </c>
      <c r="AE70" s="68">
        <f t="shared" si="103"/>
        <v>82.365030174092738</v>
      </c>
      <c r="AF70" s="68">
        <f t="shared" si="104"/>
        <v>140.18416718897032</v>
      </c>
      <c r="AH70" t="str">
        <f t="shared" ref="AH70" si="160">L70</f>
        <v>92 Elementary administration and service occupations</v>
      </c>
      <c r="AI70" s="17">
        <f t="shared" si="152"/>
        <v>5.6300135617544447</v>
      </c>
      <c r="AJ70" s="17">
        <f t="shared" si="152"/>
        <v>6.4901060615597004</v>
      </c>
      <c r="AK70" s="17">
        <f t="shared" si="152"/>
        <v>6.7387588391668194</v>
      </c>
      <c r="AL70" s="17">
        <f t="shared" si="152"/>
        <v>8.0316153344420176</v>
      </c>
      <c r="AM70" s="17">
        <f t="shared" si="152"/>
        <v>9.5168830754738369</v>
      </c>
      <c r="AO70" s="67">
        <f t="shared" si="106"/>
        <v>61.319272880952489</v>
      </c>
      <c r="AP70" s="68">
        <f t="shared" si="107"/>
        <v>79.206513374793943</v>
      </c>
      <c r="AQ70" s="68">
        <f t="shared" si="108"/>
        <v>140.52578625574645</v>
      </c>
      <c r="AS70" t="str">
        <f t="shared" ref="AS70" si="161">W70</f>
        <v>92 Elementary administration and service occupations</v>
      </c>
      <c r="AT70" s="17">
        <f t="shared" si="153"/>
        <v>5.2594583976289151</v>
      </c>
      <c r="AU70" s="17">
        <f t="shared" si="153"/>
        <v>5.2924231386322944</v>
      </c>
      <c r="AV70" s="17">
        <f t="shared" si="153"/>
        <v>5.8237167613440892</v>
      </c>
      <c r="AW70" s="17">
        <f t="shared" si="153"/>
        <v>6.4314758307466624</v>
      </c>
      <c r="AX70" s="17">
        <f t="shared" si="153"/>
        <v>7.5256753729679717</v>
      </c>
      <c r="AZ70" s="67">
        <f t="shared" si="110"/>
        <v>57.35499090171664</v>
      </c>
      <c r="BA70" s="68">
        <f t="shared" si="111"/>
        <v>76.871571869651405</v>
      </c>
      <c r="BB70" s="68">
        <f t="shared" si="112"/>
        <v>134.22656277136807</v>
      </c>
      <c r="BD70" t="str">
        <f t="shared" ref="BD70" si="162">AH70</f>
        <v>92 Elementary administration and service occupations</v>
      </c>
      <c r="BE70" s="17">
        <f t="shared" si="154"/>
        <v>9.1309729986007557</v>
      </c>
      <c r="BF70" s="17">
        <f t="shared" si="154"/>
        <v>8.3208027839094036</v>
      </c>
      <c r="BG70" s="17">
        <f t="shared" si="154"/>
        <v>8.3482853747184365</v>
      </c>
      <c r="BH70" s="17">
        <f t="shared" si="154"/>
        <v>8.1308795394742663</v>
      </c>
      <c r="BI70" s="17">
        <f t="shared" si="154"/>
        <v>7.709486301027793</v>
      </c>
      <c r="BK70" s="67">
        <f t="shared" si="114"/>
        <v>4.9264897848990135</v>
      </c>
      <c r="BL70" s="68">
        <f t="shared" si="115"/>
        <v>55.190945002398074</v>
      </c>
      <c r="BM70" s="68">
        <f t="shared" si="116"/>
        <v>60.117434787297086</v>
      </c>
      <c r="BO70" t="str">
        <f t="shared" ref="BO70" si="163">AS70</f>
        <v>92 Elementary administration and service occupations</v>
      </c>
      <c r="BP70" s="17">
        <f t="shared" si="155"/>
        <v>14.161874290373474</v>
      </c>
      <c r="BQ70" s="17">
        <f t="shared" si="155"/>
        <v>14.485327720131366</v>
      </c>
      <c r="BR70" s="17">
        <f t="shared" si="155"/>
        <v>14.135379002730733</v>
      </c>
      <c r="BS70" s="17">
        <f t="shared" si="155"/>
        <v>15.017984108025729</v>
      </c>
      <c r="BT70" s="17">
        <f t="shared" si="155"/>
        <v>15.608994686719763</v>
      </c>
      <c r="BV70" s="67">
        <f t="shared" si="118"/>
        <v>-5.2210362785036288</v>
      </c>
      <c r="BW70" s="68">
        <f t="shared" si="119"/>
        <v>49.039909788357562</v>
      </c>
      <c r="BX70" s="68">
        <f t="shared" si="120"/>
        <v>43.818873509853937</v>
      </c>
      <c r="BZ70" t="str">
        <f t="shared" ref="BZ70" si="164">BD70</f>
        <v>92 Elementary administration and service occupations</v>
      </c>
      <c r="CA70" s="17">
        <f t="shared" si="156"/>
        <v>19.284798494946436</v>
      </c>
      <c r="CB70" s="17">
        <f t="shared" si="156"/>
        <v>20.900789468571169</v>
      </c>
      <c r="CC70" s="17">
        <f t="shared" si="156"/>
        <v>20.509656981901429</v>
      </c>
      <c r="CD70" s="17">
        <f t="shared" si="156"/>
        <v>22.188796159486778</v>
      </c>
      <c r="CE70" s="17">
        <f t="shared" si="156"/>
        <v>23.583345413688146</v>
      </c>
      <c r="CG70" s="67">
        <f t="shared" si="122"/>
        <v>-23.880474197149596</v>
      </c>
      <c r="CH70" s="68">
        <f t="shared" si="123"/>
        <v>38.445581534258075</v>
      </c>
      <c r="CI70" s="68">
        <f t="shared" si="124"/>
        <v>14.565107337108483</v>
      </c>
      <c r="CK70" t="str">
        <f t="shared" ref="CK70" si="165">BO70</f>
        <v>92 Elementary administration and service occupations</v>
      </c>
      <c r="CL70" s="17">
        <f t="shared" si="157"/>
        <v>27.562371883748238</v>
      </c>
      <c r="CM70" s="17">
        <f t="shared" si="157"/>
        <v>24.817901315012556</v>
      </c>
      <c r="CN70" s="17">
        <f t="shared" si="157"/>
        <v>23.243991038678903</v>
      </c>
      <c r="CO70" s="17">
        <f t="shared" si="157"/>
        <v>19.712699078759719</v>
      </c>
      <c r="CP70" s="17">
        <f t="shared" si="157"/>
        <v>14.338739566056985</v>
      </c>
      <c r="CR70" s="67">
        <f t="shared" si="126"/>
        <v>-63.808104478232877</v>
      </c>
      <c r="CS70" s="68">
        <f t="shared" si="127"/>
        <v>16.097080486510258</v>
      </c>
      <c r="CT70" s="68">
        <f t="shared" si="128"/>
        <v>-47.711023991722605</v>
      </c>
    </row>
    <row r="71" spans="1:98" x14ac:dyDescent="0.3">
      <c r="B71" s="17"/>
      <c r="C71" s="17"/>
      <c r="D71" s="17"/>
      <c r="E71" s="17"/>
      <c r="F71" s="17"/>
      <c r="H71" s="67"/>
      <c r="I71" s="68"/>
      <c r="J71" s="68"/>
      <c r="M71" s="17"/>
      <c r="N71" s="17"/>
      <c r="O71" s="17"/>
      <c r="P71" s="17"/>
      <c r="Q71" s="17"/>
      <c r="S71" s="67"/>
      <c r="T71" s="68"/>
      <c r="U71" s="68"/>
      <c r="X71" s="17"/>
      <c r="Y71" s="17"/>
      <c r="Z71" s="17"/>
      <c r="AA71" s="17"/>
      <c r="AB71" s="17"/>
      <c r="AD71" s="67"/>
      <c r="AE71" s="68"/>
      <c r="AF71" s="68"/>
      <c r="AI71" s="17"/>
      <c r="AJ71" s="17"/>
      <c r="AK71" s="17"/>
      <c r="AL71" s="17"/>
      <c r="AM71" s="17"/>
      <c r="AO71" s="67"/>
      <c r="AP71" s="68"/>
      <c r="AQ71" s="68"/>
      <c r="AT71" s="17"/>
      <c r="AU71" s="17"/>
      <c r="AV71" s="17"/>
      <c r="AW71" s="17"/>
      <c r="AX71" s="17"/>
      <c r="AZ71" s="67"/>
      <c r="BA71" s="68"/>
      <c r="BB71" s="68"/>
      <c r="BE71" s="17"/>
      <c r="BF71" s="17"/>
      <c r="BG71" s="17"/>
      <c r="BH71" s="17"/>
      <c r="BI71" s="17"/>
      <c r="BK71" s="67"/>
      <c r="BL71" s="68"/>
      <c r="BM71" s="68"/>
      <c r="BP71" s="17"/>
      <c r="BQ71" s="17"/>
      <c r="BR71" s="17"/>
      <c r="BS71" s="17"/>
      <c r="BT71" s="17"/>
      <c r="BV71" s="67"/>
      <c r="BW71" s="68"/>
      <c r="BX71" s="68"/>
      <c r="CA71" s="17"/>
      <c r="CB71" s="17"/>
      <c r="CC71" s="17"/>
      <c r="CD71" s="17"/>
      <c r="CE71" s="17"/>
      <c r="CG71" s="67"/>
      <c r="CH71" s="68"/>
      <c r="CI71" s="68"/>
      <c r="CL71" s="17"/>
      <c r="CM71" s="17"/>
      <c r="CN71" s="17"/>
      <c r="CO71" s="17"/>
      <c r="CP71" s="17"/>
      <c r="CR71" s="67"/>
      <c r="CS71" s="68"/>
      <c r="CT71" s="68"/>
    </row>
    <row r="72" spans="1:98" x14ac:dyDescent="0.3">
      <c r="A72" s="23" t="str">
        <f>A35</f>
        <v>All occupations</v>
      </c>
      <c r="B72" s="25">
        <f>B35/B$35*100</f>
        <v>100</v>
      </c>
      <c r="C72" s="25">
        <f>C35/C$35*100</f>
        <v>100</v>
      </c>
      <c r="D72" s="25">
        <f>D35/D$35*100</f>
        <v>100</v>
      </c>
      <c r="E72" s="25">
        <f>E35/E$35*100</f>
        <v>100</v>
      </c>
      <c r="F72" s="25">
        <f>F35/F$35*100</f>
        <v>100</v>
      </c>
      <c r="H72" s="69">
        <f>IF(D35&gt;0,(H35/D35)*100,0)</f>
        <v>64.753828182512379</v>
      </c>
      <c r="I72" s="66">
        <f>IF(D35&gt;0,I35/D35*100,0)</f>
        <v>66.628080944780478</v>
      </c>
      <c r="J72" s="66">
        <f>IF(D35&gt;0,(J35/D35)*100,0)</f>
        <v>131.38190912729286</v>
      </c>
      <c r="L72" s="23" t="str">
        <f>L35</f>
        <v>All occupations</v>
      </c>
      <c r="M72" s="25">
        <f>M35/M$35*100</f>
        <v>100</v>
      </c>
      <c r="N72" s="25">
        <f>N35/N$35*100</f>
        <v>100</v>
      </c>
      <c r="O72" s="25">
        <f>O35/O$35*100</f>
        <v>100</v>
      </c>
      <c r="P72" s="25">
        <f>P35/P$35*100</f>
        <v>100</v>
      </c>
      <c r="Q72" s="25">
        <f>Q35/Q$35*100</f>
        <v>100</v>
      </c>
      <c r="S72" s="69">
        <f t="shared" ref="S72" si="166">IF(O35&gt;0,(S35/O35)*100,0)</f>
        <v>67.410311053212524</v>
      </c>
      <c r="T72" s="66">
        <f t="shared" ref="T72" si="167">IF(O35&gt;0,T35/O35*100,0)</f>
        <v>70.429900808335262</v>
      </c>
      <c r="U72" s="66">
        <f t="shared" ref="U72" si="168">IF(O35&gt;0,(U35/O35)*100,0)</f>
        <v>137.8402118615478</v>
      </c>
      <c r="W72" s="23" t="str">
        <f>W35</f>
        <v>All occupations</v>
      </c>
      <c r="X72" s="25">
        <f>X35/X$35*100</f>
        <v>100</v>
      </c>
      <c r="Y72" s="25">
        <f>Y35/Y$35*100</f>
        <v>100</v>
      </c>
      <c r="Z72" s="25">
        <f>Z35/Z$35*100</f>
        <v>100</v>
      </c>
      <c r="AA72" s="25">
        <f>AA35/AA$35*100</f>
        <v>100</v>
      </c>
      <c r="AB72" s="25">
        <f>AB35/AB$35*100</f>
        <v>100</v>
      </c>
      <c r="AD72" s="69">
        <f t="shared" ref="AD72" si="169">IF(Z35&gt;0,(AD35/Z35)*100,0)</f>
        <v>25.018773336586392</v>
      </c>
      <c r="AE72" s="66">
        <f t="shared" ref="AE72" si="170">IF(Z35&gt;0,AE35/Z35*100,0)</f>
        <v>59.847859450977701</v>
      </c>
      <c r="AF72" s="66">
        <f t="shared" ref="AF72" si="171">IF(Z35&gt;0,(AF35/Z35)*100,0)</f>
        <v>84.866632787564072</v>
      </c>
      <c r="AH72" s="23" t="str">
        <f>AH35</f>
        <v>All occupations</v>
      </c>
      <c r="AI72" s="25">
        <f>AI35/AI$35*100</f>
        <v>100</v>
      </c>
      <c r="AJ72" s="25">
        <f>AJ35/AJ$35*100</f>
        <v>100</v>
      </c>
      <c r="AK72" s="25">
        <f>AK35/AK$35*100</f>
        <v>100</v>
      </c>
      <c r="AL72" s="25">
        <f>AL35/AL$35*100</f>
        <v>100</v>
      </c>
      <c r="AM72" s="25">
        <f>AM35/AM$35*100</f>
        <v>100</v>
      </c>
      <c r="AO72" s="69">
        <f t="shared" ref="AO72" si="172">IF(AK35&gt;0,(AO35/AK35)*100,0)</f>
        <v>14.227701174142835</v>
      </c>
      <c r="AP72" s="66">
        <f t="shared" ref="AP72" si="173">IF(AK35&gt;0,AP35/AK35*100,0)</f>
        <v>55.506711251803729</v>
      </c>
      <c r="AQ72" s="66">
        <f t="shared" ref="AQ72" si="174">IF(AK35&gt;0,(AQ35/AK35)*100,0)</f>
        <v>69.734412425946573</v>
      </c>
      <c r="AS72" s="23" t="str">
        <f>AS35</f>
        <v>All occupations</v>
      </c>
      <c r="AT72" s="25">
        <f>AT35/AT$35*100</f>
        <v>100</v>
      </c>
      <c r="AU72" s="25">
        <f>AU35/AU$35*100</f>
        <v>100</v>
      </c>
      <c r="AV72" s="25">
        <f>AV35/AV$35*100</f>
        <v>100</v>
      </c>
      <c r="AW72" s="25">
        <f>AW35/AW$35*100</f>
        <v>100</v>
      </c>
      <c r="AX72" s="25">
        <f>AX35/AX$35*100</f>
        <v>100</v>
      </c>
      <c r="AZ72" s="69">
        <f t="shared" ref="AZ72" si="175">IF(AV35&gt;0,(AZ35/AV35)*100,0)</f>
        <v>21.768592528868044</v>
      </c>
      <c r="BA72" s="66">
        <f t="shared" ref="BA72" si="176">IF(AV35&gt;0,BA35/AV35*100,0)</f>
        <v>56.582408476151869</v>
      </c>
      <c r="BB72" s="66">
        <f t="shared" ref="BB72" si="177">IF(AV35&gt;0,(BB35/AV35)*100,0)</f>
        <v>78.35100100501991</v>
      </c>
      <c r="BD72" s="23" t="str">
        <f>BD35</f>
        <v>All occupations</v>
      </c>
      <c r="BE72" s="25">
        <f>BE35/BE$35*100</f>
        <v>100</v>
      </c>
      <c r="BF72" s="25">
        <f>BF35/BF$35*100</f>
        <v>100</v>
      </c>
      <c r="BG72" s="25">
        <f>BG35/BG$35*100</f>
        <v>100</v>
      </c>
      <c r="BH72" s="25">
        <f>BH35/BH$35*100</f>
        <v>100</v>
      </c>
      <c r="BI72" s="25">
        <f>BI35/BI$35*100</f>
        <v>100</v>
      </c>
      <c r="BK72" s="69">
        <f t="shared" ref="BK72" si="178">IF(BG35&gt;0,(BK35/BG35)*100,0)</f>
        <v>13.620576765930236</v>
      </c>
      <c r="BL72" s="66">
        <f t="shared" ref="BL72" si="179">IF(BG35&gt;0,BL35/BG35*100,0)</f>
        <v>50.899006084310386</v>
      </c>
      <c r="BM72" s="66">
        <f t="shared" ref="BM72" si="180">IF(BG35&gt;0,(BM35/BG35)*100,0)</f>
        <v>64.51958285024061</v>
      </c>
      <c r="BO72" s="23" t="str">
        <f>BO35</f>
        <v>All occupations</v>
      </c>
      <c r="BP72" s="25">
        <f>BP35/BP$35*100</f>
        <v>100</v>
      </c>
      <c r="BQ72" s="25">
        <f>BQ35/BQ$35*100</f>
        <v>100</v>
      </c>
      <c r="BR72" s="25">
        <f>BR35/BR$35*100</f>
        <v>100</v>
      </c>
      <c r="BS72" s="25">
        <f>BS35/BS$35*100</f>
        <v>100</v>
      </c>
      <c r="BT72" s="25">
        <f>BT35/BT$35*100</f>
        <v>100</v>
      </c>
      <c r="BV72" s="69">
        <f t="shared" ref="BV72" si="181">IF(BR35&gt;0,(BV35/BR35)*100,0)</f>
        <v>-14.1689390906594</v>
      </c>
      <c r="BW72" s="66">
        <f t="shared" ref="BW72" si="182">IF(BR35&gt;0,BW35/BR35*100,0)</f>
        <v>43.049439331481892</v>
      </c>
      <c r="BX72" s="66">
        <f t="shared" ref="BX72" si="183">IF(BR35&gt;0,(BX35/BR35)*100,0)</f>
        <v>28.880500240822492</v>
      </c>
      <c r="BZ72" s="23" t="str">
        <f>BZ35</f>
        <v>All occupations</v>
      </c>
      <c r="CA72" s="25">
        <f>CA35/CA$35*100</f>
        <v>100</v>
      </c>
      <c r="CB72" s="25">
        <f>CB35/CB$35*100</f>
        <v>100</v>
      </c>
      <c r="CC72" s="25">
        <f>CC35/CC$35*100</f>
        <v>100</v>
      </c>
      <c r="CD72" s="25">
        <f>CD35/CD$35*100</f>
        <v>100</v>
      </c>
      <c r="CE72" s="25">
        <f>CE35/CE$35*100</f>
        <v>100</v>
      </c>
      <c r="CG72" s="69">
        <f t="shared" ref="CG72" si="184">IF(CC35&gt;0,(CG35/CC35)*100,0)</f>
        <v>-33.801361237947162</v>
      </c>
      <c r="CH72" s="66">
        <f t="shared" ref="CH72" si="185">IF(CC35&gt;0,CH35/CC35*100,0)</f>
        <v>33.957838010377657</v>
      </c>
      <c r="CI72" s="66">
        <f t="shared" ref="CI72" si="186">IF(CC35&gt;0,(CI35/CC35)*100,0)</f>
        <v>0.15647677243048852</v>
      </c>
      <c r="CK72" s="23" t="str">
        <f>CK35</f>
        <v>All occupations</v>
      </c>
      <c r="CL72" s="25">
        <f>CL35/CL$35*100</f>
        <v>100</v>
      </c>
      <c r="CM72" s="25">
        <f>CM35/CM$35*100</f>
        <v>100</v>
      </c>
      <c r="CN72" s="25">
        <f>CN35/CN$35*100</f>
        <v>100</v>
      </c>
      <c r="CO72" s="25">
        <f>CO35/CO$35*100</f>
        <v>100</v>
      </c>
      <c r="CP72" s="25">
        <f>CP35/CP$35*100</f>
        <v>100</v>
      </c>
      <c r="CR72" s="69">
        <f t="shared" ref="CR72" si="187">IF(CN35&gt;0,(CR35/CN35)*100,0)</f>
        <v>-41.33068033593608</v>
      </c>
      <c r="CS72" s="66">
        <f t="shared" ref="CS72" si="188">IF(CN35&gt;0,CS35/CN35*100,0)</f>
        <v>22.651305352726325</v>
      </c>
      <c r="CT72" s="66">
        <f t="shared" ref="CT72" si="189">IF(CN35&gt;0,(CT35/CN35)*100,0)</f>
        <v>-18.679374983209751</v>
      </c>
    </row>
    <row r="75" spans="1:98" ht="51" customHeight="1" x14ac:dyDescent="0.3">
      <c r="A75" s="379" t="str">
        <f>CONCATENATE(A$1," (Continued)")</f>
        <v>Basic Table 2  Employment Change by Occupation and Replacement Demand, RQF8 Doctorate, 2015-2035, East (Continued)</v>
      </c>
      <c r="B75" s="379"/>
      <c r="C75" s="379"/>
      <c r="D75" s="379"/>
      <c r="E75" s="379"/>
      <c r="F75" s="379"/>
      <c r="G75" s="379"/>
      <c r="H75" s="379"/>
      <c r="I75" s="379"/>
      <c r="J75" s="379"/>
      <c r="L75" s="379" t="str">
        <f>CONCATENATE(L$1," (Continued)")</f>
        <v>Basic Table 2.1  Employment Change by Occupation and Replacement Demand, RQF7 Other higher degree, 2015-2035, East (Continued)</v>
      </c>
      <c r="M75" s="379"/>
      <c r="N75" s="379"/>
      <c r="O75" s="379"/>
      <c r="P75" s="379"/>
      <c r="Q75" s="379"/>
      <c r="R75" s="379"/>
      <c r="S75" s="379"/>
      <c r="T75" s="379"/>
      <c r="U75" s="379"/>
      <c r="W75" s="379" t="str">
        <f>CONCATENATE(W$1," (Continued)")</f>
        <v>Basic Table 2.2  Employment Change by Occupation and Replacement Demand, RQF6 First degree, 2015-2035, East (Continued)</v>
      </c>
      <c r="X75" s="379"/>
      <c r="Y75" s="379"/>
      <c r="Z75" s="379"/>
      <c r="AA75" s="379"/>
      <c r="AB75" s="379"/>
      <c r="AC75" s="379"/>
      <c r="AD75" s="379"/>
      <c r="AE75" s="379"/>
      <c r="AF75" s="379"/>
      <c r="AH75" s="379" t="str">
        <f>CONCATENATE(AH$1," (Continued)")</f>
        <v>Basic Table 2.3  Employment Change by Occupation and Replacement Demand, RQF5 Foundation degree;Nursing;Teaching, 2015-2035, East (Continued)</v>
      </c>
      <c r="AI75" s="379"/>
      <c r="AJ75" s="379"/>
      <c r="AK75" s="379"/>
      <c r="AL75" s="379"/>
      <c r="AM75" s="379"/>
      <c r="AN75" s="379"/>
      <c r="AO75" s="379"/>
      <c r="AP75" s="379"/>
      <c r="AQ75" s="379"/>
      <c r="AS75" s="379" t="str">
        <f>CONCATENATE(AS$1," (Continued)")</f>
        <v>Basic Table 2.4  Employment Change by Occupation and Replacement Demand, RQF4 HE below degree level, 2015-2035, East (Continued)</v>
      </c>
      <c r="AT75" s="379"/>
      <c r="AU75" s="379"/>
      <c r="AV75" s="379"/>
      <c r="AW75" s="379"/>
      <c r="AX75" s="379"/>
      <c r="AY75" s="379"/>
      <c r="AZ75" s="379"/>
      <c r="BA75" s="379"/>
      <c r="BB75" s="379"/>
      <c r="BD75" s="379" t="str">
        <f>CONCATENATE(BD$1," (Continued)")</f>
        <v>Basic Table 2.5  Employment Change by Occupation and Replacement Demand, RQF3 A level &amp; equivalent, 2015-2035, East (Continued)</v>
      </c>
      <c r="BE75" s="379"/>
      <c r="BF75" s="379"/>
      <c r="BG75" s="379"/>
      <c r="BH75" s="379"/>
      <c r="BI75" s="379"/>
      <c r="BJ75" s="379"/>
      <c r="BK75" s="379"/>
      <c r="BL75" s="379"/>
      <c r="BM75" s="379"/>
      <c r="BO75" s="379" t="str">
        <f>CONCATENATE(BO$1," (Continued)")</f>
        <v>Basic Table 2.6  Employment Change by Occupation and Replacement Demand, RQF2 GCSE(A-C) &amp; equivalent, 2015-2035, East (Continued)</v>
      </c>
      <c r="BP75" s="379"/>
      <c r="BQ75" s="379"/>
      <c r="BR75" s="379"/>
      <c r="BS75" s="379"/>
      <c r="BT75" s="379"/>
      <c r="BU75" s="379"/>
      <c r="BV75" s="379"/>
      <c r="BW75" s="379"/>
      <c r="BX75" s="379"/>
      <c r="BZ75" s="379" t="str">
        <f>CONCATENATE(BZ$1," (Continued)")</f>
        <v>Basic Table 2.7  Employment Change by Occupation and Replacement Demand, RQF1 GCSE(below grade C) &amp; equivalent, 2015-2035, East (Continued)</v>
      </c>
      <c r="CA75" s="379"/>
      <c r="CB75" s="379"/>
      <c r="CC75" s="379"/>
      <c r="CD75" s="379"/>
      <c r="CE75" s="379"/>
      <c r="CF75" s="379"/>
      <c r="CG75" s="379"/>
      <c r="CH75" s="379"/>
      <c r="CI75" s="379"/>
      <c r="CK75" s="379" t="str">
        <f>CONCATENATE(CK$1," (Continued)")</f>
        <v>Basic Table 2.8  Employment Change by Occupation and Replacement Demand, No Qualification, 2015-2035, East (Continued)</v>
      </c>
      <c r="CL75" s="379"/>
      <c r="CM75" s="379"/>
      <c r="CN75" s="379"/>
      <c r="CO75" s="379"/>
      <c r="CP75" s="379"/>
      <c r="CQ75" s="379"/>
      <c r="CR75" s="379"/>
      <c r="CS75" s="379"/>
      <c r="CT75" s="379"/>
    </row>
    <row r="77" spans="1:98" x14ac:dyDescent="0.3">
      <c r="F77" s="15" t="s">
        <v>36</v>
      </c>
      <c r="J77" s="15" t="s">
        <v>36</v>
      </c>
      <c r="Q77" s="15" t="s">
        <v>36</v>
      </c>
      <c r="U77" s="15" t="s">
        <v>36</v>
      </c>
      <c r="AB77" s="15" t="s">
        <v>36</v>
      </c>
      <c r="AF77" s="15" t="s">
        <v>36</v>
      </c>
      <c r="AM77" s="15" t="s">
        <v>36</v>
      </c>
      <c r="AQ77" s="15" t="s">
        <v>36</v>
      </c>
      <c r="AX77" s="15" t="s">
        <v>36</v>
      </c>
      <c r="BB77" s="15" t="s">
        <v>36</v>
      </c>
      <c r="BI77" s="15" t="s">
        <v>36</v>
      </c>
      <c r="BM77" s="15" t="s">
        <v>36</v>
      </c>
      <c r="BT77" s="15" t="s">
        <v>36</v>
      </c>
      <c r="BX77" s="15" t="s">
        <v>36</v>
      </c>
      <c r="CE77" s="15" t="s">
        <v>36</v>
      </c>
      <c r="CI77" s="15" t="s">
        <v>36</v>
      </c>
      <c r="CP77" s="15" t="s">
        <v>36</v>
      </c>
      <c r="CT77" s="15" t="s">
        <v>36</v>
      </c>
    </row>
    <row r="78" spans="1:98" x14ac:dyDescent="0.3">
      <c r="A78" s="35"/>
      <c r="B78" s="35"/>
      <c r="C78" s="35"/>
      <c r="D78" s="35"/>
      <c r="E78" s="35"/>
      <c r="F78" s="35"/>
      <c r="H78" s="27" t="str">
        <f>$H$4</f>
        <v>2020-2035</v>
      </c>
      <c r="I78" s="35"/>
      <c r="J78" s="35"/>
      <c r="L78" s="35"/>
      <c r="M78" s="35"/>
      <c r="N78" s="35"/>
      <c r="O78" s="35"/>
      <c r="P78" s="35"/>
      <c r="Q78" s="35"/>
      <c r="S78" s="27" t="str">
        <f>$H$4</f>
        <v>2020-2035</v>
      </c>
      <c r="T78" s="35"/>
      <c r="U78" s="35"/>
      <c r="W78" s="35"/>
      <c r="X78" s="35"/>
      <c r="Y78" s="35"/>
      <c r="Z78" s="35"/>
      <c r="AA78" s="35"/>
      <c r="AB78" s="35"/>
      <c r="AD78" s="27" t="str">
        <f>$H$4</f>
        <v>2020-2035</v>
      </c>
      <c r="AE78" s="35"/>
      <c r="AF78" s="35"/>
      <c r="AH78" s="35"/>
      <c r="AI78" s="35"/>
      <c r="AJ78" s="35"/>
      <c r="AK78" s="35"/>
      <c r="AL78" s="35"/>
      <c r="AM78" s="35"/>
      <c r="AO78" s="27" t="str">
        <f>$H$4</f>
        <v>2020-2035</v>
      </c>
      <c r="AP78" s="35"/>
      <c r="AQ78" s="35"/>
      <c r="AS78" s="35"/>
      <c r="AT78" s="35"/>
      <c r="AU78" s="35"/>
      <c r="AV78" s="35"/>
      <c r="AW78" s="35"/>
      <c r="AX78" s="35"/>
      <c r="AZ78" s="27" t="str">
        <f>$H$4</f>
        <v>2020-2035</v>
      </c>
      <c r="BA78" s="35"/>
      <c r="BB78" s="35"/>
      <c r="BD78" s="35"/>
      <c r="BE78" s="35"/>
      <c r="BF78" s="35"/>
      <c r="BG78" s="35"/>
      <c r="BH78" s="35"/>
      <c r="BI78" s="35"/>
      <c r="BK78" s="27" t="str">
        <f>$H$4</f>
        <v>2020-2035</v>
      </c>
      <c r="BL78" s="35"/>
      <c r="BM78" s="35"/>
      <c r="BO78" s="35"/>
      <c r="BP78" s="35"/>
      <c r="BQ78" s="35"/>
      <c r="BR78" s="35"/>
      <c r="BS78" s="35"/>
      <c r="BT78" s="35"/>
      <c r="BV78" s="27" t="str">
        <f>$H$4</f>
        <v>2020-2035</v>
      </c>
      <c r="BW78" s="35"/>
      <c r="BX78" s="35"/>
      <c r="BZ78" s="35"/>
      <c r="CA78" s="35"/>
      <c r="CB78" s="35"/>
      <c r="CC78" s="35"/>
      <c r="CD78" s="35"/>
      <c r="CE78" s="35"/>
      <c r="CG78" s="27" t="str">
        <f>$H$4</f>
        <v>2020-2035</v>
      </c>
      <c r="CH78" s="35"/>
      <c r="CI78" s="35"/>
      <c r="CK78" s="35"/>
      <c r="CL78" s="35"/>
      <c r="CM78" s="35"/>
      <c r="CN78" s="35"/>
      <c r="CO78" s="35"/>
      <c r="CP78" s="35"/>
      <c r="CR78" s="27" t="str">
        <f>$H$4</f>
        <v>2020-2035</v>
      </c>
      <c r="CS78" s="35"/>
      <c r="CT78" s="35"/>
    </row>
    <row r="79" spans="1:98" x14ac:dyDescent="0.3">
      <c r="H79" s="15" t="str">
        <f t="shared" ref="H79:J80" si="190">H42</f>
        <v>Net</v>
      </c>
      <c r="I79" s="15" t="str">
        <f t="shared" si="190"/>
        <v>Replacement</v>
      </c>
      <c r="J79" s="15" t="str">
        <f t="shared" si="190"/>
        <v>Total</v>
      </c>
      <c r="S79" s="15" t="str">
        <f t="shared" ref="S79:U80" si="191">S42</f>
        <v>Net</v>
      </c>
      <c r="T79" s="15" t="str">
        <f t="shared" si="191"/>
        <v>Replacement</v>
      </c>
      <c r="U79" s="15" t="str">
        <f t="shared" si="191"/>
        <v>Total</v>
      </c>
      <c r="AD79" s="15" t="str">
        <f t="shared" ref="AD79:AF80" si="192">AD42</f>
        <v>Net</v>
      </c>
      <c r="AE79" s="15" t="str">
        <f t="shared" si="192"/>
        <v>Replacement</v>
      </c>
      <c r="AF79" s="15" t="str">
        <f t="shared" si="192"/>
        <v>Total</v>
      </c>
      <c r="AO79" s="15" t="str">
        <f t="shared" ref="AO79:AQ80" si="193">AO42</f>
        <v>Net</v>
      </c>
      <c r="AP79" s="15" t="str">
        <f t="shared" si="193"/>
        <v>Replacement</v>
      </c>
      <c r="AQ79" s="15" t="str">
        <f t="shared" si="193"/>
        <v>Total</v>
      </c>
      <c r="AZ79" s="15" t="str">
        <f t="shared" ref="AZ79:BB80" si="194">AZ42</f>
        <v>Net</v>
      </c>
      <c r="BA79" s="15" t="str">
        <f t="shared" si="194"/>
        <v>Replacement</v>
      </c>
      <c r="BB79" s="15" t="str">
        <f t="shared" si="194"/>
        <v>Total</v>
      </c>
      <c r="BK79" s="15" t="str">
        <f t="shared" ref="BK79:BM80" si="195">BK42</f>
        <v>Net</v>
      </c>
      <c r="BL79" s="15" t="str">
        <f t="shared" si="195"/>
        <v>Replacement</v>
      </c>
      <c r="BM79" s="15" t="str">
        <f t="shared" si="195"/>
        <v>Total</v>
      </c>
      <c r="BV79" s="15" t="str">
        <f t="shared" ref="BV79:BX80" si="196">BV42</f>
        <v>Net</v>
      </c>
      <c r="BW79" s="15" t="str">
        <f t="shared" si="196"/>
        <v>Replacement</v>
      </c>
      <c r="BX79" s="15" t="str">
        <f t="shared" si="196"/>
        <v>Total</v>
      </c>
      <c r="CG79" s="15" t="str">
        <f t="shared" ref="CG79:CI80" si="197">CG42</f>
        <v>Net</v>
      </c>
      <c r="CH79" s="15" t="str">
        <f t="shared" si="197"/>
        <v>Replacement</v>
      </c>
      <c r="CI79" s="15" t="str">
        <f t="shared" si="197"/>
        <v>Total</v>
      </c>
      <c r="CR79" s="15" t="str">
        <f t="shared" ref="CR79:CT80" si="198">CR42</f>
        <v>Net</v>
      </c>
      <c r="CS79" s="15" t="str">
        <f t="shared" si="198"/>
        <v>Replacement</v>
      </c>
      <c r="CT79" s="15" t="str">
        <f t="shared" si="198"/>
        <v>Total</v>
      </c>
    </row>
    <row r="80" spans="1:98" x14ac:dyDescent="0.3">
      <c r="A80" s="40" t="s">
        <v>14</v>
      </c>
      <c r="B80" s="63" t="str">
        <f>CONCATENATE(B$6,"-",C$6)</f>
        <v>2015-2019</v>
      </c>
      <c r="C80" s="63" t="str">
        <f>CONCATENATE(C$6,"-",D$6)</f>
        <v>2019-2020</v>
      </c>
      <c r="D80" s="63" t="str">
        <f>CONCATENATE(D$6,"-",E$6)</f>
        <v>2020-2025</v>
      </c>
      <c r="E80" s="63" t="str">
        <f>CONCATENATE(E$6,"-",F$6)</f>
        <v>2025-2035</v>
      </c>
      <c r="F80" s="63" t="str">
        <f>CONCATENATE(C$6,"-",F$6)</f>
        <v>2019-2035</v>
      </c>
      <c r="H80" s="62" t="str">
        <f t="shared" si="190"/>
        <v>Change</v>
      </c>
      <c r="I80" s="62" t="str">
        <f t="shared" si="190"/>
        <v>Demand</v>
      </c>
      <c r="J80" s="62" t="str">
        <f t="shared" si="190"/>
        <v>Requirement</v>
      </c>
      <c r="L80" s="40" t="s">
        <v>14</v>
      </c>
      <c r="M80" s="63" t="str">
        <f>CONCATENATE(M$6,"-",N$6)</f>
        <v>2015-2019</v>
      </c>
      <c r="N80" s="63" t="str">
        <f>CONCATENATE(N$6,"-",O$6)</f>
        <v>2019-2020</v>
      </c>
      <c r="O80" s="63" t="str">
        <f>CONCATENATE(O$6,"-",P$6)</f>
        <v>2020-2025</v>
      </c>
      <c r="P80" s="63" t="str">
        <f>CONCATENATE(P$6,"-",Q$6)</f>
        <v>2025-2035</v>
      </c>
      <c r="Q80" s="63" t="str">
        <f>CONCATENATE(N$6,"-",Q$6)</f>
        <v>2019-2035</v>
      </c>
      <c r="S80" s="62" t="str">
        <f t="shared" si="191"/>
        <v>Change</v>
      </c>
      <c r="T80" s="62" t="str">
        <f t="shared" si="191"/>
        <v>Demand</v>
      </c>
      <c r="U80" s="62" t="str">
        <f t="shared" si="191"/>
        <v>Requirement</v>
      </c>
      <c r="W80" s="40" t="s">
        <v>14</v>
      </c>
      <c r="X80" s="63" t="str">
        <f>CONCATENATE(X$6,"-",Y$6)</f>
        <v>2015-2019</v>
      </c>
      <c r="Y80" s="63" t="str">
        <f>CONCATENATE(Y$6,"-",Z$6)</f>
        <v>2019-2020</v>
      </c>
      <c r="Z80" s="63" t="str">
        <f>CONCATENATE(Z$6,"-",AA$6)</f>
        <v>2020-2025</v>
      </c>
      <c r="AA80" s="63" t="str">
        <f>CONCATENATE(AA$6,"-",AB$6)</f>
        <v>2025-2035</v>
      </c>
      <c r="AB80" s="63" t="str">
        <f>CONCATENATE(Y$6,"-",AB$6)</f>
        <v>2019-2035</v>
      </c>
      <c r="AD80" s="62" t="str">
        <f t="shared" si="192"/>
        <v>Change</v>
      </c>
      <c r="AE80" s="62" t="str">
        <f t="shared" si="192"/>
        <v>Demand</v>
      </c>
      <c r="AF80" s="62" t="str">
        <f t="shared" si="192"/>
        <v>Requirement</v>
      </c>
      <c r="AH80" s="40" t="s">
        <v>14</v>
      </c>
      <c r="AI80" s="63" t="str">
        <f>CONCATENATE(AI$6,"-",AJ$6)</f>
        <v>2015-2019</v>
      </c>
      <c r="AJ80" s="63" t="str">
        <f>CONCATENATE(AJ$6,"-",AK$6)</f>
        <v>2019-2020</v>
      </c>
      <c r="AK80" s="63" t="str">
        <f>CONCATENATE(AK$6,"-",AL$6)</f>
        <v>2020-2025</v>
      </c>
      <c r="AL80" s="63" t="str">
        <f>CONCATENATE(AL$6,"-",AM$6)</f>
        <v>2025-2035</v>
      </c>
      <c r="AM80" s="63" t="str">
        <f>CONCATENATE(AJ$6,"-",AM$6)</f>
        <v>2019-2035</v>
      </c>
      <c r="AO80" s="62" t="str">
        <f t="shared" si="193"/>
        <v>Change</v>
      </c>
      <c r="AP80" s="62" t="str">
        <f t="shared" si="193"/>
        <v>Demand</v>
      </c>
      <c r="AQ80" s="62" t="str">
        <f t="shared" si="193"/>
        <v>Requirement</v>
      </c>
      <c r="AS80" s="40" t="s">
        <v>14</v>
      </c>
      <c r="AT80" s="63" t="str">
        <f>CONCATENATE(AT$6,"-",AU$6)</f>
        <v>2015-2019</v>
      </c>
      <c r="AU80" s="63" t="str">
        <f>CONCATENATE(AU$6,"-",AV$6)</f>
        <v>2019-2020</v>
      </c>
      <c r="AV80" s="63" t="str">
        <f>CONCATENATE(AV$6,"-",AW$6)</f>
        <v>2020-2025</v>
      </c>
      <c r="AW80" s="63" t="str">
        <f>CONCATENATE(AW$6,"-",AX$6)</f>
        <v>2025-2035</v>
      </c>
      <c r="AX80" s="63" t="str">
        <f>CONCATENATE(AU$6,"-",AX$6)</f>
        <v>2019-2035</v>
      </c>
      <c r="AZ80" s="62" t="str">
        <f t="shared" si="194"/>
        <v>Change</v>
      </c>
      <c r="BA80" s="62" t="str">
        <f t="shared" si="194"/>
        <v>Demand</v>
      </c>
      <c r="BB80" s="62" t="str">
        <f t="shared" si="194"/>
        <v>Requirement</v>
      </c>
      <c r="BD80" s="40" t="s">
        <v>14</v>
      </c>
      <c r="BE80" s="63" t="str">
        <f>CONCATENATE(BE$6,"-",BF$6)</f>
        <v>2015-2019</v>
      </c>
      <c r="BF80" s="63" t="str">
        <f>CONCATENATE(BF$6,"-",BG$6)</f>
        <v>2019-2020</v>
      </c>
      <c r="BG80" s="63" t="str">
        <f>CONCATENATE(BG$6,"-",BH$6)</f>
        <v>2020-2025</v>
      </c>
      <c r="BH80" s="63" t="str">
        <f>CONCATENATE(BH$6,"-",BI$6)</f>
        <v>2025-2035</v>
      </c>
      <c r="BI80" s="63" t="str">
        <f>CONCATENATE(BF$6,"-",BI$6)</f>
        <v>2019-2035</v>
      </c>
      <c r="BK80" s="62" t="str">
        <f t="shared" si="195"/>
        <v>Change</v>
      </c>
      <c r="BL80" s="62" t="str">
        <f t="shared" si="195"/>
        <v>Demand</v>
      </c>
      <c r="BM80" s="62" t="str">
        <f t="shared" si="195"/>
        <v>Requirement</v>
      </c>
      <c r="BO80" s="40" t="s">
        <v>14</v>
      </c>
      <c r="BP80" s="63" t="str">
        <f>CONCATENATE(BP$6,"-",BQ$6)</f>
        <v>2015-2019</v>
      </c>
      <c r="BQ80" s="63" t="str">
        <f>CONCATENATE(BQ$6,"-",BR$6)</f>
        <v>2019-2020</v>
      </c>
      <c r="BR80" s="63" t="str">
        <f>CONCATENATE(BR$6,"-",BS$6)</f>
        <v>2020-2025</v>
      </c>
      <c r="BS80" s="63" t="str">
        <f>CONCATENATE(BS$6,"-",BT$6)</f>
        <v>2025-2035</v>
      </c>
      <c r="BT80" s="63" t="str">
        <f>CONCATENATE(BQ$6,"-",BT$6)</f>
        <v>2019-2035</v>
      </c>
      <c r="BV80" s="62" t="str">
        <f t="shared" si="196"/>
        <v>Change</v>
      </c>
      <c r="BW80" s="62" t="str">
        <f t="shared" si="196"/>
        <v>Demand</v>
      </c>
      <c r="BX80" s="62" t="str">
        <f t="shared" si="196"/>
        <v>Requirement</v>
      </c>
      <c r="BZ80" s="40" t="s">
        <v>14</v>
      </c>
      <c r="CA80" s="63" t="str">
        <f>CONCATENATE(CA$6,"-",CB$6)</f>
        <v>2015-2019</v>
      </c>
      <c r="CB80" s="63" t="str">
        <f>CONCATENATE(CB$6,"-",CC$6)</f>
        <v>2019-2020</v>
      </c>
      <c r="CC80" s="63" t="str">
        <f>CONCATENATE(CC$6,"-",CD$6)</f>
        <v>2020-2025</v>
      </c>
      <c r="CD80" s="63" t="str">
        <f>CONCATENATE(CD$6,"-",CE$6)</f>
        <v>2025-2035</v>
      </c>
      <c r="CE80" s="63" t="str">
        <f>CONCATENATE(CB$6,"-",CE$6)</f>
        <v>2019-2035</v>
      </c>
      <c r="CG80" s="62" t="str">
        <f t="shared" si="197"/>
        <v>Change</v>
      </c>
      <c r="CH80" s="62" t="str">
        <f t="shared" si="197"/>
        <v>Demand</v>
      </c>
      <c r="CI80" s="62" t="str">
        <f t="shared" si="197"/>
        <v>Requirement</v>
      </c>
      <c r="CK80" s="40" t="s">
        <v>14</v>
      </c>
      <c r="CL80" s="63" t="str">
        <f>CONCATENATE(CL$6,"-",CM$6)</f>
        <v>2015-2019</v>
      </c>
      <c r="CM80" s="63" t="str">
        <f>CONCATENATE(CM$6,"-",CN$6)</f>
        <v>2019-2020</v>
      </c>
      <c r="CN80" s="63" t="str">
        <f>CONCATENATE(CN$6,"-",CO$6)</f>
        <v>2020-2025</v>
      </c>
      <c r="CO80" s="63" t="str">
        <f>CONCATENATE(CO$6,"-",CP$6)</f>
        <v>2025-2035</v>
      </c>
      <c r="CP80" s="63" t="str">
        <f>CONCATENATE(CM$6,"-",CP$6)</f>
        <v>2019-2035</v>
      </c>
      <c r="CR80" s="62" t="str">
        <f t="shared" si="198"/>
        <v>Change</v>
      </c>
      <c r="CS80" s="62" t="str">
        <f t="shared" si="198"/>
        <v>Demand</v>
      </c>
      <c r="CT80" s="62" t="str">
        <f t="shared" si="198"/>
        <v>Requirement</v>
      </c>
    </row>
    <row r="82" spans="1:98" x14ac:dyDescent="0.3">
      <c r="A82" t="str">
        <f t="shared" ref="A82:A107" si="199">A8</f>
        <v>11 Corporate managers and directors</v>
      </c>
      <c r="B82" s="17">
        <f t="shared" ref="B82:E107" si="200">IF(AND(C$6-B$6 &lt;&gt; 0,B8&lt;&gt;0,C8&lt;&gt;0),(EXP(LN(C8/B8)/(C$6-B$6))-1)*100,0)</f>
        <v>7.4257053419599428</v>
      </c>
      <c r="C82" s="17">
        <f t="shared" si="200"/>
        <v>1.5690100034713605</v>
      </c>
      <c r="D82" s="17">
        <f t="shared" si="200"/>
        <v>3.1819164127829369</v>
      </c>
      <c r="E82" s="17">
        <f t="shared" si="200"/>
        <v>2.7871093266296665</v>
      </c>
      <c r="F82" s="17">
        <f t="shared" ref="F82:F107" si="201">IF(AND(F$6-C$6 &lt;&gt; 0,C8&lt;&gt;0,F8&lt;&gt;0),(EXP(LN(F8/C8)/(F$6-C$6))-1)*100,0)</f>
        <v>2.833674835897515</v>
      </c>
      <c r="H82" s="17">
        <f t="shared" ref="H82:H107" si="202">IF($F$6-$D$6 &lt;&gt; 0,(EXP(LN(1+(H45/100))/($F$6-$D$6))-1)*100,0)</f>
        <v>2.9185435516565494</v>
      </c>
      <c r="I82" s="17">
        <f t="shared" ref="I82:I107" si="203">IF(D8&gt;0,((1+(I8/D8))^(1/($F$6-$D$6))-1)*100,0)</f>
        <v>3.5620411612006464</v>
      </c>
      <c r="J82" s="17">
        <f t="shared" ref="J82:J107" si="204">IF($F$6-$D$6 &lt;&gt; 0,(EXP(LN(1+(J45/100))/($F$6-$D$6))-1)*100,0)</f>
        <v>5.4923954045569934</v>
      </c>
      <c r="L82" t="str">
        <f>A82</f>
        <v>11 Corporate managers and directors</v>
      </c>
      <c r="M82" s="17">
        <f t="shared" ref="M82:P107" si="205">IF(AND(N$6-M$6 &lt;&gt; 0,M8&lt;&gt;0,N8&lt;&gt;0),(EXP(LN(N8/M8)/(N$6-M$6))-1)*100,0)</f>
        <v>8.3072733976592872</v>
      </c>
      <c r="N82" s="17">
        <f t="shared" si="205"/>
        <v>-3.2728441138638376</v>
      </c>
      <c r="O82" s="17">
        <f t="shared" si="205"/>
        <v>3.1054584516135186</v>
      </c>
      <c r="P82" s="17">
        <f t="shared" si="205"/>
        <v>2.8636875345332324</v>
      </c>
      <c r="Q82" s="17">
        <f t="shared" ref="Q82:Q107" si="206">IF(AND(Q$6-N$6 &lt;&gt; 0,N8&lt;&gt;0,Q8&lt;&gt;0),(EXP(LN(Q8/N8)/(Q$6-N$6))-1)*100,0)</f>
        <v>2.5441996715264814</v>
      </c>
      <c r="S82" s="17">
        <f t="shared" ref="S82:S107" si="207">IF($F$6-$D$6 &lt;&gt; 0,(EXP(LN(1+(S45/100))/($F$6-$D$6))-1)*100,0)</f>
        <v>2.9442147826985066</v>
      </c>
      <c r="T82" s="17">
        <f t="shared" ref="T82:T107" si="208">IF(O8&gt;0,((1+(T8/O8))^(1/($F$6-$D$6))-1)*100,0)</f>
        <v>3.5715373429456632</v>
      </c>
      <c r="U82" s="17">
        <f t="shared" ref="U82:U107" si="209">IF($F$6-$D$6 &lt;&gt; 0,(EXP(LN(1+(U45/100))/($F$6-$D$6))-1)*100,0)</f>
        <v>5.5178874422486146</v>
      </c>
      <c r="W82" t="str">
        <f>A82</f>
        <v>11 Corporate managers and directors</v>
      </c>
      <c r="X82" s="17">
        <f t="shared" ref="X82:AA107" si="210">IF(AND(Y$6-X$6 &lt;&gt; 0,X8&lt;&gt;0,Y8&lt;&gt;0),(EXP(LN(Y8/X8)/(Y$6-X$6))-1)*100,0)</f>
        <v>4.9081064138521313</v>
      </c>
      <c r="Y82" s="17">
        <f t="shared" si="210"/>
        <v>6.4935964404424507</v>
      </c>
      <c r="Z82" s="17">
        <f t="shared" si="210"/>
        <v>-0.84174327306800745</v>
      </c>
      <c r="AA82" s="17">
        <f t="shared" si="210"/>
        <v>1.9410680363097121</v>
      </c>
      <c r="AB82" s="17">
        <f t="shared" ref="AB82:AB107" si="211">IF(AND(AB$6-Y$6 &lt;&gt; 0,Y8&lt;&gt;0,AB8&lt;&gt;0),(EXP(LN(AB8/Y8)/(AB$6-Y$6))-1)*100,0)</f>
        <v>1.3394939848766274</v>
      </c>
      <c r="AD82" s="17">
        <f t="shared" ref="AD82:AD107" si="212">IF($F$6-$D$6 &lt;&gt; 0,(EXP(LN(1+(AD45/100))/($F$6-$D$6))-1)*100,0)</f>
        <v>1.0048932322344495</v>
      </c>
      <c r="AE82" s="17">
        <f t="shared" ref="AE82:AE107" si="213">IF(Z8&gt;0,((1+(AE8/Z8))^(1/($F$6-$D$6))-1)*100,0)</f>
        <v>3.1516839764447857</v>
      </c>
      <c r="AF82" s="17">
        <f t="shared" ref="AF82:AF107" si="214">IF($F$6-$D$6 &lt;&gt; 0,(EXP(LN(1+(AF45/100))/($F$6-$D$6))-1)*100,0)</f>
        <v>3.8192200610657867</v>
      </c>
      <c r="AH82" t="str">
        <f>L82</f>
        <v>11 Corporate managers and directors</v>
      </c>
      <c r="AI82" s="17">
        <f t="shared" ref="AI82:AL107" si="215">IF(AND(AJ$6-AI$6 &lt;&gt; 0,AI8&lt;&gt;0,AJ8&lt;&gt;0),(EXP(LN(AJ8/AI8)/(AJ$6-AI$6))-1)*100,0)</f>
        <v>2.8484047056303696</v>
      </c>
      <c r="AJ82" s="17">
        <f t="shared" si="215"/>
        <v>12.987252535958028</v>
      </c>
      <c r="AK82" s="17">
        <f t="shared" si="215"/>
        <v>-2.0423867739402524</v>
      </c>
      <c r="AL82" s="17">
        <f t="shared" si="215"/>
        <v>1.4208045655591306</v>
      </c>
      <c r="AM82" s="17">
        <f t="shared" ref="AM82:AM107" si="216">IF(AND(AM$6-AJ$6 &lt;&gt; 0,AJ8&lt;&gt;0,AM8&lt;&gt;0),(EXP(LN(AM8/AJ8)/(AM$6-AJ$6))-1)*100,0)</f>
        <v>1.0050722332706652</v>
      </c>
      <c r="AO82" s="17">
        <f t="shared" ref="AO82:AO107" si="217">IF($F$6-$D$6 &lt;&gt; 0,(EXP(LN(1+(AO45/100))/($F$6-$D$6))-1)*100,0)</f>
        <v>0.25301272922191309</v>
      </c>
      <c r="AP82" s="17">
        <f t="shared" ref="AP82:AP107" si="218">IF(AK8&gt;0,((1+(AP8/AK8))^(1/($F$6-$D$6))-1)*100,0)</f>
        <v>2.7821636382710624</v>
      </c>
      <c r="AQ82" s="17">
        <f t="shared" ref="AQ82:AQ107" si="219">IF($F$6-$D$6 &lt;&gt; 0,(EXP(LN(1+(AQ45/100))/($F$6-$D$6))-1)*100,0)</f>
        <v>2.9554912994464111</v>
      </c>
      <c r="AS82" t="str">
        <f>W82</f>
        <v>11 Corporate managers and directors</v>
      </c>
      <c r="AT82" s="17">
        <f t="shared" ref="AT82:AW107" si="220">IF(AND(AU$6-AT$6 &lt;&gt; 0,AT8&lt;&gt;0,AU8&lt;&gt;0),(EXP(LN(AU8/AT8)/(AU$6-AT$6))-1)*100,0)</f>
        <v>2.8816460417734557</v>
      </c>
      <c r="AU82" s="17">
        <f t="shared" si="220"/>
        <v>13.343273657649913</v>
      </c>
      <c r="AV82" s="17">
        <f t="shared" si="220"/>
        <v>-1.9112775923562197</v>
      </c>
      <c r="AW82" s="17">
        <f t="shared" si="220"/>
        <v>1.5742600121802619</v>
      </c>
      <c r="AX82" s="17">
        <f t="shared" ref="AX82:AX107" si="221">IF(AND(AX$6-AU$6 &lt;&gt; 0,AU8&lt;&gt;0,AX8&lt;&gt;0),(EXP(LN(AX8/AU8)/(AX$6-AU$6))-1)*100,0)</f>
        <v>1.1627177700372915</v>
      </c>
      <c r="AZ82" s="17">
        <f t="shared" ref="AZ82:AZ107" si="222">IF($F$6-$D$6 &lt;&gt; 0,(EXP(LN(1+(AZ45/100))/($F$6-$D$6))-1)*100,0)</f>
        <v>0.3988652000460613</v>
      </c>
      <c r="BA82" s="17">
        <f t="shared" ref="BA82:BA107" si="223">IF(AV8&gt;0,((1+(BA8/AV8))^(1/($F$6-$D$6))-1)*100,0)</f>
        <v>2.81674596283914</v>
      </c>
      <c r="BB82" s="17">
        <f t="shared" ref="BB82:BB107" si="224">IF($F$6-$D$6 &lt;&gt; 0,(EXP(LN(1+(BB45/100))/($F$6-$D$6))-1)*100,0)</f>
        <v>3.0896506927734269</v>
      </c>
      <c r="BD82" t="str">
        <f>AH82</f>
        <v>11 Corporate managers and directors</v>
      </c>
      <c r="BE82" s="17">
        <f t="shared" ref="BE82:BH107" si="225">IF(AND(BF$6-BE$6 &lt;&gt; 0,BE8&lt;&gt;0,BF8&lt;&gt;0),(EXP(LN(BF8/BE8)/(BF$6-BE$6))-1)*100,0)</f>
        <v>4.0268522278913421</v>
      </c>
      <c r="BF82" s="17">
        <f t="shared" si="225"/>
        <v>-3.3732236330475174</v>
      </c>
      <c r="BG82" s="17">
        <f t="shared" si="225"/>
        <v>-1.0725400671312668</v>
      </c>
      <c r="BH82" s="17">
        <f t="shared" si="225"/>
        <v>1.0911501097371934</v>
      </c>
      <c r="BI82" s="17">
        <f t="shared" ref="BI82:BI107" si="226">IF(AND(BI$6-BF$6 &lt;&gt; 0,BF8&lt;&gt;0,BI8&lt;&gt;0),(EXP(LN(BI8/BF8)/(BI$6-BF$6))-1)*100,0)</f>
        <v>0.12691199635184169</v>
      </c>
      <c r="BK82" s="17">
        <f t="shared" ref="BK82:BK107" si="227">IF($F$6-$D$6 &lt;&gt; 0,(EXP(LN(1+(BK45/100))/($F$6-$D$6))-1)*100,0)</f>
        <v>0.36471239699429336</v>
      </c>
      <c r="BL82" s="17">
        <f t="shared" ref="BL82:BL107" si="228">IF(BG8&gt;0,((1+(BL8/BG8))^(1/($F$6-$D$6))-1)*100,0)</f>
        <v>2.4733222573009028</v>
      </c>
      <c r="BM82" s="17">
        <f t="shared" ref="BM82:BM107" si="229">IF($F$6-$D$6 &lt;&gt; 0,(EXP(LN(1+(BM45/100))/($F$6-$D$6))-1)*100,0)</f>
        <v>2.7343932232052781</v>
      </c>
      <c r="BO82" t="str">
        <f>AS82</f>
        <v>11 Corporate managers and directors</v>
      </c>
      <c r="BP82" s="17">
        <f t="shared" ref="BP82:BS107" si="230">IF(AND(BQ$6-BP$6 &lt;&gt; 0,BP8&lt;&gt;0,BQ8&lt;&gt;0),(EXP(LN(BQ8/BP8)/(BQ$6-BP$6))-1)*100,0)</f>
        <v>1.3981218872240131</v>
      </c>
      <c r="BQ82" s="17">
        <f t="shared" si="230"/>
        <v>4.3152583322047633</v>
      </c>
      <c r="BR82" s="17">
        <f t="shared" si="230"/>
        <v>-3.970670360118167</v>
      </c>
      <c r="BS82" s="17">
        <f t="shared" si="230"/>
        <v>-1.7189758838391911</v>
      </c>
      <c r="BT82" s="17">
        <f t="shared" ref="BT82:BT107" si="231">IF(AND(BT$6-BQ$6 &lt;&gt; 0,BQ8&lt;&gt;0,BT8&lt;&gt;0),(EXP(LN(BT8/BQ8)/(BT$6-BQ$6))-1)*100,0)</f>
        <v>-2.0641936213742773</v>
      </c>
      <c r="BV82" s="17">
        <f t="shared" ref="BV82:BV107" si="232">IF($F$6-$D$6 &lt;&gt; 0,(EXP(LN(1+(BV45/100))/($F$6-$D$6))-1)*100,0)</f>
        <v>-2.4753468082626351</v>
      </c>
      <c r="BW82" s="17">
        <f t="shared" ref="BW82:BW107" si="233">IF(BR8&gt;0,((1+(BW8/BR8))^(1/($F$6-$D$6))-1)*100,0)</f>
        <v>2.1204460030194161</v>
      </c>
      <c r="BX82" s="17">
        <f t="shared" ref="BX82:BX107" si="234">IF($F$6-$D$6 &lt;&gt; 0,(EXP(LN(1+(BX45/100))/($F$6-$D$6))-1)*100,0)</f>
        <v>0.36724035883788364</v>
      </c>
      <c r="BZ82" t="str">
        <f>BD82</f>
        <v>11 Corporate managers and directors</v>
      </c>
      <c r="CA82" s="17">
        <f t="shared" ref="CA82:CD107" si="235">IF(AND(CB$6-CA$6 &lt;&gt; 0,CA8&lt;&gt;0,CB8&lt;&gt;0),(EXP(LN(CB8/CA8)/(CB$6-CA$6))-1)*100,0)</f>
        <v>2.0998792313971615</v>
      </c>
      <c r="CB82" s="17">
        <f t="shared" si="235"/>
        <v>-4.1155385642978493</v>
      </c>
      <c r="CC82" s="17">
        <f t="shared" si="235"/>
        <v>-2.1852358401648342</v>
      </c>
      <c r="CD82" s="17">
        <f t="shared" si="235"/>
        <v>-1.934844513988232</v>
      </c>
      <c r="CE82" s="17">
        <f t="shared" ref="CE82:CE107" si="236">IF(AND(CE$6-CB$6 &lt;&gt; 0,CB8&lt;&gt;0,CE8&lt;&gt;0),(EXP(LN(CE8/CB8)/(CE$6-CB$6))-1)*100,0)</f>
        <v>-2.1507853830159962</v>
      </c>
      <c r="CG82" s="17">
        <f t="shared" ref="CG82:CG107" si="237">IF($F$6-$D$6 &lt;&gt; 0,(EXP(LN(1+(CG45/100))/($F$6-$D$6))-1)*100,0)</f>
        <v>-2.0183794267812694</v>
      </c>
      <c r="CH82" s="17">
        <f t="shared" ref="CH82:CH107" si="238">IF(CC8&gt;0,((1+(CH8/CC8))^(1/($F$6-$D$6))-1)*100,0)</f>
        <v>2.1771924074728499</v>
      </c>
      <c r="CI82" s="17">
        <f t="shared" ref="CI82:CI107" si="239">IF($F$6-$D$6 &lt;&gt; 0,(EXP(LN(1+(CI45/100))/($F$6-$D$6))-1)*100,0)</f>
        <v>0.74555396111684047</v>
      </c>
      <c r="CK82" t="str">
        <f>BO82</f>
        <v>11 Corporate managers and directors</v>
      </c>
      <c r="CL82" s="17">
        <f t="shared" ref="CL82:CO107" si="240">IF(AND(CM$6-CL$6 &lt;&gt; 0,CL8&lt;&gt;0,CM8&lt;&gt;0),(EXP(LN(CM8/CL8)/(CM$6-CL$6))-1)*100,0)</f>
        <v>5.5041201860961841</v>
      </c>
      <c r="CM82" s="17">
        <f t="shared" si="240"/>
        <v>-21.985886351014926</v>
      </c>
      <c r="CN82" s="17">
        <f t="shared" si="240"/>
        <v>-4.0700103781783898</v>
      </c>
      <c r="CO82" s="17">
        <f t="shared" si="240"/>
        <v>-1.1846862648240974</v>
      </c>
      <c r="CP82" s="17">
        <f t="shared" ref="CP82:CP107" si="241">IF(AND(CP$6-CM$6 &lt;&gt; 0,CM8&lt;&gt;0,CP8&lt;&gt;0),(EXP(LN(CP8/CM8)/(CP$6-CM$6))-1)*100,0)</f>
        <v>-3.5312321463433438</v>
      </c>
      <c r="CR82" s="17">
        <f t="shared" ref="CR82:CR107" si="242">IF($F$6-$D$6 &lt;&gt; 0,(EXP(LN(1+(CR45/100))/($F$6-$D$6))-1)*100,0)</f>
        <v>-2.1559768462849349</v>
      </c>
      <c r="CS82" s="17">
        <f t="shared" ref="CS82:CS107" si="243">IF(CN8&gt;0,((1+(CS8/CN8))^(1/($F$6-$D$6))-1)*100,0)</f>
        <v>1.4348455510758695</v>
      </c>
      <c r="CT82" s="17">
        <f t="shared" ref="CT82:CT107" si="244">IF($F$6-$D$6 &lt;&gt; 0,(EXP(LN(1+(CT45/100))/($F$6-$D$6))-1)*100,0)</f>
        <v>-0.27607558891228345</v>
      </c>
    </row>
    <row r="83" spans="1:98" x14ac:dyDescent="0.3">
      <c r="A83" t="str">
        <f t="shared" si="199"/>
        <v>12 Other managers and proprietors</v>
      </c>
      <c r="B83" s="17">
        <f t="shared" si="200"/>
        <v>4.9696091407127829</v>
      </c>
      <c r="C83" s="17">
        <f t="shared" si="200"/>
        <v>-3.3877114282784837</v>
      </c>
      <c r="D83" s="17">
        <f t="shared" si="200"/>
        <v>9.745938390636999</v>
      </c>
      <c r="E83" s="17">
        <f t="shared" si="200"/>
        <v>3.5453414294473351</v>
      </c>
      <c r="F83" s="17">
        <f t="shared" si="201"/>
        <v>4.9886904087362405</v>
      </c>
      <c r="H83" s="17">
        <f t="shared" si="202"/>
        <v>5.572270478811947</v>
      </c>
      <c r="I83" s="17">
        <f t="shared" si="203"/>
        <v>5.0317420229068155</v>
      </c>
      <c r="J83" s="17">
        <f t="shared" si="204"/>
        <v>8.3802711514225248</v>
      </c>
      <c r="L83" t="str">
        <f t="shared" ref="L83:L106" si="245">A83</f>
        <v>12 Other managers and proprietors</v>
      </c>
      <c r="M83" s="17">
        <f t="shared" si="205"/>
        <v>6.7803628392662407</v>
      </c>
      <c r="N83" s="17">
        <f t="shared" si="205"/>
        <v>-3.0721606114097799</v>
      </c>
      <c r="O83" s="17">
        <f t="shared" si="205"/>
        <v>9.0998723470992804</v>
      </c>
      <c r="P83" s="17">
        <f t="shared" si="205"/>
        <v>3.7282317189915481</v>
      </c>
      <c r="Q83" s="17">
        <f t="shared" si="206"/>
        <v>4.9321854289139822</v>
      </c>
      <c r="S83" s="17">
        <f t="shared" si="207"/>
        <v>5.4887299918360721</v>
      </c>
      <c r="T83" s="17">
        <f t="shared" si="208"/>
        <v>4.905419009549683</v>
      </c>
      <c r="U83" s="17">
        <f t="shared" si="209"/>
        <v>8.2407658270481576</v>
      </c>
      <c r="W83" t="str">
        <f t="shared" ref="W83:W106" si="246">A83</f>
        <v>12 Other managers and proprietors</v>
      </c>
      <c r="X83" s="17">
        <f t="shared" si="210"/>
        <v>1.8065824430758326</v>
      </c>
      <c r="Y83" s="17">
        <f t="shared" si="210"/>
        <v>11.13750502506845</v>
      </c>
      <c r="Z83" s="17">
        <f t="shared" si="210"/>
        <v>4.7382346160492528</v>
      </c>
      <c r="AA83" s="17">
        <f t="shared" si="210"/>
        <v>2.5956075661029754</v>
      </c>
      <c r="AB83" s="17">
        <f t="shared" si="211"/>
        <v>3.7778479515637953</v>
      </c>
      <c r="AD83" s="17">
        <f t="shared" si="212"/>
        <v>3.3049015829532236</v>
      </c>
      <c r="AE83" s="17">
        <f t="shared" si="213"/>
        <v>4.2335287396179755</v>
      </c>
      <c r="AF83" s="17">
        <f t="shared" si="214"/>
        <v>6.2739491880247744</v>
      </c>
      <c r="AH83" t="str">
        <f t="shared" ref="AH83:AH106" si="247">L83</f>
        <v>12 Other managers and proprietors</v>
      </c>
      <c r="AI83" s="17">
        <f t="shared" si="215"/>
        <v>2.4446925676814724</v>
      </c>
      <c r="AJ83" s="17">
        <f t="shared" si="215"/>
        <v>19.067391935924039</v>
      </c>
      <c r="AK83" s="17">
        <f t="shared" si="215"/>
        <v>3.6732415969922494</v>
      </c>
      <c r="AL83" s="17">
        <f t="shared" si="215"/>
        <v>2.6379066862529443</v>
      </c>
      <c r="AM83" s="17">
        <f t="shared" si="216"/>
        <v>3.9202674251854752</v>
      </c>
      <c r="AO83" s="17">
        <f t="shared" si="217"/>
        <v>2.9818643728398708</v>
      </c>
      <c r="AP83" s="17">
        <f t="shared" si="218"/>
        <v>4.1628105166579887</v>
      </c>
      <c r="AQ83" s="17">
        <f t="shared" si="219"/>
        <v>6.0029477898447592</v>
      </c>
      <c r="AS83" t="str">
        <f t="shared" ref="AS83:AS106" si="248">W83</f>
        <v>12 Other managers and proprietors</v>
      </c>
      <c r="AT83" s="17">
        <f t="shared" si="220"/>
        <v>1.6836561890364088</v>
      </c>
      <c r="AU83" s="17">
        <f t="shared" si="220"/>
        <v>12.614676567222084</v>
      </c>
      <c r="AV83" s="17">
        <f t="shared" si="220"/>
        <v>4.6937984825019763</v>
      </c>
      <c r="AW83" s="17">
        <f t="shared" si="220"/>
        <v>2.3827927909971347</v>
      </c>
      <c r="AX83" s="17">
        <f t="shared" si="221"/>
        <v>3.7150649670852909</v>
      </c>
      <c r="AZ83" s="17">
        <f t="shared" si="222"/>
        <v>3.1474035730755023</v>
      </c>
      <c r="BA83" s="17">
        <f t="shared" si="223"/>
        <v>4.0189052646543155</v>
      </c>
      <c r="BB83" s="17">
        <f t="shared" si="224"/>
        <v>6.0030982541612543</v>
      </c>
      <c r="BD83" t="str">
        <f t="shared" ref="BD83:BD106" si="249">AH83</f>
        <v>12 Other managers and proprietors</v>
      </c>
      <c r="BE83" s="17">
        <f t="shared" si="225"/>
        <v>-0.16862455939450349</v>
      </c>
      <c r="BF83" s="17">
        <f t="shared" si="225"/>
        <v>-5.9913173349901321</v>
      </c>
      <c r="BG83" s="17">
        <f t="shared" si="225"/>
        <v>4.6644826826866659</v>
      </c>
      <c r="BH83" s="17">
        <f t="shared" si="225"/>
        <v>1.1851160058214072</v>
      </c>
      <c r="BI83" s="17">
        <f t="shared" si="226"/>
        <v>1.7907197340286896</v>
      </c>
      <c r="BK83" s="17">
        <f t="shared" si="227"/>
        <v>2.3318596132026803</v>
      </c>
      <c r="BL83" s="17">
        <f t="shared" si="228"/>
        <v>3.3115037919597246</v>
      </c>
      <c r="BM83" s="17">
        <f t="shared" si="229"/>
        <v>4.8788185665270101</v>
      </c>
      <c r="BO83" t="str">
        <f t="shared" ref="BO83:BO106" si="250">AS83</f>
        <v>12 Other managers and proprietors</v>
      </c>
      <c r="BP83" s="17">
        <f t="shared" si="230"/>
        <v>0.50583303047826433</v>
      </c>
      <c r="BQ83" s="17">
        <f t="shared" si="230"/>
        <v>-1.570896071345762</v>
      </c>
      <c r="BR83" s="17">
        <f t="shared" si="230"/>
        <v>3.2346672042201874</v>
      </c>
      <c r="BS83" s="17">
        <f t="shared" si="230"/>
        <v>-0.17833198863509425</v>
      </c>
      <c r="BT83" s="17">
        <f t="shared" si="231"/>
        <v>0.78739561266045754</v>
      </c>
      <c r="BV83" s="17">
        <f t="shared" si="232"/>
        <v>0.94660924977820748</v>
      </c>
      <c r="BW83" s="17">
        <f t="shared" si="233"/>
        <v>3.3390464039557255</v>
      </c>
      <c r="BX83" s="17">
        <f t="shared" si="234"/>
        <v>3.9518946089181828</v>
      </c>
      <c r="BZ83" t="str">
        <f t="shared" ref="BZ83:BZ106" si="251">BD83</f>
        <v>12 Other managers and proprietors</v>
      </c>
      <c r="CA83" s="17">
        <f t="shared" si="235"/>
        <v>-1.0093470718758213</v>
      </c>
      <c r="CB83" s="17">
        <f t="shared" si="235"/>
        <v>-5.2945974711184007</v>
      </c>
      <c r="CC83" s="17">
        <f t="shared" si="235"/>
        <v>1.7368954417101845</v>
      </c>
      <c r="CD83" s="17">
        <f t="shared" si="235"/>
        <v>-1.6677382635570837</v>
      </c>
      <c r="CE83" s="17">
        <f t="shared" si="236"/>
        <v>-0.84937293832376692</v>
      </c>
      <c r="CG83" s="17">
        <f t="shared" si="237"/>
        <v>-0.54571200695943123</v>
      </c>
      <c r="CH83" s="17">
        <f t="shared" si="238"/>
        <v>2.6280049602953159</v>
      </c>
      <c r="CI83" s="17">
        <f t="shared" si="239"/>
        <v>2.2532085786155731</v>
      </c>
      <c r="CK83" t="str">
        <f t="shared" ref="CK83:CK106" si="252">BO83</f>
        <v>12 Other managers and proprietors</v>
      </c>
      <c r="CL83" s="17">
        <f t="shared" si="240"/>
        <v>1.3212470320175251</v>
      </c>
      <c r="CM83" s="17">
        <f t="shared" si="240"/>
        <v>-22.309197390717561</v>
      </c>
      <c r="CN83" s="17">
        <f t="shared" si="240"/>
        <v>4.2996393555548407</v>
      </c>
      <c r="CO83" s="17">
        <f t="shared" si="240"/>
        <v>-1.2615559708583968</v>
      </c>
      <c r="CP83" s="17">
        <f t="shared" si="241"/>
        <v>-1.0500903370304071</v>
      </c>
      <c r="CR83" s="17">
        <f t="shared" si="242"/>
        <v>0.55842324100612295</v>
      </c>
      <c r="CS83" s="17">
        <f t="shared" si="243"/>
        <v>2.2207307152979583</v>
      </c>
      <c r="CT83" s="17">
        <f t="shared" si="244"/>
        <v>2.6357686273781322</v>
      </c>
    </row>
    <row r="84" spans="1:98" x14ac:dyDescent="0.3">
      <c r="A84" t="str">
        <f t="shared" si="199"/>
        <v>21 Science, research, engineering and technology professionals</v>
      </c>
      <c r="B84" s="17">
        <f t="shared" si="200"/>
        <v>5.3773034819848631</v>
      </c>
      <c r="C84" s="17">
        <f t="shared" si="200"/>
        <v>-2.2228239793415261</v>
      </c>
      <c r="D84" s="17">
        <f t="shared" si="200"/>
        <v>4.445175543626223</v>
      </c>
      <c r="E84" s="17">
        <f t="shared" si="200"/>
        <v>2.2296561155764394</v>
      </c>
      <c r="F84" s="17">
        <f t="shared" si="201"/>
        <v>2.6308735872701883</v>
      </c>
      <c r="H84" s="17">
        <f t="shared" si="202"/>
        <v>2.962890944272667</v>
      </c>
      <c r="I84" s="17">
        <f t="shared" si="203"/>
        <v>2.7964931441289975</v>
      </c>
      <c r="J84" s="17">
        <f t="shared" si="204"/>
        <v>4.942770261867202</v>
      </c>
      <c r="L84" t="str">
        <f t="shared" si="245"/>
        <v>21 Science, research, engineering and technology professionals</v>
      </c>
      <c r="M84" s="17">
        <f t="shared" si="205"/>
        <v>6.4899828840080387</v>
      </c>
      <c r="N84" s="17">
        <f t="shared" si="205"/>
        <v>2.9997133638627549</v>
      </c>
      <c r="O84" s="17">
        <f t="shared" si="205"/>
        <v>5.1667782578369792</v>
      </c>
      <c r="P84" s="17">
        <f t="shared" si="205"/>
        <v>2.6380400552052041</v>
      </c>
      <c r="Q84" s="17">
        <f t="shared" si="206"/>
        <v>3.4444090550881379</v>
      </c>
      <c r="S84" s="17">
        <f t="shared" si="207"/>
        <v>3.4741236078747129</v>
      </c>
      <c r="T84" s="17">
        <f t="shared" si="208"/>
        <v>3.0056911730633074</v>
      </c>
      <c r="U84" s="17">
        <f t="shared" si="209"/>
        <v>5.4869445341276579</v>
      </c>
      <c r="W84" t="str">
        <f t="shared" si="246"/>
        <v>21 Science, research, engineering and technology professionals</v>
      </c>
      <c r="X84" s="17">
        <f t="shared" si="210"/>
        <v>2.798809714657291</v>
      </c>
      <c r="Y84" s="17">
        <f t="shared" si="210"/>
        <v>8.5253496611621848</v>
      </c>
      <c r="Z84" s="17">
        <f t="shared" si="210"/>
        <v>0.47307697427294571</v>
      </c>
      <c r="AA84" s="17">
        <f t="shared" si="210"/>
        <v>1.2132457893554216</v>
      </c>
      <c r="AB84" s="17">
        <f t="shared" si="211"/>
        <v>1.4225620070043465</v>
      </c>
      <c r="AD84" s="17">
        <f t="shared" si="212"/>
        <v>0.96591897025661844</v>
      </c>
      <c r="AE84" s="17">
        <f t="shared" si="213"/>
        <v>2.3645746337094709</v>
      </c>
      <c r="AF84" s="17">
        <f t="shared" si="214"/>
        <v>3.0745406007465448</v>
      </c>
      <c r="AH84" t="str">
        <f t="shared" si="247"/>
        <v>21 Science, research, engineering and technology professionals</v>
      </c>
      <c r="AI84" s="17">
        <f t="shared" si="215"/>
        <v>1.5135418429632841</v>
      </c>
      <c r="AJ84" s="17">
        <f t="shared" si="215"/>
        <v>15.081454873194255</v>
      </c>
      <c r="AK84" s="17">
        <f t="shared" si="215"/>
        <v>0.41438462611587124</v>
      </c>
      <c r="AL84" s="17">
        <f t="shared" si="215"/>
        <v>1.7782102789344334</v>
      </c>
      <c r="AM84" s="17">
        <f t="shared" si="216"/>
        <v>2.1311726774439377</v>
      </c>
      <c r="AO84" s="17">
        <f t="shared" si="217"/>
        <v>1.321555893749693</v>
      </c>
      <c r="AP84" s="17">
        <f t="shared" si="218"/>
        <v>2.3359172882910118</v>
      </c>
      <c r="AQ84" s="17">
        <f t="shared" si="219"/>
        <v>3.3174722958936753</v>
      </c>
      <c r="AS84" t="str">
        <f t="shared" si="248"/>
        <v>21 Science, research, engineering and technology professionals</v>
      </c>
      <c r="AT84" s="17">
        <f t="shared" si="220"/>
        <v>1.7969549319578615</v>
      </c>
      <c r="AU84" s="17">
        <f t="shared" si="220"/>
        <v>4.3897444298694799</v>
      </c>
      <c r="AV84" s="17">
        <f t="shared" si="220"/>
        <v>-1.7693844171519535</v>
      </c>
      <c r="AW84" s="17">
        <f t="shared" si="220"/>
        <v>0.62606830759892595</v>
      </c>
      <c r="AX84" s="17">
        <f t="shared" si="221"/>
        <v>0.10074857673851856</v>
      </c>
      <c r="AZ84" s="17">
        <f t="shared" si="222"/>
        <v>-0.17883718670625992</v>
      </c>
      <c r="BA84" s="17">
        <f t="shared" si="223"/>
        <v>1.9721269530898367</v>
      </c>
      <c r="BB84" s="17">
        <f t="shared" si="224"/>
        <v>1.8365058615093854</v>
      </c>
      <c r="BD84" t="str">
        <f t="shared" si="249"/>
        <v>21 Science, research, engineering and technology professionals</v>
      </c>
      <c r="BE84" s="17">
        <f t="shared" si="225"/>
        <v>2.3419592898443531</v>
      </c>
      <c r="BF84" s="17">
        <f t="shared" si="225"/>
        <v>-4.5346547136963178</v>
      </c>
      <c r="BG84" s="17">
        <f t="shared" si="225"/>
        <v>0.23186382311186637</v>
      </c>
      <c r="BH84" s="17">
        <f t="shared" si="225"/>
        <v>0.30626193559701864</v>
      </c>
      <c r="BI84" s="17">
        <f t="shared" si="226"/>
        <v>-2.6544715926846152E-2</v>
      </c>
      <c r="BK84" s="17">
        <f t="shared" si="227"/>
        <v>0.28145643093084871</v>
      </c>
      <c r="BL84" s="17">
        <f t="shared" si="228"/>
        <v>1.7662272211845353</v>
      </c>
      <c r="BM84" s="17">
        <f t="shared" si="229"/>
        <v>1.9874930604223406</v>
      </c>
      <c r="BO84" t="str">
        <f t="shared" si="250"/>
        <v>21 Science, research, engineering and technology professionals</v>
      </c>
      <c r="BP84" s="17">
        <f t="shared" si="230"/>
        <v>1.6530172859963166</v>
      </c>
      <c r="BQ84" s="17">
        <f t="shared" si="230"/>
        <v>8.5293731786722393</v>
      </c>
      <c r="BR84" s="17">
        <f t="shared" si="230"/>
        <v>-1.3753608446778198</v>
      </c>
      <c r="BS84" s="17">
        <f t="shared" si="230"/>
        <v>-0.63491047957624502</v>
      </c>
      <c r="BT84" s="17">
        <f t="shared" si="231"/>
        <v>-0.31879151390987737</v>
      </c>
      <c r="BV84" s="17">
        <f t="shared" si="232"/>
        <v>-0.88234289646607067</v>
      </c>
      <c r="BW84" s="17">
        <f t="shared" si="233"/>
        <v>1.8532252441012087</v>
      </c>
      <c r="BX84" s="17">
        <f t="shared" si="234"/>
        <v>1.1813176492541544</v>
      </c>
      <c r="BZ84" t="str">
        <f t="shared" si="251"/>
        <v>21 Science, research, engineering and technology professionals</v>
      </c>
      <c r="CA84" s="17">
        <f t="shared" si="235"/>
        <v>1.5131976151618876</v>
      </c>
      <c r="CB84" s="17">
        <f t="shared" si="235"/>
        <v>-6.6855155755049971</v>
      </c>
      <c r="CC84" s="17">
        <f t="shared" si="235"/>
        <v>-0.85622877118332053</v>
      </c>
      <c r="CD84" s="17">
        <f t="shared" si="235"/>
        <v>-3.3357819262141097</v>
      </c>
      <c r="CE84" s="17">
        <f t="shared" si="236"/>
        <v>-2.7821855459316924</v>
      </c>
      <c r="CG84" s="17">
        <f t="shared" si="237"/>
        <v>-2.5162322450585806</v>
      </c>
      <c r="CH84" s="17">
        <f t="shared" si="238"/>
        <v>1.6162455856157942</v>
      </c>
      <c r="CI84" s="17">
        <f t="shared" si="239"/>
        <v>-0.31207587294275196</v>
      </c>
      <c r="CK84" t="str">
        <f t="shared" si="252"/>
        <v>21 Science, research, engineering and technology professionals</v>
      </c>
      <c r="CL84" s="17">
        <f t="shared" si="240"/>
        <v>7.066913547590703</v>
      </c>
      <c r="CM84" s="17">
        <f t="shared" si="240"/>
        <v>-18.599468658572892</v>
      </c>
      <c r="CN84" s="17">
        <f t="shared" si="240"/>
        <v>2.8029862716528964</v>
      </c>
      <c r="CO84" s="17">
        <f t="shared" si="240"/>
        <v>-1.191862762128415</v>
      </c>
      <c r="CP84" s="17">
        <f t="shared" si="241"/>
        <v>-1.1648471617592304</v>
      </c>
      <c r="CR84" s="17">
        <f t="shared" si="242"/>
        <v>0.12220020732052195</v>
      </c>
      <c r="CS84" s="17">
        <f t="shared" si="243"/>
        <v>1.7263551453824411</v>
      </c>
      <c r="CT84" s="17">
        <f t="shared" si="244"/>
        <v>1.822702616590921</v>
      </c>
    </row>
    <row r="85" spans="1:98" x14ac:dyDescent="0.3">
      <c r="A85" t="str">
        <f t="shared" si="199"/>
        <v>22 Health professionals</v>
      </c>
      <c r="B85" s="17">
        <f t="shared" si="200"/>
        <v>8.6666352390124537</v>
      </c>
      <c r="C85" s="17">
        <f t="shared" si="200"/>
        <v>-13.378150850764992</v>
      </c>
      <c r="D85" s="17">
        <f t="shared" si="200"/>
        <v>6.3931213700915368</v>
      </c>
      <c r="E85" s="17">
        <f t="shared" si="200"/>
        <v>3.0206644917904146</v>
      </c>
      <c r="F85" s="17">
        <f t="shared" si="201"/>
        <v>2.9413636320956948</v>
      </c>
      <c r="H85" s="17">
        <f t="shared" si="202"/>
        <v>4.132768468100978</v>
      </c>
      <c r="I85" s="17">
        <f t="shared" si="203"/>
        <v>3.800237201380452</v>
      </c>
      <c r="J85" s="17">
        <f t="shared" si="204"/>
        <v>6.5375789127558814</v>
      </c>
      <c r="L85" t="str">
        <f t="shared" si="245"/>
        <v>22 Health professionals</v>
      </c>
      <c r="M85" s="17">
        <f t="shared" si="205"/>
        <v>9.952162332361226</v>
      </c>
      <c r="N85" s="17">
        <f t="shared" si="205"/>
        <v>-11.553180441383859</v>
      </c>
      <c r="O85" s="17">
        <f t="shared" si="205"/>
        <v>6.0744901803191809</v>
      </c>
      <c r="P85" s="17">
        <f t="shared" si="205"/>
        <v>2.8945666722961061</v>
      </c>
      <c r="Q85" s="17">
        <f t="shared" si="206"/>
        <v>2.9002282811823266</v>
      </c>
      <c r="S85" s="17">
        <f t="shared" si="207"/>
        <v>3.9438054853184079</v>
      </c>
      <c r="T85" s="17">
        <f t="shared" si="208"/>
        <v>3.8819774086782832</v>
      </c>
      <c r="U85" s="17">
        <f t="shared" si="209"/>
        <v>6.4587274127229088</v>
      </c>
      <c r="W85" t="str">
        <f t="shared" si="246"/>
        <v>22 Health professionals</v>
      </c>
      <c r="X85" s="17">
        <f t="shared" si="210"/>
        <v>5.5857326661490125</v>
      </c>
      <c r="Y85" s="17">
        <f t="shared" si="210"/>
        <v>6.0469139075641332</v>
      </c>
      <c r="Z85" s="17">
        <f t="shared" si="210"/>
        <v>1.6917485079376737</v>
      </c>
      <c r="AA85" s="17">
        <f t="shared" si="210"/>
        <v>1.7557652581272842</v>
      </c>
      <c r="AB85" s="17">
        <f t="shared" si="211"/>
        <v>1.9987391968527612</v>
      </c>
      <c r="AD85" s="17">
        <f t="shared" si="212"/>
        <v>1.7344218649082199</v>
      </c>
      <c r="AE85" s="17">
        <f t="shared" si="213"/>
        <v>3.4284021917308616</v>
      </c>
      <c r="AF85" s="17">
        <f t="shared" si="214"/>
        <v>4.5610117394899286</v>
      </c>
      <c r="AH85" t="str">
        <f t="shared" si="247"/>
        <v>22 Health professionals</v>
      </c>
      <c r="AI85" s="17">
        <f t="shared" si="215"/>
        <v>-3.8748003265172803</v>
      </c>
      <c r="AJ85" s="17">
        <f t="shared" si="215"/>
        <v>-3.6623624106358776</v>
      </c>
      <c r="AK85" s="17">
        <f t="shared" si="215"/>
        <v>-10.072787834450692</v>
      </c>
      <c r="AL85" s="17">
        <f t="shared" si="215"/>
        <v>-7.2195829213641094</v>
      </c>
      <c r="AM85" s="17">
        <f t="shared" si="216"/>
        <v>-7.9044962079396157</v>
      </c>
      <c r="AO85" s="17">
        <f t="shared" si="217"/>
        <v>-8.180570437276625</v>
      </c>
      <c r="AP85" s="17">
        <f t="shared" si="218"/>
        <v>1.2715748825006701</v>
      </c>
      <c r="AQ85" s="17">
        <f t="shared" si="219"/>
        <v>-4.6877043429471632</v>
      </c>
      <c r="AS85" t="str">
        <f t="shared" si="248"/>
        <v>22 Health professionals</v>
      </c>
      <c r="AT85" s="17">
        <f t="shared" si="220"/>
        <v>5.3976678999722694</v>
      </c>
      <c r="AU85" s="17">
        <f t="shared" si="220"/>
        <v>25.187942692889266</v>
      </c>
      <c r="AV85" s="17">
        <f t="shared" si="220"/>
        <v>0.64062760978347288</v>
      </c>
      <c r="AW85" s="17">
        <f t="shared" si="220"/>
        <v>1.7089117229849515</v>
      </c>
      <c r="AX85" s="17">
        <f t="shared" si="221"/>
        <v>2.6984061858320585</v>
      </c>
      <c r="AZ85" s="17">
        <f t="shared" si="222"/>
        <v>1.3515629634551773</v>
      </c>
      <c r="BA85" s="17">
        <f t="shared" si="223"/>
        <v>3.0507754518329877</v>
      </c>
      <c r="BB85" s="17">
        <f t="shared" si="224"/>
        <v>3.9678592979054628</v>
      </c>
      <c r="BD85" t="str">
        <f t="shared" si="249"/>
        <v>22 Health professionals</v>
      </c>
      <c r="BE85" s="17">
        <f t="shared" si="225"/>
        <v>3.5408610289006326</v>
      </c>
      <c r="BF85" s="17">
        <f t="shared" si="225"/>
        <v>-1.171222410329753</v>
      </c>
      <c r="BG85" s="17">
        <f t="shared" si="225"/>
        <v>3.0886223873597185</v>
      </c>
      <c r="BH85" s="17">
        <f t="shared" si="225"/>
        <v>0.84615896881270469</v>
      </c>
      <c r="BI85" s="17">
        <f t="shared" si="226"/>
        <v>1.4134762902961562</v>
      </c>
      <c r="BK85" s="17">
        <f t="shared" si="227"/>
        <v>1.5881737229312742</v>
      </c>
      <c r="BL85" s="17">
        <f t="shared" si="228"/>
        <v>3.5461608814466583</v>
      </c>
      <c r="BM85" s="17">
        <f t="shared" si="229"/>
        <v>4.5642754912605499</v>
      </c>
      <c r="BO85" t="str">
        <f t="shared" si="250"/>
        <v>22 Health professionals</v>
      </c>
      <c r="BP85" s="17">
        <f t="shared" si="230"/>
        <v>4.9416932892337506</v>
      </c>
      <c r="BQ85" s="17">
        <f t="shared" si="230"/>
        <v>-6.124850389191872</v>
      </c>
      <c r="BR85" s="17">
        <f t="shared" si="230"/>
        <v>1.2235990798710183</v>
      </c>
      <c r="BS85" s="17">
        <f t="shared" si="230"/>
        <v>-1.2686255176248107</v>
      </c>
      <c r="BT85" s="17">
        <f t="shared" si="231"/>
        <v>-0.80964166298943541</v>
      </c>
      <c r="BV85" s="17">
        <f t="shared" si="232"/>
        <v>-0.44477757168588372</v>
      </c>
      <c r="BW85" s="17">
        <f t="shared" si="233"/>
        <v>2.7207516584816016</v>
      </c>
      <c r="BX85" s="17">
        <f t="shared" si="234"/>
        <v>2.418491712798132</v>
      </c>
      <c r="BZ85" t="str">
        <f t="shared" si="251"/>
        <v>22 Health professionals</v>
      </c>
      <c r="CA85" s="17">
        <f t="shared" si="235"/>
        <v>7.9514957105442319</v>
      </c>
      <c r="CB85" s="17">
        <f t="shared" si="235"/>
        <v>-21.747187395854073</v>
      </c>
      <c r="CC85" s="17">
        <f t="shared" si="235"/>
        <v>0.24556341491801525</v>
      </c>
      <c r="CD85" s="17">
        <f t="shared" si="235"/>
        <v>-3.8645043430842407</v>
      </c>
      <c r="CE85" s="17">
        <f t="shared" si="236"/>
        <v>-3.8434293379154494</v>
      </c>
      <c r="CG85" s="17">
        <f t="shared" si="237"/>
        <v>-2.5135549737401397</v>
      </c>
      <c r="CH85" s="17">
        <f t="shared" si="238"/>
        <v>2.2329453410104838</v>
      </c>
      <c r="CI85" s="17">
        <f t="shared" si="239"/>
        <v>0.48525416309996849</v>
      </c>
      <c r="CK85" t="str">
        <f t="shared" si="252"/>
        <v>22 Health professionals</v>
      </c>
      <c r="CL85" s="17">
        <f t="shared" si="240"/>
        <v>9.8908889813976728</v>
      </c>
      <c r="CM85" s="17">
        <f t="shared" si="240"/>
        <v>-24.272344729892769</v>
      </c>
      <c r="CN85" s="17">
        <f t="shared" si="240"/>
        <v>3.0269013728799532</v>
      </c>
      <c r="CO85" s="17">
        <f t="shared" si="240"/>
        <v>1.1625140478126239</v>
      </c>
      <c r="CP85" s="17">
        <f t="shared" si="241"/>
        <v>-8.3378692393110132E-2</v>
      </c>
      <c r="CR85" s="17">
        <f t="shared" si="242"/>
        <v>1.7801973310926478</v>
      </c>
      <c r="CS85" s="17">
        <f t="shared" si="243"/>
        <v>2.3777162961030607</v>
      </c>
      <c r="CT85" s="17">
        <f t="shared" si="244"/>
        <v>3.7041623667294798</v>
      </c>
    </row>
    <row r="86" spans="1:98" x14ac:dyDescent="0.3">
      <c r="A86" t="str">
        <f t="shared" si="199"/>
        <v>23 Teaching and other educational professionals</v>
      </c>
      <c r="B86" s="17">
        <f t="shared" si="200"/>
        <v>4.6574871025813591</v>
      </c>
      <c r="C86" s="17">
        <f t="shared" si="200"/>
        <v>1.9469253388764596</v>
      </c>
      <c r="D86" s="17">
        <f t="shared" si="200"/>
        <v>3.228056199139262</v>
      </c>
      <c r="E86" s="17">
        <f t="shared" si="200"/>
        <v>1.698991050485521</v>
      </c>
      <c r="F86" s="17">
        <f t="shared" si="201"/>
        <v>2.1899255429619791</v>
      </c>
      <c r="H86" s="17">
        <f t="shared" si="202"/>
        <v>2.2061461355932899</v>
      </c>
      <c r="I86" s="17">
        <f t="shared" si="203"/>
        <v>3.2401825571520826</v>
      </c>
      <c r="J86" s="17">
        <f t="shared" si="204"/>
        <v>4.7315488114741289</v>
      </c>
      <c r="L86" t="str">
        <f t="shared" si="245"/>
        <v>23 Teaching and other educational professionals</v>
      </c>
      <c r="M86" s="17">
        <f t="shared" si="205"/>
        <v>6.3723109633761155</v>
      </c>
      <c r="N86" s="17">
        <f t="shared" si="205"/>
        <v>-0.38629676786029465</v>
      </c>
      <c r="O86" s="17">
        <f t="shared" si="205"/>
        <v>3.4060617483600453</v>
      </c>
      <c r="P86" s="17">
        <f t="shared" si="205"/>
        <v>1.7418795747268234</v>
      </c>
      <c r="Q86" s="17">
        <f t="shared" si="206"/>
        <v>2.1240230842971553</v>
      </c>
      <c r="S86" s="17">
        <f t="shared" si="207"/>
        <v>2.2936096133695294</v>
      </c>
      <c r="T86" s="17">
        <f t="shared" si="208"/>
        <v>3.3757860356659286</v>
      </c>
      <c r="U86" s="17">
        <f t="shared" si="209"/>
        <v>4.9040274735747236</v>
      </c>
      <c r="W86" t="str">
        <f t="shared" si="246"/>
        <v>23 Teaching and other educational professionals</v>
      </c>
      <c r="X86" s="17">
        <f t="shared" si="210"/>
        <v>-6.7659167554168231E-2</v>
      </c>
      <c r="Y86" s="17">
        <f t="shared" si="210"/>
        <v>14.965309304460694</v>
      </c>
      <c r="Z86" s="17">
        <f t="shared" si="210"/>
        <v>-4.0152306270324178</v>
      </c>
      <c r="AA86" s="17">
        <f t="shared" si="210"/>
        <v>-1.4539630918832702</v>
      </c>
      <c r="AB86" s="17">
        <f t="shared" si="211"/>
        <v>-1.3156852564094268</v>
      </c>
      <c r="AD86" s="17">
        <f t="shared" si="212"/>
        <v>-2.3152241568141663</v>
      </c>
      <c r="AE86" s="17">
        <f t="shared" si="213"/>
        <v>2.3625942798256805</v>
      </c>
      <c r="AF86" s="17">
        <f t="shared" si="214"/>
        <v>0.77738923295225248</v>
      </c>
      <c r="AH86" t="str">
        <f t="shared" si="247"/>
        <v>23 Teaching and other educational professionals</v>
      </c>
      <c r="AI86" s="17">
        <f t="shared" si="215"/>
        <v>-11.483623077205952</v>
      </c>
      <c r="AJ86" s="17">
        <f t="shared" si="215"/>
        <v>-3.5282010238914641</v>
      </c>
      <c r="AK86" s="17">
        <f t="shared" si="215"/>
        <v>-9.1685937388001353</v>
      </c>
      <c r="AL86" s="17">
        <f t="shared" si="215"/>
        <v>0.30064552898994013</v>
      </c>
      <c r="AM86" s="17">
        <f t="shared" si="216"/>
        <v>-2.9962294823501989</v>
      </c>
      <c r="AO86" s="17">
        <f t="shared" si="217"/>
        <v>-2.9606605914706874</v>
      </c>
      <c r="AP86" s="17">
        <f t="shared" si="218"/>
        <v>1.2499125642152054</v>
      </c>
      <c r="AQ86" s="17">
        <f t="shared" si="219"/>
        <v>-1.1405176817070095</v>
      </c>
      <c r="AS86" t="str">
        <f t="shared" si="248"/>
        <v>23 Teaching and other educational professionals</v>
      </c>
      <c r="AT86" s="17">
        <f t="shared" si="220"/>
        <v>1.1027925798626548</v>
      </c>
      <c r="AU86" s="17">
        <f t="shared" si="220"/>
        <v>6.3066634011993417</v>
      </c>
      <c r="AV86" s="17">
        <f t="shared" si="220"/>
        <v>-3.9789650077429628</v>
      </c>
      <c r="AW86" s="17">
        <f t="shared" si="220"/>
        <v>-1.0311975409681318</v>
      </c>
      <c r="AX86" s="17">
        <f t="shared" si="221"/>
        <v>-1.5227364378985087</v>
      </c>
      <c r="AZ86" s="17">
        <f t="shared" si="222"/>
        <v>-2.0237068095793398</v>
      </c>
      <c r="BA86" s="17">
        <f t="shared" si="223"/>
        <v>2.1923899940278879</v>
      </c>
      <c r="BB86" s="17">
        <f t="shared" si="224"/>
        <v>0.76046712718669252</v>
      </c>
      <c r="BD86" t="str">
        <f t="shared" si="249"/>
        <v>23 Teaching and other educational professionals</v>
      </c>
      <c r="BE86" s="17">
        <f t="shared" si="225"/>
        <v>1.3164979149948186</v>
      </c>
      <c r="BF86" s="17">
        <f t="shared" si="225"/>
        <v>0.16332553016957796</v>
      </c>
      <c r="BG86" s="17">
        <f t="shared" si="225"/>
        <v>1.9032637745594938</v>
      </c>
      <c r="BH86" s="17">
        <f t="shared" si="225"/>
        <v>2.1308613543830068</v>
      </c>
      <c r="BI86" s="17">
        <f t="shared" si="226"/>
        <v>1.9356735637851452</v>
      </c>
      <c r="BK86" s="17">
        <f t="shared" si="227"/>
        <v>2.0549390691362301</v>
      </c>
      <c r="BL86" s="17">
        <f t="shared" si="228"/>
        <v>2.6837611079940871</v>
      </c>
      <c r="BM86" s="17">
        <f t="shared" si="229"/>
        <v>4.1659017643116192</v>
      </c>
      <c r="BO86" t="str">
        <f t="shared" si="250"/>
        <v>23 Teaching and other educational professionals</v>
      </c>
      <c r="BP86" s="17">
        <f t="shared" si="230"/>
        <v>2.1426861200698699</v>
      </c>
      <c r="BQ86" s="17">
        <f t="shared" si="230"/>
        <v>-2.1675729907500996</v>
      </c>
      <c r="BR86" s="17">
        <f t="shared" si="230"/>
        <v>-0.3927767151989614</v>
      </c>
      <c r="BS86" s="17">
        <f t="shared" si="230"/>
        <v>-0.83696179532525283</v>
      </c>
      <c r="BT86" s="17">
        <f t="shared" si="231"/>
        <v>-0.782174988392903</v>
      </c>
      <c r="BV86" s="17">
        <f t="shared" si="232"/>
        <v>-0.68912062638877281</v>
      </c>
      <c r="BW86" s="17">
        <f t="shared" si="233"/>
        <v>2.4784207318616858</v>
      </c>
      <c r="BX86" s="17">
        <f t="shared" si="234"/>
        <v>1.9966406997999453</v>
      </c>
      <c r="BZ86" t="str">
        <f t="shared" si="251"/>
        <v>23 Teaching and other educational professionals</v>
      </c>
      <c r="CA86" s="17">
        <f t="shared" si="235"/>
        <v>3.0444033122863701</v>
      </c>
      <c r="CB86" s="17">
        <f t="shared" si="235"/>
        <v>0.11383250109679999</v>
      </c>
      <c r="CC86" s="17">
        <f t="shared" si="235"/>
        <v>-0.32275845690330485</v>
      </c>
      <c r="CD86" s="17">
        <f t="shared" si="235"/>
        <v>-1.5728458636684151</v>
      </c>
      <c r="CE86" s="17">
        <f t="shared" si="236"/>
        <v>-1.078893849323681</v>
      </c>
      <c r="CG86" s="17">
        <f t="shared" si="237"/>
        <v>-1.1579018190000512</v>
      </c>
      <c r="CH86" s="17">
        <f t="shared" si="238"/>
        <v>2.3014890866732252</v>
      </c>
      <c r="CI86" s="17">
        <f t="shared" si="239"/>
        <v>1.4797737691068402</v>
      </c>
      <c r="CK86" t="str">
        <f t="shared" si="252"/>
        <v>23 Teaching and other educational professionals</v>
      </c>
      <c r="CL86" s="17">
        <f t="shared" si="240"/>
        <v>7.5034360818800439</v>
      </c>
      <c r="CM86" s="17">
        <f t="shared" si="240"/>
        <v>-10.68487989318675</v>
      </c>
      <c r="CN86" s="17">
        <f t="shared" si="240"/>
        <v>1.3555837560095041</v>
      </c>
      <c r="CO86" s="17">
        <f t="shared" si="240"/>
        <v>-1.8184652134021539</v>
      </c>
      <c r="CP86" s="17">
        <f t="shared" si="241"/>
        <v>-1.4222623485643071</v>
      </c>
      <c r="CR86" s="17">
        <f t="shared" si="242"/>
        <v>-0.77164974584118529</v>
      </c>
      <c r="CS86" s="17">
        <f t="shared" si="243"/>
        <v>1.99186686889683</v>
      </c>
      <c r="CT86" s="17">
        <f t="shared" si="244"/>
        <v>1.4146768571999147</v>
      </c>
    </row>
    <row r="87" spans="1:98" x14ac:dyDescent="0.3">
      <c r="A87" t="str">
        <f t="shared" si="199"/>
        <v>24 Business, media and public service professionals</v>
      </c>
      <c r="B87" s="17">
        <f t="shared" si="200"/>
        <v>6.5428760726122359</v>
      </c>
      <c r="C87" s="17">
        <f t="shared" si="200"/>
        <v>5.9536693330976664</v>
      </c>
      <c r="D87" s="17">
        <f t="shared" si="200"/>
        <v>6.7459748904652228</v>
      </c>
      <c r="E87" s="17">
        <f t="shared" si="200"/>
        <v>2.9514787506395468</v>
      </c>
      <c r="F87" s="17">
        <f t="shared" si="201"/>
        <v>4.3097643934439489</v>
      </c>
      <c r="H87" s="17">
        <f t="shared" si="202"/>
        <v>4.2010820110290226</v>
      </c>
      <c r="I87" s="17">
        <f t="shared" si="203"/>
        <v>3.7921720204409981</v>
      </c>
      <c r="J87" s="17">
        <f t="shared" si="204"/>
        <v>6.5817041452268743</v>
      </c>
      <c r="L87" t="str">
        <f t="shared" si="245"/>
        <v>24 Business, media and public service professionals</v>
      </c>
      <c r="M87" s="17">
        <f t="shared" si="205"/>
        <v>7.2650845868853953</v>
      </c>
      <c r="N87" s="17">
        <f t="shared" si="205"/>
        <v>0.94975452028929208</v>
      </c>
      <c r="O87" s="17">
        <f t="shared" si="205"/>
        <v>5.9215613965730274</v>
      </c>
      <c r="P87" s="17">
        <f t="shared" si="205"/>
        <v>2.6358538439341217</v>
      </c>
      <c r="Q87" s="17">
        <f t="shared" si="206"/>
        <v>3.5442849615659355</v>
      </c>
      <c r="S87" s="17">
        <f t="shared" si="207"/>
        <v>3.7196058673404142</v>
      </c>
      <c r="T87" s="17">
        <f t="shared" si="208"/>
        <v>3.6661683279055834</v>
      </c>
      <c r="U87" s="17">
        <f t="shared" si="209"/>
        <v>6.1433063956656486</v>
      </c>
      <c r="W87" t="str">
        <f t="shared" si="246"/>
        <v>24 Business, media and public service professionals</v>
      </c>
      <c r="X87" s="17">
        <f t="shared" si="210"/>
        <v>3.9506831465834447</v>
      </c>
      <c r="Y87" s="17">
        <f t="shared" si="210"/>
        <v>14.41111362649885</v>
      </c>
      <c r="Z87" s="17">
        <f t="shared" si="210"/>
        <v>1.5388503367601336</v>
      </c>
      <c r="AA87" s="17">
        <f t="shared" si="210"/>
        <v>1.4896690723728678</v>
      </c>
      <c r="AB87" s="17">
        <f t="shared" si="211"/>
        <v>2.2681704558465077</v>
      </c>
      <c r="AD87" s="17">
        <f t="shared" si="212"/>
        <v>1.5060601797773465</v>
      </c>
      <c r="AE87" s="17">
        <f t="shared" si="213"/>
        <v>3.116324821640637</v>
      </c>
      <c r="AF87" s="17">
        <f t="shared" si="214"/>
        <v>4.1334562383543272</v>
      </c>
      <c r="AH87" t="str">
        <f t="shared" si="247"/>
        <v>24 Business, media and public service professionals</v>
      </c>
      <c r="AI87" s="17">
        <f t="shared" si="215"/>
        <v>-0.99917079716038693</v>
      </c>
      <c r="AJ87" s="17">
        <f t="shared" si="215"/>
        <v>19.125489821214757</v>
      </c>
      <c r="AK87" s="17">
        <f t="shared" si="215"/>
        <v>-0.90824604660045827</v>
      </c>
      <c r="AL87" s="17">
        <f t="shared" si="215"/>
        <v>1.3435560391222845</v>
      </c>
      <c r="AM87" s="17">
        <f t="shared" si="216"/>
        <v>1.6563715668481249</v>
      </c>
      <c r="AO87" s="17">
        <f t="shared" si="217"/>
        <v>0.5873263638858095</v>
      </c>
      <c r="AP87" s="17">
        <f t="shared" si="218"/>
        <v>2.160503212710907</v>
      </c>
      <c r="AQ87" s="17">
        <f t="shared" si="219"/>
        <v>2.6007650425118101</v>
      </c>
      <c r="AS87" t="str">
        <f t="shared" si="248"/>
        <v>24 Business, media and public service professionals</v>
      </c>
      <c r="AT87" s="17">
        <f t="shared" si="220"/>
        <v>3.1890304102978551</v>
      </c>
      <c r="AU87" s="17">
        <f t="shared" si="220"/>
        <v>15.822700115724221</v>
      </c>
      <c r="AV87" s="17">
        <f t="shared" si="220"/>
        <v>1.6394376973071001</v>
      </c>
      <c r="AW87" s="17">
        <f t="shared" si="220"/>
        <v>1.8049670530285056</v>
      </c>
      <c r="AX87" s="17">
        <f t="shared" si="221"/>
        <v>2.5769222989094231</v>
      </c>
      <c r="AZ87" s="17">
        <f t="shared" si="222"/>
        <v>1.7497606694395262</v>
      </c>
      <c r="BA87" s="17">
        <f t="shared" si="223"/>
        <v>3.0156039188238282</v>
      </c>
      <c r="BB87" s="17">
        <f t="shared" si="224"/>
        <v>4.2190685039243947</v>
      </c>
      <c r="BD87" t="str">
        <f t="shared" si="249"/>
        <v>24 Business, media and public service professionals</v>
      </c>
      <c r="BE87" s="17">
        <f t="shared" si="225"/>
        <v>3.8963436873302504</v>
      </c>
      <c r="BF87" s="17">
        <f t="shared" si="225"/>
        <v>1.7783300704670379</v>
      </c>
      <c r="BG87" s="17">
        <f t="shared" si="225"/>
        <v>3.3085339280442883</v>
      </c>
      <c r="BH87" s="17">
        <f t="shared" si="225"/>
        <v>1.2263941518683819</v>
      </c>
      <c r="BI87" s="17">
        <f t="shared" si="226"/>
        <v>1.907142454352373</v>
      </c>
      <c r="BK87" s="17">
        <f t="shared" si="227"/>
        <v>1.9157357408510212</v>
      </c>
      <c r="BL87" s="17">
        <f t="shared" si="228"/>
        <v>2.7788174125208176</v>
      </c>
      <c r="BM87" s="17">
        <f t="shared" si="229"/>
        <v>4.1406208251510979</v>
      </c>
      <c r="BO87" t="str">
        <f t="shared" si="250"/>
        <v>24 Business, media and public service professionals</v>
      </c>
      <c r="BP87" s="17">
        <f t="shared" si="230"/>
        <v>1.7103664126125295</v>
      </c>
      <c r="BQ87" s="17">
        <f t="shared" si="230"/>
        <v>7.9314116565437853</v>
      </c>
      <c r="BR87" s="17">
        <f t="shared" si="230"/>
        <v>-0.34031950040037673</v>
      </c>
      <c r="BS87" s="17">
        <f t="shared" si="230"/>
        <v>-1.129415810258616</v>
      </c>
      <c r="BT87" s="17">
        <f t="shared" si="231"/>
        <v>-0.33882124718606077</v>
      </c>
      <c r="BV87" s="17">
        <f t="shared" si="232"/>
        <v>-0.86708038277514277</v>
      </c>
      <c r="BW87" s="17">
        <f t="shared" si="233"/>
        <v>2.2264527537768641</v>
      </c>
      <c r="BX87" s="17">
        <f t="shared" si="234"/>
        <v>1.6005246897432768</v>
      </c>
      <c r="BZ87" t="str">
        <f t="shared" si="251"/>
        <v>24 Business, media and public service professionals</v>
      </c>
      <c r="CA87" s="17">
        <f t="shared" si="235"/>
        <v>3.18309082094832</v>
      </c>
      <c r="CB87" s="17">
        <f t="shared" si="235"/>
        <v>-2.1220018314299316</v>
      </c>
      <c r="CC87" s="17">
        <f t="shared" si="235"/>
        <v>0.16158480751327087</v>
      </c>
      <c r="CD87" s="17">
        <f t="shared" si="235"/>
        <v>-2.7680406373909228</v>
      </c>
      <c r="CE87" s="17">
        <f t="shared" si="236"/>
        <v>-1.8212299862881087</v>
      </c>
      <c r="CG87" s="17">
        <f t="shared" si="237"/>
        <v>-1.8011456991069208</v>
      </c>
      <c r="CH87" s="17">
        <f t="shared" si="238"/>
        <v>2.0997904630737363</v>
      </c>
      <c r="CI87" s="17">
        <f t="shared" si="239"/>
        <v>0.80099693864592592</v>
      </c>
      <c r="CK87" t="str">
        <f t="shared" si="252"/>
        <v>24 Business, media and public service professionals</v>
      </c>
      <c r="CL87" s="17">
        <f t="shared" si="240"/>
        <v>7.2399774671323192</v>
      </c>
      <c r="CM87" s="17">
        <f t="shared" si="240"/>
        <v>-16.602483954420379</v>
      </c>
      <c r="CN87" s="17">
        <f t="shared" si="240"/>
        <v>1.0679591281028467</v>
      </c>
      <c r="CO87" s="17">
        <f t="shared" si="240"/>
        <v>-0.54047040537271718</v>
      </c>
      <c r="CP87" s="17">
        <f t="shared" si="241"/>
        <v>-1.1349505830904549</v>
      </c>
      <c r="CR87" s="17">
        <f t="shared" si="242"/>
        <v>-7.1916539002403468E-3</v>
      </c>
      <c r="CS87" s="17">
        <f t="shared" si="243"/>
        <v>1.9106451156678528</v>
      </c>
      <c r="CT87" s="17">
        <f t="shared" si="244"/>
        <v>1.9051281406437859</v>
      </c>
    </row>
    <row r="88" spans="1:98" x14ac:dyDescent="0.3">
      <c r="A88" t="str">
        <f t="shared" si="199"/>
        <v>31 Science, engineering and technology associate professionals</v>
      </c>
      <c r="B88" s="17">
        <f t="shared" si="200"/>
        <v>8.4567454395168884</v>
      </c>
      <c r="C88" s="17">
        <f t="shared" si="200"/>
        <v>5.5080840320130608</v>
      </c>
      <c r="D88" s="17">
        <f t="shared" si="200"/>
        <v>3.7734754997840403</v>
      </c>
      <c r="E88" s="17">
        <f t="shared" si="200"/>
        <v>3.8082259267282481</v>
      </c>
      <c r="F88" s="17">
        <f t="shared" si="201"/>
        <v>3.9027883079922665</v>
      </c>
      <c r="H88" s="17">
        <f t="shared" si="202"/>
        <v>3.7966411582937454</v>
      </c>
      <c r="I88" s="17">
        <f t="shared" si="203"/>
        <v>3.3749472114665169</v>
      </c>
      <c r="J88" s="17">
        <f t="shared" si="204"/>
        <v>5.9926850458784653</v>
      </c>
      <c r="L88" t="str">
        <f t="shared" si="245"/>
        <v>31 Science, engineering and technology associate professionals</v>
      </c>
      <c r="M88" s="17">
        <f t="shared" si="205"/>
        <v>7.2938925056952986</v>
      </c>
      <c r="N88" s="17">
        <f t="shared" si="205"/>
        <v>9.4295692112209561</v>
      </c>
      <c r="O88" s="17">
        <f t="shared" si="205"/>
        <v>1.7013839560207078</v>
      </c>
      <c r="P88" s="17">
        <f t="shared" si="205"/>
        <v>2.695340170174787</v>
      </c>
      <c r="Q88" s="17">
        <f t="shared" si="206"/>
        <v>2.7909249157439531</v>
      </c>
      <c r="S88" s="17">
        <f t="shared" si="207"/>
        <v>2.3629467368956103</v>
      </c>
      <c r="T88" s="17">
        <f t="shared" si="208"/>
        <v>2.8933123777056702</v>
      </c>
      <c r="U88" s="17">
        <f t="shared" si="209"/>
        <v>4.5651384276615747</v>
      </c>
      <c r="W88" t="str">
        <f t="shared" si="246"/>
        <v>31 Science, engineering and technology associate professionals</v>
      </c>
      <c r="X88" s="17">
        <f t="shared" si="210"/>
        <v>5.1198106014183731</v>
      </c>
      <c r="Y88" s="17">
        <f t="shared" si="210"/>
        <v>14.455206706085288</v>
      </c>
      <c r="Z88" s="17">
        <f t="shared" si="210"/>
        <v>-1.903118524812597</v>
      </c>
      <c r="AA88" s="17">
        <f t="shared" si="210"/>
        <v>1.4903797753910153</v>
      </c>
      <c r="AB88" s="17">
        <f t="shared" si="211"/>
        <v>1.1748387846241215</v>
      </c>
      <c r="AD88" s="17">
        <f t="shared" si="212"/>
        <v>0.34636665984226767</v>
      </c>
      <c r="AE88" s="17">
        <f t="shared" si="213"/>
        <v>2.4254564015776303</v>
      </c>
      <c r="AF88" s="17">
        <f t="shared" si="214"/>
        <v>2.6748968303084819</v>
      </c>
      <c r="AH88" t="str">
        <f t="shared" si="247"/>
        <v>31 Science, engineering and technology associate professionals</v>
      </c>
      <c r="AI88" s="17">
        <f t="shared" si="215"/>
        <v>6.1590835457181026</v>
      </c>
      <c r="AJ88" s="17">
        <f t="shared" si="215"/>
        <v>18.813689814189761</v>
      </c>
      <c r="AK88" s="17">
        <f t="shared" si="215"/>
        <v>3.2019633537827552E-2</v>
      </c>
      <c r="AL88" s="17">
        <f t="shared" si="215"/>
        <v>2.9980455381346527</v>
      </c>
      <c r="AM88" s="17">
        <f t="shared" si="216"/>
        <v>2.9771146875841037</v>
      </c>
      <c r="AO88" s="17">
        <f t="shared" si="217"/>
        <v>1.9997251648423697</v>
      </c>
      <c r="AP88" s="17">
        <f t="shared" si="218"/>
        <v>2.8275484154479003</v>
      </c>
      <c r="AQ88" s="17">
        <f t="shared" si="219"/>
        <v>4.2430124428157523</v>
      </c>
      <c r="AS88" t="str">
        <f t="shared" si="248"/>
        <v>31 Science, engineering and technology associate professionals</v>
      </c>
      <c r="AT88" s="17">
        <f t="shared" si="220"/>
        <v>2.8387141949315797</v>
      </c>
      <c r="AU88" s="17">
        <f t="shared" si="220"/>
        <v>11.867733343388153</v>
      </c>
      <c r="AV88" s="17">
        <f t="shared" si="220"/>
        <v>-3.718690839454375</v>
      </c>
      <c r="AW88" s="17">
        <f t="shared" si="220"/>
        <v>0.21009735763337645</v>
      </c>
      <c r="AX88" s="17">
        <f t="shared" si="221"/>
        <v>-0.35153782486613272</v>
      </c>
      <c r="AZ88" s="17">
        <f t="shared" si="222"/>
        <v>-1.1169959688982711</v>
      </c>
      <c r="BA88" s="17">
        <f t="shared" si="223"/>
        <v>1.9169839274327583</v>
      </c>
      <c r="BB88" s="17">
        <f t="shared" si="224"/>
        <v>1.0778740248671426</v>
      </c>
      <c r="BD88" t="str">
        <f t="shared" si="249"/>
        <v>31 Science, engineering and technology associate professionals</v>
      </c>
      <c r="BE88" s="17">
        <f t="shared" si="225"/>
        <v>1.8027274063884491</v>
      </c>
      <c r="BF88" s="17">
        <f t="shared" si="225"/>
        <v>2.5179492920541113</v>
      </c>
      <c r="BG88" s="17">
        <f t="shared" si="225"/>
        <v>-4.5332176755915166</v>
      </c>
      <c r="BH88" s="17">
        <f t="shared" si="225"/>
        <v>-1.7022731004456504</v>
      </c>
      <c r="BI88" s="17">
        <f t="shared" si="226"/>
        <v>-2.3395985100579164</v>
      </c>
      <c r="BK88" s="17">
        <f t="shared" si="227"/>
        <v>-2.6551280031906432</v>
      </c>
      <c r="BL88" s="17">
        <f t="shared" si="228"/>
        <v>1.6592197603240377</v>
      </c>
      <c r="BM88" s="17">
        <f t="shared" si="229"/>
        <v>-0.35641079678444543</v>
      </c>
      <c r="BO88" t="str">
        <f t="shared" si="250"/>
        <v>31 Science, engineering and technology associate professionals</v>
      </c>
      <c r="BP88" s="17">
        <f t="shared" si="230"/>
        <v>2.5033487033961244</v>
      </c>
      <c r="BQ88" s="17">
        <f t="shared" si="230"/>
        <v>12.702393883485419</v>
      </c>
      <c r="BR88" s="17">
        <f t="shared" si="230"/>
        <v>-4.2682572801433505</v>
      </c>
      <c r="BS88" s="17">
        <f t="shared" si="230"/>
        <v>-0.1264897439141488</v>
      </c>
      <c r="BT88" s="17">
        <f t="shared" si="231"/>
        <v>-0.69245247416954703</v>
      </c>
      <c r="BV88" s="17">
        <f t="shared" si="232"/>
        <v>-1.5266155500156531</v>
      </c>
      <c r="BW88" s="17">
        <f t="shared" si="233"/>
        <v>1.8457549194292877</v>
      </c>
      <c r="BX88" s="17">
        <f t="shared" si="234"/>
        <v>0.69569312712796094</v>
      </c>
      <c r="BZ88" t="str">
        <f t="shared" si="251"/>
        <v>31 Science, engineering and technology associate professionals</v>
      </c>
      <c r="CA88" s="17">
        <f t="shared" si="235"/>
        <v>3.3930445076929772</v>
      </c>
      <c r="CB88" s="17">
        <f t="shared" si="235"/>
        <v>4.4445434957969709</v>
      </c>
      <c r="CC88" s="17">
        <f t="shared" si="235"/>
        <v>-3.4394105413731557</v>
      </c>
      <c r="CD88" s="17">
        <f t="shared" si="235"/>
        <v>-1.2078490715473955</v>
      </c>
      <c r="CE88" s="17">
        <f t="shared" si="236"/>
        <v>-1.569009184199488</v>
      </c>
      <c r="CG88" s="17">
        <f t="shared" si="237"/>
        <v>-1.9573750914828048</v>
      </c>
      <c r="CH88" s="17">
        <f t="shared" si="238"/>
        <v>1.7625994671319978</v>
      </c>
      <c r="CI88" s="17">
        <f t="shared" si="239"/>
        <v>0.28133690278822066</v>
      </c>
      <c r="CK88" t="str">
        <f t="shared" si="252"/>
        <v>31 Science, engineering and technology associate professionals</v>
      </c>
      <c r="CL88" s="17">
        <f t="shared" si="240"/>
        <v>8.4202181555600006</v>
      </c>
      <c r="CM88" s="17">
        <f t="shared" si="240"/>
        <v>-6.6805763113129917</v>
      </c>
      <c r="CN88" s="17">
        <f t="shared" si="240"/>
        <v>-4.0306467498307796E-2</v>
      </c>
      <c r="CO88" s="17">
        <f t="shared" si="240"/>
        <v>2.466116788940198</v>
      </c>
      <c r="CP88" s="17">
        <f t="shared" si="241"/>
        <v>1.0837192541598872</v>
      </c>
      <c r="CR88" s="17">
        <f t="shared" si="242"/>
        <v>1.6237360804219669</v>
      </c>
      <c r="CS88" s="17">
        <f t="shared" si="243"/>
        <v>2.157944289393976</v>
      </c>
      <c r="CT88" s="17">
        <f t="shared" si="244"/>
        <v>3.3980302630533421</v>
      </c>
    </row>
    <row r="89" spans="1:98" x14ac:dyDescent="0.3">
      <c r="A89" t="str">
        <f t="shared" si="199"/>
        <v>32 Health and social care associate professionals</v>
      </c>
      <c r="B89" s="17">
        <f t="shared" si="200"/>
        <v>12.358498268161245</v>
      </c>
      <c r="C89" s="17">
        <f t="shared" si="200"/>
        <v>-18.900651151192438</v>
      </c>
      <c r="D89" s="17">
        <f t="shared" si="200"/>
        <v>7.726317465029231</v>
      </c>
      <c r="E89" s="17">
        <f t="shared" si="200"/>
        <v>4.2388585831004466</v>
      </c>
      <c r="F89" s="17">
        <f t="shared" si="201"/>
        <v>3.6770620462860171</v>
      </c>
      <c r="H89" s="17">
        <f t="shared" si="202"/>
        <v>5.3886163861756264</v>
      </c>
      <c r="I89" s="17">
        <f t="shared" si="203"/>
        <v>4.7050063522269703</v>
      </c>
      <c r="J89" s="17">
        <f t="shared" si="204"/>
        <v>8.0412736639114968</v>
      </c>
      <c r="L89" t="str">
        <f t="shared" si="245"/>
        <v>32 Health and social care associate professionals</v>
      </c>
      <c r="M89" s="17">
        <f t="shared" si="205"/>
        <v>10.845966788600524</v>
      </c>
      <c r="N89" s="17">
        <f t="shared" si="205"/>
        <v>-7.5168432878972453</v>
      </c>
      <c r="O89" s="17">
        <f t="shared" si="205"/>
        <v>6.2113633198207063</v>
      </c>
      <c r="P89" s="17">
        <f t="shared" si="205"/>
        <v>3.9036397122953481</v>
      </c>
      <c r="Q89" s="17">
        <f t="shared" si="206"/>
        <v>3.8607784298041015</v>
      </c>
      <c r="S89" s="17">
        <f t="shared" si="207"/>
        <v>4.6672551540728024</v>
      </c>
      <c r="T89" s="17">
        <f t="shared" si="208"/>
        <v>4.3256418202422431</v>
      </c>
      <c r="U89" s="17">
        <f t="shared" si="209"/>
        <v>7.2808501574704865</v>
      </c>
      <c r="W89" t="str">
        <f t="shared" si="246"/>
        <v>32 Health and social care associate professionals</v>
      </c>
      <c r="X89" s="17">
        <f t="shared" si="210"/>
        <v>6.3727778299706106</v>
      </c>
      <c r="Y89" s="17">
        <f t="shared" si="210"/>
        <v>9.9532751910509134</v>
      </c>
      <c r="Z89" s="17">
        <f t="shared" si="210"/>
        <v>1.4844306279837349</v>
      </c>
      <c r="AA89" s="17">
        <f t="shared" si="210"/>
        <v>2.6435752719810246</v>
      </c>
      <c r="AB89" s="17">
        <f t="shared" si="211"/>
        <v>2.7206327776680084</v>
      </c>
      <c r="AD89" s="17">
        <f t="shared" si="212"/>
        <v>2.2557300723463403</v>
      </c>
      <c r="AE89" s="17">
        <f t="shared" si="213"/>
        <v>3.8304239084115954</v>
      </c>
      <c r="AF89" s="17">
        <f t="shared" si="214"/>
        <v>5.2511400227791993</v>
      </c>
      <c r="AH89" t="str">
        <f t="shared" si="247"/>
        <v>32 Health and social care associate professionals</v>
      </c>
      <c r="AI89" s="17">
        <f t="shared" si="215"/>
        <v>-1.658470114880084</v>
      </c>
      <c r="AJ89" s="17">
        <f t="shared" si="215"/>
        <v>4.0430077313470036</v>
      </c>
      <c r="AK89" s="17">
        <f t="shared" si="215"/>
        <v>-7.2174218243954531</v>
      </c>
      <c r="AL89" s="17">
        <f t="shared" si="215"/>
        <v>-4.7282593575131315</v>
      </c>
      <c r="AM89" s="17">
        <f t="shared" si="216"/>
        <v>-4.9916819069640184</v>
      </c>
      <c r="AO89" s="17">
        <f t="shared" si="217"/>
        <v>-5.5653129601541895</v>
      </c>
      <c r="AP89" s="17">
        <f t="shared" si="218"/>
        <v>1.6371561038934779</v>
      </c>
      <c r="AQ89" s="17">
        <f t="shared" si="219"/>
        <v>-2.3550751688486415</v>
      </c>
      <c r="AS89" t="str">
        <f t="shared" si="248"/>
        <v>32 Health and social care associate professionals</v>
      </c>
      <c r="AT89" s="17">
        <f t="shared" si="220"/>
        <v>4.6680725154119251</v>
      </c>
      <c r="AU89" s="17">
        <f t="shared" si="220"/>
        <v>25.780570077575682</v>
      </c>
      <c r="AV89" s="17">
        <f t="shared" si="220"/>
        <v>-1.4325794430631866</v>
      </c>
      <c r="AW89" s="17">
        <f t="shared" si="220"/>
        <v>1.5833183009634544</v>
      </c>
      <c r="AX89" s="17">
        <f t="shared" si="221"/>
        <v>1.9838796607013487</v>
      </c>
      <c r="AZ89" s="17">
        <f t="shared" si="222"/>
        <v>0.5679028942784603</v>
      </c>
      <c r="BA89" s="17">
        <f t="shared" si="223"/>
        <v>3.1044616764851485</v>
      </c>
      <c r="BB89" s="17">
        <f t="shared" si="224"/>
        <v>3.4799787779480784</v>
      </c>
      <c r="BD89" t="str">
        <f t="shared" si="249"/>
        <v>32 Health and social care associate professionals</v>
      </c>
      <c r="BE89" s="17">
        <f t="shared" si="225"/>
        <v>4.080608303782185</v>
      </c>
      <c r="BF89" s="17">
        <f t="shared" si="225"/>
        <v>1.8496283737355457</v>
      </c>
      <c r="BG89" s="17">
        <f t="shared" si="225"/>
        <v>1.6219559333196854</v>
      </c>
      <c r="BH89" s="17">
        <f t="shared" si="225"/>
        <v>1.4242949443192598</v>
      </c>
      <c r="BI89" s="17">
        <f t="shared" si="226"/>
        <v>1.5125700397876418</v>
      </c>
      <c r="BK89" s="17">
        <f t="shared" si="227"/>
        <v>1.490139185588002</v>
      </c>
      <c r="BL89" s="17">
        <f t="shared" si="228"/>
        <v>3.6398304077455368</v>
      </c>
      <c r="BM89" s="17">
        <f t="shared" si="229"/>
        <v>4.5814576567946075</v>
      </c>
      <c r="BO89" t="str">
        <f t="shared" si="250"/>
        <v>32 Health and social care associate professionals</v>
      </c>
      <c r="BP89" s="17">
        <f t="shared" si="230"/>
        <v>4.8873797089206583</v>
      </c>
      <c r="BQ89" s="17">
        <f t="shared" si="230"/>
        <v>-9.249823396915847</v>
      </c>
      <c r="BR89" s="17">
        <f t="shared" si="230"/>
        <v>0.12776400713971903</v>
      </c>
      <c r="BS89" s="17">
        <f t="shared" si="230"/>
        <v>-1.245200023477544</v>
      </c>
      <c r="BT89" s="17">
        <f t="shared" si="231"/>
        <v>-1.3407890380629839</v>
      </c>
      <c r="BV89" s="17">
        <f t="shared" si="232"/>
        <v>-0.78965000301290944</v>
      </c>
      <c r="BW89" s="17">
        <f t="shared" si="233"/>
        <v>2.8420304537093433</v>
      </c>
      <c r="BX89" s="17">
        <f t="shared" si="234"/>
        <v>2.3189158665985588</v>
      </c>
      <c r="BZ89" t="str">
        <f t="shared" si="251"/>
        <v>32 Health and social care associate professionals</v>
      </c>
      <c r="CA89" s="17">
        <f t="shared" si="235"/>
        <v>1.9094824618446582</v>
      </c>
      <c r="CB89" s="17">
        <f t="shared" si="235"/>
        <v>-20.12990361097221</v>
      </c>
      <c r="CC89" s="17">
        <f t="shared" si="235"/>
        <v>-2.722180578774025</v>
      </c>
      <c r="CD89" s="17">
        <f t="shared" si="235"/>
        <v>-4.0562505580520325</v>
      </c>
      <c r="CE89" s="17">
        <f t="shared" si="236"/>
        <v>-4.7393012033807853</v>
      </c>
      <c r="CG89" s="17">
        <f t="shared" si="237"/>
        <v>-3.6136058845141372</v>
      </c>
      <c r="CH89" s="17">
        <f t="shared" si="238"/>
        <v>2.0334807420847589</v>
      </c>
      <c r="CI89" s="17">
        <f t="shared" si="239"/>
        <v>-0.49503938112187562</v>
      </c>
      <c r="CK89" t="str">
        <f t="shared" si="252"/>
        <v>32 Health and social care associate professionals</v>
      </c>
      <c r="CL89" s="17">
        <f t="shared" si="240"/>
        <v>5.3199456121257205</v>
      </c>
      <c r="CM89" s="17">
        <f t="shared" si="240"/>
        <v>-23.88007393256817</v>
      </c>
      <c r="CN89" s="17">
        <f t="shared" si="240"/>
        <v>0.32983446870316069</v>
      </c>
      <c r="CO89" s="17">
        <f t="shared" si="240"/>
        <v>1.0179169757578821</v>
      </c>
      <c r="CP89" s="17">
        <f t="shared" si="241"/>
        <v>-0.96480572138958332</v>
      </c>
      <c r="CR89" s="17">
        <f t="shared" si="242"/>
        <v>0.78803339743378498</v>
      </c>
      <c r="CS89" s="17">
        <f t="shared" si="243"/>
        <v>2.2955881698233815</v>
      </c>
      <c r="CT89" s="17">
        <f t="shared" si="244"/>
        <v>2.8780520809635224</v>
      </c>
    </row>
    <row r="90" spans="1:98" x14ac:dyDescent="0.3">
      <c r="A90" t="str">
        <f t="shared" si="199"/>
        <v>33 Protective service occupations</v>
      </c>
      <c r="B90" s="17">
        <f t="shared" si="200"/>
        <v>1.9725999529958349</v>
      </c>
      <c r="C90" s="17">
        <f t="shared" si="200"/>
        <v>12.965788934973554</v>
      </c>
      <c r="D90" s="17">
        <f t="shared" si="200"/>
        <v>10.089984144837327</v>
      </c>
      <c r="E90" s="17">
        <f t="shared" si="200"/>
        <v>4.5177118301098496</v>
      </c>
      <c r="F90" s="17">
        <f t="shared" si="201"/>
        <v>6.7453725815920906</v>
      </c>
      <c r="H90" s="17">
        <f t="shared" si="202"/>
        <v>6.3430711901208969</v>
      </c>
      <c r="I90" s="17">
        <f t="shared" si="203"/>
        <v>3.732853169413719</v>
      </c>
      <c r="J90" s="17">
        <f t="shared" si="204"/>
        <v>8.1710352754982942</v>
      </c>
      <c r="L90" t="str">
        <f t="shared" si="245"/>
        <v>33 Protective service occupations</v>
      </c>
      <c r="M90" s="17">
        <f t="shared" si="205"/>
        <v>2.8247082722381966</v>
      </c>
      <c r="N90" s="17">
        <f t="shared" si="205"/>
        <v>9.7651745313612981</v>
      </c>
      <c r="O90" s="17">
        <f t="shared" si="205"/>
        <v>9.0712481350359262</v>
      </c>
      <c r="P90" s="17">
        <f t="shared" si="205"/>
        <v>4.4475037609974954</v>
      </c>
      <c r="Q90" s="17">
        <f t="shared" si="206"/>
        <v>6.2000667785941266</v>
      </c>
      <c r="S90" s="17">
        <f t="shared" si="207"/>
        <v>5.9665522656619174</v>
      </c>
      <c r="T90" s="17">
        <f t="shared" si="208"/>
        <v>3.2713083835911316</v>
      </c>
      <c r="U90" s="17">
        <f t="shared" si="209"/>
        <v>7.6130858941862112</v>
      </c>
      <c r="W90" t="str">
        <f t="shared" si="246"/>
        <v>33 Protective service occupations</v>
      </c>
      <c r="X90" s="17">
        <f t="shared" si="210"/>
        <v>1.7416602460990083</v>
      </c>
      <c r="Y90" s="17">
        <f t="shared" si="210"/>
        <v>21.291271953415645</v>
      </c>
      <c r="Z90" s="17">
        <f t="shared" si="210"/>
        <v>5.8716113923967805</v>
      </c>
      <c r="AA90" s="17">
        <f t="shared" si="210"/>
        <v>4.2523078497442413</v>
      </c>
      <c r="AB90" s="17">
        <f t="shared" si="211"/>
        <v>5.7514903369254133</v>
      </c>
      <c r="AD90" s="17">
        <f t="shared" si="212"/>
        <v>4.7893049100879326</v>
      </c>
      <c r="AE90" s="17">
        <f t="shared" si="213"/>
        <v>3.4737260810479897</v>
      </c>
      <c r="AF90" s="17">
        <f t="shared" si="214"/>
        <v>6.8093537636657375</v>
      </c>
      <c r="AH90" t="str">
        <f t="shared" si="247"/>
        <v>33 Protective service occupations</v>
      </c>
      <c r="AI90" s="17">
        <f t="shared" si="215"/>
        <v>0.79384877499266704</v>
      </c>
      <c r="AJ90" s="17">
        <f t="shared" si="215"/>
        <v>19.382611089289846</v>
      </c>
      <c r="AK90" s="17">
        <f t="shared" si="215"/>
        <v>5.4133725627354634</v>
      </c>
      <c r="AL90" s="17">
        <f t="shared" si="215"/>
        <v>3.7988855102285335</v>
      </c>
      <c r="AM90" s="17">
        <f t="shared" si="216"/>
        <v>5.2165742495427159</v>
      </c>
      <c r="AO90" s="17">
        <f t="shared" si="217"/>
        <v>4.3342815332149787</v>
      </c>
      <c r="AP90" s="17">
        <f t="shared" si="218"/>
        <v>3.0328421067222777</v>
      </c>
      <c r="AQ90" s="17">
        <f t="shared" si="219"/>
        <v>6.1709436839590293</v>
      </c>
      <c r="AS90" t="str">
        <f t="shared" si="248"/>
        <v>33 Protective service occupations</v>
      </c>
      <c r="AT90" s="17">
        <f t="shared" si="220"/>
        <v>-3.1637740722290308</v>
      </c>
      <c r="AU90" s="17">
        <f t="shared" si="220"/>
        <v>19.567149495232083</v>
      </c>
      <c r="AV90" s="17">
        <f t="shared" si="220"/>
        <v>2.6912009502621848</v>
      </c>
      <c r="AW90" s="17">
        <f t="shared" si="220"/>
        <v>2.555474898981136</v>
      </c>
      <c r="AX90" s="17">
        <f t="shared" si="221"/>
        <v>3.5867383916436957</v>
      </c>
      <c r="AZ90" s="17">
        <f t="shared" si="222"/>
        <v>2.600696972366201</v>
      </c>
      <c r="BA90" s="17">
        <f t="shared" si="223"/>
        <v>2.6141704320863157</v>
      </c>
      <c r="BB90" s="17">
        <f t="shared" si="224"/>
        <v>4.5258421395907078</v>
      </c>
      <c r="BD90" t="str">
        <f t="shared" si="249"/>
        <v>33 Protective service occupations</v>
      </c>
      <c r="BE90" s="17">
        <f t="shared" si="225"/>
        <v>-1.442404983695833</v>
      </c>
      <c r="BF90" s="17">
        <f t="shared" si="225"/>
        <v>-1.9624830553286787</v>
      </c>
      <c r="BG90" s="17">
        <f t="shared" si="225"/>
        <v>4.7161292921640952</v>
      </c>
      <c r="BH90" s="17">
        <f t="shared" si="225"/>
        <v>0.86021654067773845</v>
      </c>
      <c r="BI90" s="17">
        <f t="shared" si="226"/>
        <v>1.8688018247026816</v>
      </c>
      <c r="BK90" s="17">
        <f t="shared" si="227"/>
        <v>2.1294808703246959</v>
      </c>
      <c r="BL90" s="17">
        <f t="shared" si="228"/>
        <v>1.9319220897283218</v>
      </c>
      <c r="BM90" s="17">
        <f t="shared" si="229"/>
        <v>3.6178050258277805</v>
      </c>
      <c r="BO90" t="str">
        <f t="shared" si="250"/>
        <v>33 Protective service occupations</v>
      </c>
      <c r="BP90" s="17">
        <f t="shared" si="230"/>
        <v>-1.4679608641971487</v>
      </c>
      <c r="BQ90" s="17">
        <f t="shared" si="230"/>
        <v>8.4776263695020901</v>
      </c>
      <c r="BR90" s="17">
        <f t="shared" si="230"/>
        <v>1.909796221816018</v>
      </c>
      <c r="BS90" s="17">
        <f t="shared" si="230"/>
        <v>-0.55768641790325812</v>
      </c>
      <c r="BT90" s="17">
        <f t="shared" si="231"/>
        <v>0.75306169158790848</v>
      </c>
      <c r="BV90" s="17">
        <f t="shared" si="232"/>
        <v>0.25809714437747822</v>
      </c>
      <c r="BW90" s="17">
        <f t="shared" si="233"/>
        <v>1.9490159855875211</v>
      </c>
      <c r="BX90" s="17">
        <f t="shared" si="234"/>
        <v>2.1468832676315941</v>
      </c>
      <c r="BZ90" t="str">
        <f t="shared" si="251"/>
        <v>33 Protective service occupations</v>
      </c>
      <c r="CA90" s="17">
        <f t="shared" si="235"/>
        <v>-0.98310603984873568</v>
      </c>
      <c r="CB90" s="17">
        <f t="shared" si="235"/>
        <v>-2.3523111741902802</v>
      </c>
      <c r="CC90" s="17">
        <f t="shared" si="235"/>
        <v>3.1247992821446857</v>
      </c>
      <c r="CD90" s="17">
        <f t="shared" si="235"/>
        <v>-2.2383117171313027</v>
      </c>
      <c r="CE90" s="17">
        <f t="shared" si="236"/>
        <v>-0.60025277743158689</v>
      </c>
      <c r="CG90" s="17">
        <f t="shared" si="237"/>
        <v>-0.48233732540392538</v>
      </c>
      <c r="CH90" s="17">
        <f t="shared" si="238"/>
        <v>2.1786738561013319</v>
      </c>
      <c r="CI90" s="17">
        <f t="shared" si="239"/>
        <v>1.8253400059571545</v>
      </c>
      <c r="CK90" t="str">
        <f t="shared" si="252"/>
        <v>33 Protective service occupations</v>
      </c>
      <c r="CL90" s="17">
        <f t="shared" si="240"/>
        <v>-3.1234281439360578</v>
      </c>
      <c r="CM90" s="17">
        <f t="shared" si="240"/>
        <v>-19.427996274949244</v>
      </c>
      <c r="CN90" s="17">
        <f t="shared" si="240"/>
        <v>-5.0527073782168035</v>
      </c>
      <c r="CO90" s="17">
        <f t="shared" si="240"/>
        <v>-0.48858046820010603</v>
      </c>
      <c r="CP90" s="17">
        <f t="shared" si="241"/>
        <v>-3.223392429961891</v>
      </c>
      <c r="CR90" s="17">
        <f t="shared" si="242"/>
        <v>-2.0338270076112441</v>
      </c>
      <c r="CS90" s="17">
        <f t="shared" si="243"/>
        <v>1.065076235500606</v>
      </c>
      <c r="CT90" s="17">
        <f t="shared" si="244"/>
        <v>-0.64867930889628278</v>
      </c>
    </row>
    <row r="91" spans="1:98" x14ac:dyDescent="0.3">
      <c r="A91" t="str">
        <f t="shared" si="199"/>
        <v>34 Culture, media and sports occupations</v>
      </c>
      <c r="B91" s="17">
        <f t="shared" si="200"/>
        <v>6.6927218989076831</v>
      </c>
      <c r="C91" s="17">
        <f t="shared" si="200"/>
        <v>13.375308857563816</v>
      </c>
      <c r="D91" s="17">
        <f t="shared" si="200"/>
        <v>4.8194057624449504</v>
      </c>
      <c r="E91" s="17">
        <f t="shared" si="200"/>
        <v>3.1357821417845155</v>
      </c>
      <c r="F91" s="17">
        <f t="shared" si="201"/>
        <v>4.2740611734042977</v>
      </c>
      <c r="H91" s="17">
        <f t="shared" si="202"/>
        <v>3.6939636296959621</v>
      </c>
      <c r="I91" s="17">
        <f t="shared" si="203"/>
        <v>3.8203279960123293</v>
      </c>
      <c r="J91" s="17">
        <f t="shared" si="204"/>
        <v>6.2361338651142573</v>
      </c>
      <c r="L91" t="str">
        <f t="shared" si="245"/>
        <v>34 Culture, media and sports occupations</v>
      </c>
      <c r="M91" s="17">
        <f t="shared" si="205"/>
        <v>2.0306132318799186</v>
      </c>
      <c r="N91" s="17">
        <f t="shared" si="205"/>
        <v>33.546746678608862</v>
      </c>
      <c r="O91" s="17">
        <f t="shared" si="205"/>
        <v>3.3283352029545021</v>
      </c>
      <c r="P91" s="17">
        <f t="shared" si="205"/>
        <v>2.8116567094467859</v>
      </c>
      <c r="Q91" s="17">
        <f t="shared" si="206"/>
        <v>4.6699768243160245</v>
      </c>
      <c r="S91" s="17">
        <f t="shared" si="207"/>
        <v>2.9835951700535324</v>
      </c>
      <c r="T91" s="17">
        <f t="shared" si="208"/>
        <v>3.4157634563471539</v>
      </c>
      <c r="U91" s="17">
        <f t="shared" si="209"/>
        <v>5.4265045839594128</v>
      </c>
      <c r="W91" t="str">
        <f t="shared" si="246"/>
        <v>34 Culture, media and sports occupations</v>
      </c>
      <c r="X91" s="17">
        <f t="shared" si="210"/>
        <v>-0.45337196374873878</v>
      </c>
      <c r="Y91" s="17">
        <f t="shared" si="210"/>
        <v>31.541345322661108</v>
      </c>
      <c r="Z91" s="17">
        <f t="shared" si="210"/>
        <v>-1.4076437793797969</v>
      </c>
      <c r="AA91" s="17">
        <f t="shared" si="210"/>
        <v>1.2387809523283222</v>
      </c>
      <c r="AB91" s="17">
        <f t="shared" si="211"/>
        <v>2.0608600309630409</v>
      </c>
      <c r="AD91" s="17">
        <f t="shared" si="212"/>
        <v>0.34883924606674555</v>
      </c>
      <c r="AE91" s="17">
        <f t="shared" si="213"/>
        <v>2.6375965810554458</v>
      </c>
      <c r="AF91" s="17">
        <f t="shared" si="214"/>
        <v>2.8817840389600669</v>
      </c>
      <c r="AH91" t="str">
        <f t="shared" si="247"/>
        <v>34 Culture, media and sports occupations</v>
      </c>
      <c r="AI91" s="17">
        <f t="shared" si="215"/>
        <v>0.58656867408828361</v>
      </c>
      <c r="AJ91" s="17">
        <f t="shared" si="215"/>
        <v>27.484057681629803</v>
      </c>
      <c r="AK91" s="17">
        <f t="shared" si="215"/>
        <v>-1.4428042767602789</v>
      </c>
      <c r="AL91" s="17">
        <f t="shared" si="215"/>
        <v>2.5854134302355503</v>
      </c>
      <c r="AM91" s="17">
        <f t="shared" si="216"/>
        <v>2.6944814088254887</v>
      </c>
      <c r="AO91" s="17">
        <f t="shared" si="217"/>
        <v>1.2247053617780113</v>
      </c>
      <c r="AP91" s="17">
        <f t="shared" si="218"/>
        <v>2.6186669049370837</v>
      </c>
      <c r="AQ91" s="17">
        <f t="shared" si="219"/>
        <v>3.4943443953031394</v>
      </c>
      <c r="AS91" t="str">
        <f t="shared" si="248"/>
        <v>34 Culture, media and sports occupations</v>
      </c>
      <c r="AT91" s="17">
        <f t="shared" si="220"/>
        <v>-2.4077308389234608</v>
      </c>
      <c r="AU91" s="17">
        <f t="shared" si="220"/>
        <v>23.323992863600896</v>
      </c>
      <c r="AV91" s="17">
        <f t="shared" si="220"/>
        <v>-3.4683418547974854</v>
      </c>
      <c r="AW91" s="17">
        <f t="shared" si="220"/>
        <v>8.5723051386121796E-2</v>
      </c>
      <c r="AX91" s="17">
        <f t="shared" si="221"/>
        <v>0.26107513897866141</v>
      </c>
      <c r="AZ91" s="17">
        <f t="shared" si="222"/>
        <v>-1.1132714592002269</v>
      </c>
      <c r="BA91" s="17">
        <f t="shared" si="223"/>
        <v>2.1871497283733499</v>
      </c>
      <c r="BB91" s="17">
        <f t="shared" si="224"/>
        <v>1.3830877587608592</v>
      </c>
      <c r="BD91" t="str">
        <f t="shared" si="249"/>
        <v>34 Culture, media and sports occupations</v>
      </c>
      <c r="BE91" s="17">
        <f t="shared" si="225"/>
        <v>-0.16234817157972925</v>
      </c>
      <c r="BF91" s="17">
        <f t="shared" si="225"/>
        <v>7.258700625548431</v>
      </c>
      <c r="BG91" s="17">
        <f t="shared" si="225"/>
        <v>-1.6060209552141491</v>
      </c>
      <c r="BH91" s="17">
        <f t="shared" si="225"/>
        <v>0.39913352574567629</v>
      </c>
      <c r="BI91" s="17">
        <f t="shared" si="226"/>
        <v>0.18112972640926817</v>
      </c>
      <c r="BK91" s="17">
        <f t="shared" si="227"/>
        <v>-0.27375096181960767</v>
      </c>
      <c r="BL91" s="17">
        <f t="shared" si="228"/>
        <v>2.0267334445369212</v>
      </c>
      <c r="BM91" s="17">
        <f t="shared" si="229"/>
        <v>1.8210616312176242</v>
      </c>
      <c r="BO91" t="str">
        <f t="shared" si="250"/>
        <v>34 Culture, media and sports occupations</v>
      </c>
      <c r="BP91" s="17">
        <f t="shared" si="230"/>
        <v>-4.8595327185734334</v>
      </c>
      <c r="BQ91" s="17">
        <f t="shared" si="230"/>
        <v>11.317416799880341</v>
      </c>
      <c r="BR91" s="17">
        <f t="shared" si="230"/>
        <v>-5.5133878437756749</v>
      </c>
      <c r="BS91" s="17">
        <f t="shared" si="230"/>
        <v>-4.5499102527385427</v>
      </c>
      <c r="BT91" s="17">
        <f t="shared" si="231"/>
        <v>-3.9331346678251333</v>
      </c>
      <c r="BV91" s="17">
        <f t="shared" si="232"/>
        <v>-4.8721561491809169</v>
      </c>
      <c r="BW91" s="17">
        <f t="shared" si="233"/>
        <v>1.5459947966318444</v>
      </c>
      <c r="BX91" s="17">
        <f t="shared" si="234"/>
        <v>-2.0629119676916385</v>
      </c>
      <c r="BZ91" t="str">
        <f t="shared" si="251"/>
        <v>34 Culture, media and sports occupations</v>
      </c>
      <c r="CA91" s="17">
        <f t="shared" si="235"/>
        <v>-1.0251414352274724</v>
      </c>
      <c r="CB91" s="17">
        <f t="shared" si="235"/>
        <v>-12.558127834224331</v>
      </c>
      <c r="CC91" s="17">
        <f t="shared" si="235"/>
        <v>-4.8157467294385086</v>
      </c>
      <c r="CD91" s="17">
        <f t="shared" si="235"/>
        <v>-4.373762007620396</v>
      </c>
      <c r="CE91" s="17">
        <f t="shared" si="236"/>
        <v>-5.044586219644664</v>
      </c>
      <c r="CG91" s="17">
        <f t="shared" si="237"/>
        <v>-4.5213178167105239</v>
      </c>
      <c r="CH91" s="17">
        <f t="shared" si="238"/>
        <v>1.554553504445999</v>
      </c>
      <c r="CI91" s="17">
        <f t="shared" si="239"/>
        <v>-1.8136376559017231</v>
      </c>
      <c r="CK91" t="str">
        <f t="shared" si="252"/>
        <v>34 Culture, media and sports occupations</v>
      </c>
      <c r="CL91" s="17">
        <f t="shared" si="240"/>
        <v>5.0488427935428959</v>
      </c>
      <c r="CM91" s="17">
        <f t="shared" si="240"/>
        <v>-11.823819709443073</v>
      </c>
      <c r="CN91" s="17">
        <f t="shared" si="240"/>
        <v>-1.6859231174795486</v>
      </c>
      <c r="CO91" s="17">
        <f t="shared" si="240"/>
        <v>-3.5511623091582178</v>
      </c>
      <c r="CP91" s="17">
        <f t="shared" si="241"/>
        <v>-3.5144032809639625</v>
      </c>
      <c r="CR91" s="17">
        <f t="shared" si="242"/>
        <v>-2.9333814143395642</v>
      </c>
      <c r="CS91" s="17">
        <f t="shared" si="243"/>
        <v>1.531424361456768</v>
      </c>
      <c r="CT91" s="17">
        <f t="shared" si="244"/>
        <v>-0.73048182302365428</v>
      </c>
    </row>
    <row r="92" spans="1:98" x14ac:dyDescent="0.3">
      <c r="A92" t="str">
        <f t="shared" si="199"/>
        <v>35 Business and public service associate professionals</v>
      </c>
      <c r="B92" s="17">
        <f t="shared" si="200"/>
        <v>5.3239252564075468</v>
      </c>
      <c r="C92" s="17">
        <f t="shared" si="200"/>
        <v>1.5465088822537609</v>
      </c>
      <c r="D92" s="17">
        <f t="shared" si="200"/>
        <v>4.7279892690298642</v>
      </c>
      <c r="E92" s="17">
        <f t="shared" si="200"/>
        <v>3.007826307869288</v>
      </c>
      <c r="F92" s="17">
        <f t="shared" si="201"/>
        <v>3.4498977349797677</v>
      </c>
      <c r="H92" s="17">
        <f t="shared" si="202"/>
        <v>3.5780515146829339</v>
      </c>
      <c r="I92" s="17">
        <f t="shared" si="203"/>
        <v>3.4674811435796205</v>
      </c>
      <c r="J92" s="17">
        <f t="shared" si="204"/>
        <v>5.8970211188156041</v>
      </c>
      <c r="L92" t="str">
        <f t="shared" si="245"/>
        <v>35 Business and public service associate professionals</v>
      </c>
      <c r="M92" s="17">
        <f t="shared" si="205"/>
        <v>6.3220150373181516</v>
      </c>
      <c r="N92" s="17">
        <f t="shared" si="205"/>
        <v>-1.8089716425618407</v>
      </c>
      <c r="O92" s="17">
        <f t="shared" si="205"/>
        <v>4.4439076949071898</v>
      </c>
      <c r="P92" s="17">
        <f t="shared" si="205"/>
        <v>2.7508314063122263</v>
      </c>
      <c r="Q92" s="17">
        <f t="shared" si="206"/>
        <v>2.9843663118817698</v>
      </c>
      <c r="S92" s="17">
        <f t="shared" si="207"/>
        <v>3.3121184971903972</v>
      </c>
      <c r="T92" s="17">
        <f t="shared" si="208"/>
        <v>3.4804319711555065</v>
      </c>
      <c r="U92" s="17">
        <f t="shared" si="209"/>
        <v>5.7125710292848408</v>
      </c>
      <c r="W92" t="str">
        <f t="shared" si="246"/>
        <v>35 Business and public service associate professionals</v>
      </c>
      <c r="X92" s="17">
        <f t="shared" si="210"/>
        <v>2.0939221780416961</v>
      </c>
      <c r="Y92" s="17">
        <f t="shared" si="210"/>
        <v>9.9091813142862648</v>
      </c>
      <c r="Z92" s="17">
        <f t="shared" si="210"/>
        <v>-0.7884374891735324</v>
      </c>
      <c r="AA92" s="17">
        <f t="shared" si="210"/>
        <v>1.1476139301980659</v>
      </c>
      <c r="AB92" s="17">
        <f t="shared" si="211"/>
        <v>1.0619363725921982</v>
      </c>
      <c r="AD92" s="17">
        <f t="shared" si="212"/>
        <v>0.49810158638401436</v>
      </c>
      <c r="AE92" s="17">
        <f t="shared" si="213"/>
        <v>2.7826586042253298</v>
      </c>
      <c r="AF92" s="17">
        <f t="shared" si="214"/>
        <v>3.1257958397126862</v>
      </c>
      <c r="AH92" t="str">
        <f t="shared" si="247"/>
        <v>35 Business and public service associate professionals</v>
      </c>
      <c r="AI92" s="17">
        <f t="shared" si="215"/>
        <v>2.1738069064248577</v>
      </c>
      <c r="AJ92" s="17">
        <f t="shared" si="215"/>
        <v>15.509575106975525</v>
      </c>
      <c r="AK92" s="17">
        <f t="shared" si="215"/>
        <v>-0.49834987651593554</v>
      </c>
      <c r="AL92" s="17">
        <f t="shared" si="215"/>
        <v>1.7161004545563685</v>
      </c>
      <c r="AM92" s="17">
        <f t="shared" si="216"/>
        <v>1.824937312078756</v>
      </c>
      <c r="AO92" s="17">
        <f t="shared" si="217"/>
        <v>0.97252787025761123</v>
      </c>
      <c r="AP92" s="17">
        <f t="shared" si="218"/>
        <v>2.7650202144841485</v>
      </c>
      <c r="AQ92" s="17">
        <f t="shared" si="219"/>
        <v>3.4437272264343566</v>
      </c>
      <c r="AS92" t="str">
        <f t="shared" si="248"/>
        <v>35 Business and public service associate professionals</v>
      </c>
      <c r="AT92" s="17">
        <f t="shared" si="220"/>
        <v>1.6478210495632695</v>
      </c>
      <c r="AU92" s="17">
        <f t="shared" si="220"/>
        <v>12.359066492334826</v>
      </c>
      <c r="AV92" s="17">
        <f t="shared" si="220"/>
        <v>-0.91297426976937324</v>
      </c>
      <c r="AW92" s="17">
        <f t="shared" si="220"/>
        <v>1.3738949211967943</v>
      </c>
      <c r="AX92" s="17">
        <f t="shared" si="221"/>
        <v>1.3029490606039529</v>
      </c>
      <c r="AZ92" s="17">
        <f t="shared" si="222"/>
        <v>0.60580015063158577</v>
      </c>
      <c r="BA92" s="17">
        <f t="shared" si="223"/>
        <v>2.6453480766303494</v>
      </c>
      <c r="BB92" s="17">
        <f t="shared" si="224"/>
        <v>3.0713658446898773</v>
      </c>
      <c r="BD92" t="str">
        <f t="shared" si="249"/>
        <v>35 Business and public service associate professionals</v>
      </c>
      <c r="BE92" s="17">
        <f t="shared" si="225"/>
        <v>0.37176092795254689</v>
      </c>
      <c r="BF92" s="17">
        <f t="shared" si="225"/>
        <v>-0.4514302319526653</v>
      </c>
      <c r="BG92" s="17">
        <f t="shared" si="225"/>
        <v>-0.54295560918878882</v>
      </c>
      <c r="BH92" s="17">
        <f t="shared" si="225"/>
        <v>-0.11780280376672003</v>
      </c>
      <c r="BI92" s="17">
        <f t="shared" si="226"/>
        <v>-0.27171453385972377</v>
      </c>
      <c r="BK92" s="17">
        <f t="shared" si="227"/>
        <v>-0.25972195807980603</v>
      </c>
      <c r="BL92" s="17">
        <f t="shared" si="228"/>
        <v>2.3968682475816738</v>
      </c>
      <c r="BM92" s="17">
        <f t="shared" si="229"/>
        <v>2.2114669703503509</v>
      </c>
      <c r="BO92" t="str">
        <f t="shared" si="250"/>
        <v>35 Business and public service associate professionals</v>
      </c>
      <c r="BP92" s="17">
        <f t="shared" si="230"/>
        <v>0.36406568436220255</v>
      </c>
      <c r="BQ92" s="17">
        <f t="shared" si="230"/>
        <v>2.1258903313879696</v>
      </c>
      <c r="BR92" s="17">
        <f t="shared" si="230"/>
        <v>-2.7513714087307961</v>
      </c>
      <c r="BS92" s="17">
        <f t="shared" si="230"/>
        <v>-1.661310257602977</v>
      </c>
      <c r="BT92" s="17">
        <f t="shared" si="231"/>
        <v>-1.7715386859634807</v>
      </c>
      <c r="BV92" s="17">
        <f t="shared" si="232"/>
        <v>-2.026014867400816</v>
      </c>
      <c r="BW92" s="17">
        <f t="shared" si="233"/>
        <v>1.9578251524326795</v>
      </c>
      <c r="BX92" s="17">
        <f t="shared" si="234"/>
        <v>0.47194412733759794</v>
      </c>
      <c r="BZ92" t="str">
        <f t="shared" si="251"/>
        <v>35 Business and public service associate professionals</v>
      </c>
      <c r="CA92" s="17">
        <f t="shared" si="235"/>
        <v>0.68594656168692314</v>
      </c>
      <c r="CB92" s="17">
        <f t="shared" si="235"/>
        <v>-8.8145826100486051</v>
      </c>
      <c r="CC92" s="17">
        <f t="shared" si="235"/>
        <v>-3.1338900140466364</v>
      </c>
      <c r="CD92" s="17">
        <f t="shared" si="235"/>
        <v>-3.279587656774452</v>
      </c>
      <c r="CE92" s="17">
        <f t="shared" si="236"/>
        <v>-3.5898230274617027</v>
      </c>
      <c r="CG92" s="17">
        <f t="shared" si="237"/>
        <v>-3.2310461416925618</v>
      </c>
      <c r="CH92" s="17">
        <f t="shared" si="238"/>
        <v>1.7141534292424154</v>
      </c>
      <c r="CI92" s="17">
        <f t="shared" si="239"/>
        <v>-0.68973427572113222</v>
      </c>
      <c r="CK92" t="str">
        <f t="shared" si="252"/>
        <v>35 Business and public service associate professionals</v>
      </c>
      <c r="CL92" s="17">
        <f t="shared" si="240"/>
        <v>2.8173046071819918</v>
      </c>
      <c r="CM92" s="17">
        <f t="shared" si="240"/>
        <v>-22.602888087241237</v>
      </c>
      <c r="CN92" s="17">
        <f t="shared" si="240"/>
        <v>-3.8245606665858634</v>
      </c>
      <c r="CO92" s="17">
        <f t="shared" si="240"/>
        <v>0.96832580245496125</v>
      </c>
      <c r="CP92" s="17">
        <f t="shared" si="241"/>
        <v>-2.1933069849933595</v>
      </c>
      <c r="CR92" s="17">
        <f t="shared" si="242"/>
        <v>-0.65527093477135701</v>
      </c>
      <c r="CS92" s="17">
        <f t="shared" si="243"/>
        <v>1.5849886595605156</v>
      </c>
      <c r="CT92" s="17">
        <f t="shared" si="244"/>
        <v>1.0643825686017738</v>
      </c>
    </row>
    <row r="93" spans="1:98" x14ac:dyDescent="0.3">
      <c r="A93" t="str">
        <f t="shared" si="199"/>
        <v>41 Administrative occupations</v>
      </c>
      <c r="B93" s="17">
        <f t="shared" si="200"/>
        <v>3.5839248957070913</v>
      </c>
      <c r="C93" s="17">
        <f t="shared" si="200"/>
        <v>0.11604801971196732</v>
      </c>
      <c r="D93" s="17">
        <f t="shared" si="200"/>
        <v>5.4868209698910375</v>
      </c>
      <c r="E93" s="17">
        <f t="shared" si="200"/>
        <v>3.8619191863286551</v>
      </c>
      <c r="F93" s="17">
        <f t="shared" si="201"/>
        <v>4.1276661605490705</v>
      </c>
      <c r="H93" s="17">
        <f t="shared" si="202"/>
        <v>4.400752821406928</v>
      </c>
      <c r="I93" s="17">
        <f t="shared" si="203"/>
        <v>3.9806379636300848</v>
      </c>
      <c r="J93" s="17">
        <f t="shared" si="204"/>
        <v>6.8558915172027612</v>
      </c>
      <c r="L93" t="str">
        <f t="shared" si="245"/>
        <v>41 Administrative occupations</v>
      </c>
      <c r="M93" s="17">
        <f t="shared" si="205"/>
        <v>6.3392295708305291</v>
      </c>
      <c r="N93" s="17">
        <f t="shared" si="205"/>
        <v>0.41233306960613003</v>
      </c>
      <c r="O93" s="17">
        <f t="shared" si="205"/>
        <v>4.8004029187539432</v>
      </c>
      <c r="P93" s="17">
        <f t="shared" si="205"/>
        <v>3.0323108937853505</v>
      </c>
      <c r="Q93" s="17">
        <f t="shared" si="206"/>
        <v>3.4149947258259816</v>
      </c>
      <c r="S93" s="17">
        <f t="shared" si="207"/>
        <v>3.6183354075824514</v>
      </c>
      <c r="T93" s="17">
        <f t="shared" si="208"/>
        <v>3.7786414139600044</v>
      </c>
      <c r="U93" s="17">
        <f t="shared" si="209"/>
        <v>6.1519390401560736</v>
      </c>
      <c r="W93" t="str">
        <f t="shared" si="246"/>
        <v>41 Administrative occupations</v>
      </c>
      <c r="X93" s="17">
        <f t="shared" si="210"/>
        <v>1.1706729780849079</v>
      </c>
      <c r="Y93" s="17">
        <f t="shared" si="210"/>
        <v>18.45919938609013</v>
      </c>
      <c r="Z93" s="17">
        <f t="shared" si="210"/>
        <v>-0.28396288254738389</v>
      </c>
      <c r="AA93" s="17">
        <f t="shared" si="210"/>
        <v>1.5970035574396135</v>
      </c>
      <c r="AB93" s="17">
        <f t="shared" si="211"/>
        <v>1.9794528326380068</v>
      </c>
      <c r="AD93" s="17">
        <f t="shared" si="212"/>
        <v>0.96610509169132719</v>
      </c>
      <c r="AE93" s="17">
        <f t="shared" si="213"/>
        <v>3.1146693747803988</v>
      </c>
      <c r="AF93" s="17">
        <f t="shared" si="214"/>
        <v>3.7589127193586869</v>
      </c>
      <c r="AH93" t="str">
        <f t="shared" si="247"/>
        <v>41 Administrative occupations</v>
      </c>
      <c r="AI93" s="17">
        <f t="shared" si="215"/>
        <v>1.7972305224100538</v>
      </c>
      <c r="AJ93" s="17">
        <f t="shared" si="215"/>
        <v>22.981194252823876</v>
      </c>
      <c r="AK93" s="17">
        <f t="shared" si="215"/>
        <v>-0.75731990078237166</v>
      </c>
      <c r="AL93" s="17">
        <f t="shared" si="215"/>
        <v>1.6218773693380317</v>
      </c>
      <c r="AM93" s="17">
        <f t="shared" si="216"/>
        <v>2.0822430119444402</v>
      </c>
      <c r="AO93" s="17">
        <f t="shared" si="217"/>
        <v>0.82254068058329466</v>
      </c>
      <c r="AP93" s="17">
        <f t="shared" si="218"/>
        <v>3.1912771238187032</v>
      </c>
      <c r="AQ93" s="17">
        <f t="shared" si="219"/>
        <v>3.7324290212388478</v>
      </c>
      <c r="AS93" t="str">
        <f t="shared" si="248"/>
        <v>41 Administrative occupations</v>
      </c>
      <c r="AT93" s="17">
        <f t="shared" si="220"/>
        <v>1.2478291348673176</v>
      </c>
      <c r="AU93" s="17">
        <f t="shared" si="220"/>
        <v>17.162429450751127</v>
      </c>
      <c r="AV93" s="17">
        <f t="shared" si="220"/>
        <v>-1.2584767204881442</v>
      </c>
      <c r="AW93" s="17">
        <f t="shared" si="220"/>
        <v>1.6487471069244863</v>
      </c>
      <c r="AX93" s="17">
        <f t="shared" si="221"/>
        <v>1.6293707049797934</v>
      </c>
      <c r="AZ93" s="17">
        <f t="shared" si="222"/>
        <v>0.67028410939597993</v>
      </c>
      <c r="BA93" s="17">
        <f t="shared" si="223"/>
        <v>3.0028518080595257</v>
      </c>
      <c r="BB93" s="17">
        <f t="shared" si="224"/>
        <v>3.4531708825821017</v>
      </c>
      <c r="BD93" t="str">
        <f t="shared" si="249"/>
        <v>41 Administrative occupations</v>
      </c>
      <c r="BE93" s="17">
        <f t="shared" si="225"/>
        <v>-2.0665633274591033</v>
      </c>
      <c r="BF93" s="17">
        <f t="shared" si="225"/>
        <v>2.8510515620684407</v>
      </c>
      <c r="BG93" s="17">
        <f t="shared" si="225"/>
        <v>-1.2293105580178154</v>
      </c>
      <c r="BH93" s="17">
        <f t="shared" si="225"/>
        <v>-1.1983388315829457</v>
      </c>
      <c r="BI93" s="17">
        <f t="shared" si="226"/>
        <v>-0.95969326186992054</v>
      </c>
      <c r="BK93" s="17">
        <f t="shared" si="227"/>
        <v>-1.208663819340583</v>
      </c>
      <c r="BL93" s="17">
        <f t="shared" si="228"/>
        <v>2.5585524104376978</v>
      </c>
      <c r="BM93" s="17">
        <f t="shared" si="229"/>
        <v>1.7332188958113948</v>
      </c>
      <c r="BO93" t="str">
        <f t="shared" si="250"/>
        <v>41 Administrative occupations</v>
      </c>
      <c r="BP93" s="17">
        <f t="shared" si="230"/>
        <v>-1.0976868635060644</v>
      </c>
      <c r="BQ93" s="17">
        <f t="shared" si="230"/>
        <v>-4.3726075911899702</v>
      </c>
      <c r="BR93" s="17">
        <f t="shared" si="230"/>
        <v>-3.0195806449333951</v>
      </c>
      <c r="BS93" s="17">
        <f t="shared" si="230"/>
        <v>-3.5581682925584279</v>
      </c>
      <c r="BT93" s="17">
        <f t="shared" si="231"/>
        <v>-3.4413758219874024</v>
      </c>
      <c r="BV93" s="17">
        <f t="shared" si="232"/>
        <v>-3.3789722424079072</v>
      </c>
      <c r="BW93" s="17">
        <f t="shared" si="233"/>
        <v>1.9972872677916698</v>
      </c>
      <c r="BX93" s="17">
        <f t="shared" si="234"/>
        <v>-0.39423132485105761</v>
      </c>
      <c r="BZ93" t="str">
        <f t="shared" si="251"/>
        <v>41 Administrative occupations</v>
      </c>
      <c r="CA93" s="17">
        <f t="shared" si="235"/>
        <v>-1.9096613157537523</v>
      </c>
      <c r="CB93" s="17">
        <f t="shared" si="235"/>
        <v>-15.299509093242335</v>
      </c>
      <c r="CC93" s="17">
        <f t="shared" si="235"/>
        <v>-5.9449442754415109</v>
      </c>
      <c r="CD93" s="17">
        <f t="shared" si="235"/>
        <v>-8.3852176446409956</v>
      </c>
      <c r="CE93" s="17">
        <f t="shared" si="236"/>
        <v>-8.0814293923561991</v>
      </c>
      <c r="CG93" s="17">
        <f t="shared" si="237"/>
        <v>-7.5789103661965456</v>
      </c>
      <c r="CH93" s="17">
        <f t="shared" si="238"/>
        <v>1.3891152281976682</v>
      </c>
      <c r="CI93" s="17">
        <f t="shared" si="239"/>
        <v>-4.0663163047662927</v>
      </c>
      <c r="CK93" t="str">
        <f t="shared" si="252"/>
        <v>41 Administrative occupations</v>
      </c>
      <c r="CL93" s="17">
        <f t="shared" si="240"/>
        <v>-0.87592616881200236</v>
      </c>
      <c r="CM93" s="17">
        <f t="shared" si="240"/>
        <v>-23.852362856111121</v>
      </c>
      <c r="CN93" s="17">
        <f t="shared" si="240"/>
        <v>-4.7901143716980172</v>
      </c>
      <c r="CO93" s="17">
        <f t="shared" si="240"/>
        <v>-1.9312187712884454</v>
      </c>
      <c r="CP93" s="17">
        <f t="shared" si="241"/>
        <v>-4.3580544757151003</v>
      </c>
      <c r="CR93" s="17">
        <f t="shared" si="242"/>
        <v>-2.893597187354302</v>
      </c>
      <c r="CS93" s="17">
        <f t="shared" si="243"/>
        <v>1.3364108094749305</v>
      </c>
      <c r="CT93" s="17">
        <f t="shared" si="244"/>
        <v>-0.96907914664253747</v>
      </c>
    </row>
    <row r="94" spans="1:98" x14ac:dyDescent="0.3">
      <c r="A94" t="str">
        <f t="shared" si="199"/>
        <v>42 Secretarial and related occupations</v>
      </c>
      <c r="B94" s="17">
        <f t="shared" si="200"/>
        <v>5.9542909757758666</v>
      </c>
      <c r="C94" s="17">
        <f t="shared" si="200"/>
        <v>-6.9608985169096087</v>
      </c>
      <c r="D94" s="17">
        <f t="shared" si="200"/>
        <v>10.858221298425352</v>
      </c>
      <c r="E94" s="17">
        <f t="shared" si="200"/>
        <v>5.8597144002623613</v>
      </c>
      <c r="F94" s="17">
        <f t="shared" si="201"/>
        <v>6.5340073516189756</v>
      </c>
      <c r="H94" s="17">
        <f t="shared" si="202"/>
        <v>7.5003258558003383</v>
      </c>
      <c r="I94" s="17">
        <f t="shared" si="203"/>
        <v>5.58839109506446</v>
      </c>
      <c r="J94" s="17">
        <f t="shared" si="204"/>
        <v>10.074192332280774</v>
      </c>
      <c r="L94" t="str">
        <f t="shared" si="245"/>
        <v>42 Secretarial and related occupations</v>
      </c>
      <c r="M94" s="17">
        <f t="shared" si="205"/>
        <v>4.8101035084127108</v>
      </c>
      <c r="N94" s="17">
        <f t="shared" si="205"/>
        <v>2.2012378094109275</v>
      </c>
      <c r="O94" s="17">
        <f t="shared" si="205"/>
        <v>9.8213268091606132</v>
      </c>
      <c r="P94" s="17">
        <f t="shared" si="205"/>
        <v>1.9976809502217696</v>
      </c>
      <c r="Q94" s="17">
        <f t="shared" si="206"/>
        <v>4.3937588403186068</v>
      </c>
      <c r="S94" s="17">
        <f t="shared" si="207"/>
        <v>4.5415882563034859</v>
      </c>
      <c r="T94" s="17">
        <f t="shared" si="208"/>
        <v>4.4931795688030629</v>
      </c>
      <c r="U94" s="17">
        <f t="shared" si="209"/>
        <v>7.3071699957643066</v>
      </c>
      <c r="W94" t="str">
        <f t="shared" si="246"/>
        <v>42 Secretarial and related occupations</v>
      </c>
      <c r="X94" s="17">
        <f t="shared" si="210"/>
        <v>0.63478909750105394</v>
      </c>
      <c r="Y94" s="17">
        <f t="shared" si="210"/>
        <v>19.90927921865897</v>
      </c>
      <c r="Z94" s="17">
        <f t="shared" si="210"/>
        <v>5.6826190448318714</v>
      </c>
      <c r="AA94" s="17">
        <f t="shared" si="210"/>
        <v>2.1605700939822947</v>
      </c>
      <c r="AB94" s="17">
        <f t="shared" si="211"/>
        <v>4.287313933578174</v>
      </c>
      <c r="AD94" s="17">
        <f t="shared" si="212"/>
        <v>3.3213473785171477</v>
      </c>
      <c r="AE94" s="17">
        <f t="shared" si="213"/>
        <v>4.2359628301918084</v>
      </c>
      <c r="AF94" s="17">
        <f t="shared" si="214"/>
        <v>6.2868667879260487</v>
      </c>
      <c r="AH94" t="str">
        <f t="shared" si="247"/>
        <v>42 Secretarial and related occupations</v>
      </c>
      <c r="AI94" s="17">
        <f t="shared" si="215"/>
        <v>1.0245940068402737</v>
      </c>
      <c r="AJ94" s="17">
        <f t="shared" si="215"/>
        <v>22.448603760586927</v>
      </c>
      <c r="AK94" s="17">
        <f t="shared" si="215"/>
        <v>4.331440896966221</v>
      </c>
      <c r="AL94" s="17">
        <f t="shared" si="215"/>
        <v>0.77238454942454293</v>
      </c>
      <c r="AM94" s="17">
        <f t="shared" si="216"/>
        <v>3.1193878067557801</v>
      </c>
      <c r="AO94" s="17">
        <f t="shared" si="217"/>
        <v>1.945037972193342</v>
      </c>
      <c r="AP94" s="17">
        <f t="shared" si="218"/>
        <v>3.8331391667503656</v>
      </c>
      <c r="AQ94" s="17">
        <f t="shared" si="219"/>
        <v>5.0476194723063417</v>
      </c>
      <c r="AS94" t="str">
        <f t="shared" si="248"/>
        <v>42 Secretarial and related occupations</v>
      </c>
      <c r="AT94" s="17">
        <f t="shared" si="220"/>
        <v>-0.14412911482113433</v>
      </c>
      <c r="AU94" s="17">
        <f t="shared" si="220"/>
        <v>24.201448154535576</v>
      </c>
      <c r="AV94" s="17">
        <f t="shared" si="220"/>
        <v>2.3555499418685955</v>
      </c>
      <c r="AW94" s="17">
        <f t="shared" si="220"/>
        <v>-1.6452240108082661</v>
      </c>
      <c r="AX94" s="17">
        <f t="shared" si="221"/>
        <v>1.0508302213221077</v>
      </c>
      <c r="AZ94" s="17">
        <f t="shared" si="222"/>
        <v>-0.32931697771853008</v>
      </c>
      <c r="BA94" s="17">
        <f t="shared" si="223"/>
        <v>3.2357421189737501</v>
      </c>
      <c r="BB94" s="17">
        <f t="shared" si="224"/>
        <v>3.0267387140077595</v>
      </c>
      <c r="BD94" t="str">
        <f t="shared" si="249"/>
        <v>42 Secretarial and related occupations</v>
      </c>
      <c r="BE94" s="17">
        <f t="shared" si="225"/>
        <v>-4.3419840545400383</v>
      </c>
      <c r="BF94" s="17">
        <f t="shared" si="225"/>
        <v>3.6044021193725628</v>
      </c>
      <c r="BG94" s="17">
        <f t="shared" si="225"/>
        <v>4.3460832389338844</v>
      </c>
      <c r="BH94" s="17">
        <f t="shared" si="225"/>
        <v>-4.8062634152895578</v>
      </c>
      <c r="BI94" s="17">
        <f t="shared" si="226"/>
        <v>-1.5161156578334611</v>
      </c>
      <c r="BK94" s="17">
        <f t="shared" si="227"/>
        <v>-1.8483435177157226</v>
      </c>
      <c r="BL94" s="17">
        <f t="shared" si="228"/>
        <v>3.0450361572978313</v>
      </c>
      <c r="BM94" s="17">
        <f t="shared" si="229"/>
        <v>1.8892648288748815</v>
      </c>
      <c r="BO94" t="str">
        <f t="shared" si="250"/>
        <v>42 Secretarial and related occupations</v>
      </c>
      <c r="BP94" s="17">
        <f t="shared" si="230"/>
        <v>-2.9051067446779766</v>
      </c>
      <c r="BQ94" s="17">
        <f t="shared" si="230"/>
        <v>-13.869443125466995</v>
      </c>
      <c r="BR94" s="17">
        <f t="shared" si="230"/>
        <v>-2.5832417446781664</v>
      </c>
      <c r="BS94" s="17">
        <f t="shared" si="230"/>
        <v>-12.836288308854272</v>
      </c>
      <c r="BT94" s="17">
        <f t="shared" si="231"/>
        <v>-9.8210501434256585</v>
      </c>
      <c r="BV94" s="17">
        <f t="shared" si="232"/>
        <v>-9.5444882832426696</v>
      </c>
      <c r="BW94" s="17">
        <f t="shared" si="233"/>
        <v>1.8006581596289095</v>
      </c>
      <c r="BX94" s="17">
        <f t="shared" si="234"/>
        <v>-4.1558141616373838</v>
      </c>
      <c r="BZ94" t="str">
        <f t="shared" si="251"/>
        <v>42 Secretarial and related occupations</v>
      </c>
      <c r="CA94" s="17">
        <f t="shared" si="235"/>
        <v>-0.73765203826942072</v>
      </c>
      <c r="CB94" s="17">
        <f t="shared" si="235"/>
        <v>-17.956864098105697</v>
      </c>
      <c r="CC94" s="17">
        <f t="shared" si="235"/>
        <v>-9.4151867826887106</v>
      </c>
      <c r="CD94" s="17">
        <f t="shared" si="235"/>
        <v>-15.496534614458589</v>
      </c>
      <c r="CE94" s="17">
        <f t="shared" si="236"/>
        <v>-13.800643124129508</v>
      </c>
      <c r="CG94" s="17">
        <f t="shared" si="237"/>
        <v>-13.516190688981943</v>
      </c>
      <c r="CH94" s="17">
        <f t="shared" si="238"/>
        <v>1.1962986868443437</v>
      </c>
      <c r="CI94" s="17">
        <f t="shared" si="239"/>
        <v>-7.5402514796787941</v>
      </c>
      <c r="CK94" t="str">
        <f t="shared" si="252"/>
        <v>42 Secretarial and related occupations</v>
      </c>
      <c r="CL94" s="17">
        <f t="shared" si="240"/>
        <v>2.7305619362737232</v>
      </c>
      <c r="CM94" s="17">
        <f t="shared" si="240"/>
        <v>-26.425102974277671</v>
      </c>
      <c r="CN94" s="17">
        <f t="shared" si="240"/>
        <v>1.2865935174163123</v>
      </c>
      <c r="CO94" s="17">
        <f t="shared" si="240"/>
        <v>1.2176714552460721</v>
      </c>
      <c r="CP94" s="17">
        <f t="shared" si="241"/>
        <v>-0.75907426377546106</v>
      </c>
      <c r="CR94" s="17">
        <f t="shared" si="242"/>
        <v>1.2406402633811542</v>
      </c>
      <c r="CS94" s="17">
        <f t="shared" si="243"/>
        <v>2.2773872033110765</v>
      </c>
      <c r="CT94" s="17">
        <f t="shared" si="244"/>
        <v>3.2043710731083141</v>
      </c>
    </row>
    <row r="95" spans="1:98" x14ac:dyDescent="0.3">
      <c r="A95" t="str">
        <f t="shared" si="199"/>
        <v>51 Skilled agricultural and related trades</v>
      </c>
      <c r="B95" s="17">
        <f t="shared" si="200"/>
        <v>12.900097368385154</v>
      </c>
      <c r="C95" s="17">
        <f t="shared" si="200"/>
        <v>-28.899535050310121</v>
      </c>
      <c r="D95" s="17">
        <f t="shared" si="200"/>
        <v>6.7825985191243054</v>
      </c>
      <c r="E95" s="17">
        <f t="shared" si="200"/>
        <v>4.4097931861699635</v>
      </c>
      <c r="F95" s="17">
        <f t="shared" si="201"/>
        <v>2.6506494304452177</v>
      </c>
      <c r="H95" s="17">
        <f t="shared" si="202"/>
        <v>5.1948112485836306</v>
      </c>
      <c r="I95" s="17">
        <f t="shared" si="203"/>
        <v>4.9414528988380946</v>
      </c>
      <c r="J95" s="17">
        <f t="shared" si="204"/>
        <v>8.060999211732689</v>
      </c>
      <c r="L95" t="str">
        <f t="shared" si="245"/>
        <v>51 Skilled agricultural and related trades</v>
      </c>
      <c r="M95" s="17">
        <f t="shared" si="205"/>
        <v>5.8498093143818153</v>
      </c>
      <c r="N95" s="17">
        <f t="shared" si="205"/>
        <v>-43.078789633656221</v>
      </c>
      <c r="O95" s="17">
        <f t="shared" si="205"/>
        <v>5.756581746370637</v>
      </c>
      <c r="P95" s="17">
        <f t="shared" si="205"/>
        <v>3.6824482933618841</v>
      </c>
      <c r="Q95" s="17">
        <f t="shared" si="206"/>
        <v>0.48852565074872789</v>
      </c>
      <c r="S95" s="17">
        <f t="shared" si="207"/>
        <v>4.3692664123459402</v>
      </c>
      <c r="T95" s="17">
        <f t="shared" si="208"/>
        <v>4.2302356617085479</v>
      </c>
      <c r="U95" s="17">
        <f t="shared" si="209"/>
        <v>7.0049980462458805</v>
      </c>
      <c r="W95" t="str">
        <f t="shared" si="246"/>
        <v>51 Skilled agricultural and related trades</v>
      </c>
      <c r="X95" s="17">
        <f t="shared" si="210"/>
        <v>3.6629768799655293</v>
      </c>
      <c r="Y95" s="17">
        <f t="shared" si="210"/>
        <v>-12.001929761663844</v>
      </c>
      <c r="Z95" s="17">
        <f t="shared" si="210"/>
        <v>2.2842853118977269</v>
      </c>
      <c r="AA95" s="17">
        <f t="shared" si="210"/>
        <v>3.2787361028607798</v>
      </c>
      <c r="AB95" s="17">
        <f t="shared" si="211"/>
        <v>1.9416548331748551</v>
      </c>
      <c r="AD95" s="17">
        <f t="shared" si="212"/>
        <v>2.9461828474744767</v>
      </c>
      <c r="AE95" s="17">
        <f t="shared" si="213"/>
        <v>4.1768136367925868</v>
      </c>
      <c r="AF95" s="17">
        <f t="shared" si="214"/>
        <v>5.9901598613960827</v>
      </c>
      <c r="AH95" t="str">
        <f t="shared" si="247"/>
        <v>51 Skilled agricultural and related trades</v>
      </c>
      <c r="AI95" s="17">
        <f t="shared" si="215"/>
        <v>5.6155234485096628</v>
      </c>
      <c r="AJ95" s="17">
        <f t="shared" si="215"/>
        <v>-24.695092785423288</v>
      </c>
      <c r="AK95" s="17">
        <f t="shared" si="215"/>
        <v>3.3577381689119612</v>
      </c>
      <c r="AL95" s="17">
        <f t="shared" si="215"/>
        <v>2.7855426657773297</v>
      </c>
      <c r="AM95" s="17">
        <f t="shared" si="216"/>
        <v>0.98134760131487475</v>
      </c>
      <c r="AO95" s="17">
        <f t="shared" si="217"/>
        <v>2.9759216631824348</v>
      </c>
      <c r="AP95" s="17">
        <f t="shared" si="218"/>
        <v>4.4061665545829465</v>
      </c>
      <c r="AQ95" s="17">
        <f t="shared" si="219"/>
        <v>6.1902415078849193</v>
      </c>
      <c r="AS95" t="str">
        <f t="shared" si="248"/>
        <v>51 Skilled agricultural and related trades</v>
      </c>
      <c r="AT95" s="17">
        <f t="shared" si="220"/>
        <v>1.7976129196704882</v>
      </c>
      <c r="AU95" s="17">
        <f t="shared" si="220"/>
        <v>-23.349321641133159</v>
      </c>
      <c r="AV95" s="17">
        <f t="shared" si="220"/>
        <v>3.0573129790799181</v>
      </c>
      <c r="AW95" s="17">
        <f t="shared" si="220"/>
        <v>3.3254750086628038</v>
      </c>
      <c r="AX95" s="17">
        <f t="shared" si="221"/>
        <v>1.3325592670630604</v>
      </c>
      <c r="AZ95" s="17">
        <f t="shared" si="222"/>
        <v>3.236010224377206</v>
      </c>
      <c r="BA95" s="17">
        <f t="shared" si="223"/>
        <v>4.1293669093316554</v>
      </c>
      <c r="BB95" s="17">
        <f t="shared" si="224"/>
        <v>6.1479422135156891</v>
      </c>
      <c r="BD95" t="str">
        <f t="shared" si="249"/>
        <v>51 Skilled agricultural and related trades</v>
      </c>
      <c r="BE95" s="17">
        <f t="shared" si="225"/>
        <v>1.8714206039091241</v>
      </c>
      <c r="BF95" s="17">
        <f t="shared" si="225"/>
        <v>-45.554530547449403</v>
      </c>
      <c r="BG95" s="17">
        <f t="shared" si="225"/>
        <v>1.633279990882075</v>
      </c>
      <c r="BH95" s="17">
        <f t="shared" si="225"/>
        <v>1.099955675758002</v>
      </c>
      <c r="BI95" s="17">
        <f t="shared" si="226"/>
        <v>-2.5760588876348356</v>
      </c>
      <c r="BK95" s="17">
        <f t="shared" si="227"/>
        <v>1.2774187601562126</v>
      </c>
      <c r="BL95" s="17">
        <f t="shared" si="228"/>
        <v>3.1325920609854618</v>
      </c>
      <c r="BM95" s="17">
        <f t="shared" si="229"/>
        <v>3.988875887379173</v>
      </c>
      <c r="BO95" t="str">
        <f t="shared" si="250"/>
        <v>51 Skilled agricultural and related trades</v>
      </c>
      <c r="BP95" s="17">
        <f t="shared" si="230"/>
        <v>1.3041596650978482</v>
      </c>
      <c r="BQ95" s="17">
        <f t="shared" si="230"/>
        <v>-29.87677906967361</v>
      </c>
      <c r="BR95" s="17">
        <f t="shared" si="230"/>
        <v>-0.19195815081723966</v>
      </c>
      <c r="BS95" s="17">
        <f t="shared" si="230"/>
        <v>0.55551066523173986</v>
      </c>
      <c r="BT95" s="17">
        <f t="shared" si="231"/>
        <v>-1.9134931781020326</v>
      </c>
      <c r="BV95" s="17">
        <f t="shared" si="232"/>
        <v>0.30573447204300663</v>
      </c>
      <c r="BW95" s="17">
        <f t="shared" si="233"/>
        <v>2.9610432360489769</v>
      </c>
      <c r="BX95" s="17">
        <f t="shared" si="234"/>
        <v>3.1657755760233774</v>
      </c>
      <c r="BZ95" t="str">
        <f t="shared" si="251"/>
        <v>51 Skilled agricultural and related trades</v>
      </c>
      <c r="CA95" s="17">
        <f t="shared" si="235"/>
        <v>-0.58215992944193884</v>
      </c>
      <c r="CB95" s="17">
        <f t="shared" si="235"/>
        <v>-34.797555596541294</v>
      </c>
      <c r="CC95" s="17">
        <f t="shared" si="235"/>
        <v>-0.47674662280030589</v>
      </c>
      <c r="CD95" s="17">
        <f t="shared" si="235"/>
        <v>2.4255844287314865</v>
      </c>
      <c r="CE95" s="17">
        <f t="shared" si="236"/>
        <v>-1.315669200102132</v>
      </c>
      <c r="CG95" s="17">
        <f t="shared" si="237"/>
        <v>1.4488562929380722</v>
      </c>
      <c r="CH95" s="17">
        <f t="shared" si="238"/>
        <v>2.7254531064854648</v>
      </c>
      <c r="CI95" s="17">
        <f t="shared" si="239"/>
        <v>3.7522041471683698</v>
      </c>
      <c r="CK95" t="str">
        <f t="shared" si="252"/>
        <v>51 Skilled agricultural and related trades</v>
      </c>
      <c r="CL95" s="17">
        <f t="shared" si="240"/>
        <v>2.4572372129308517</v>
      </c>
      <c r="CM95" s="17">
        <f t="shared" si="240"/>
        <v>-55.243168365584779</v>
      </c>
      <c r="CN95" s="17">
        <f t="shared" si="240"/>
        <v>1.9807227915251913</v>
      </c>
      <c r="CO95" s="17">
        <f t="shared" si="240"/>
        <v>-6.2170816793553074</v>
      </c>
      <c r="CP95" s="17">
        <f t="shared" si="241"/>
        <v>-8.0783207539894324</v>
      </c>
      <c r="CR95" s="17">
        <f t="shared" si="242"/>
        <v>-3.5604466065074836</v>
      </c>
      <c r="CS95" s="17">
        <f t="shared" si="243"/>
        <v>1.732051231718601</v>
      </c>
      <c r="CT95" s="17">
        <f t="shared" si="244"/>
        <v>-0.89129062325717934</v>
      </c>
    </row>
    <row r="96" spans="1:98" x14ac:dyDescent="0.3">
      <c r="A96" t="str">
        <f t="shared" si="199"/>
        <v>52 Skilled metal, electrical and electronic trades</v>
      </c>
      <c r="B96" s="17">
        <f t="shared" si="200"/>
        <v>0.27566655489879022</v>
      </c>
      <c r="C96" s="17">
        <f t="shared" si="200"/>
        <v>-8.2413646483706753</v>
      </c>
      <c r="D96" s="17">
        <f t="shared" si="200"/>
        <v>5.308477333826489</v>
      </c>
      <c r="E96" s="17">
        <f t="shared" si="200"/>
        <v>2.4415807771642761</v>
      </c>
      <c r="F96" s="17">
        <f t="shared" si="201"/>
        <v>2.6202091470884481</v>
      </c>
      <c r="H96" s="17">
        <f t="shared" si="202"/>
        <v>3.3884343605621092</v>
      </c>
      <c r="I96" s="17">
        <f t="shared" si="203"/>
        <v>3.2840480134902039</v>
      </c>
      <c r="J96" s="17">
        <f t="shared" si="204"/>
        <v>5.6239260055861884</v>
      </c>
      <c r="L96" t="str">
        <f t="shared" si="245"/>
        <v>52 Skilled metal, electrical and electronic trades</v>
      </c>
      <c r="M96" s="17">
        <f t="shared" si="205"/>
        <v>3.7580818344857603</v>
      </c>
      <c r="N96" s="17">
        <f t="shared" si="205"/>
        <v>-9.8741944079992034</v>
      </c>
      <c r="O96" s="17">
        <f t="shared" si="205"/>
        <v>9.6884801269995435</v>
      </c>
      <c r="P96" s="17">
        <f t="shared" si="205"/>
        <v>3.8166824217951145</v>
      </c>
      <c r="Q96" s="17">
        <f t="shared" si="206"/>
        <v>4.6876274311293153</v>
      </c>
      <c r="S96" s="17">
        <f t="shared" si="207"/>
        <v>5.7381653004334288</v>
      </c>
      <c r="T96" s="17">
        <f t="shared" si="208"/>
        <v>4.3280960896356246</v>
      </c>
      <c r="U96" s="17">
        <f t="shared" si="209"/>
        <v>8.0569541263439284</v>
      </c>
      <c r="W96" t="str">
        <f t="shared" si="246"/>
        <v>52 Skilled metal, electrical and electronic trades</v>
      </c>
      <c r="X96" s="17">
        <f t="shared" si="210"/>
        <v>1.0135715663477818</v>
      </c>
      <c r="Y96" s="17">
        <f t="shared" si="210"/>
        <v>-7.4720574817997987</v>
      </c>
      <c r="Z96" s="17">
        <f t="shared" si="210"/>
        <v>4.597803967610492</v>
      </c>
      <c r="AA96" s="17">
        <f t="shared" si="210"/>
        <v>2.4042292542151067</v>
      </c>
      <c r="AB96" s="17">
        <f t="shared" si="211"/>
        <v>2.4333890795048108</v>
      </c>
      <c r="AD96" s="17">
        <f t="shared" si="212"/>
        <v>3.1302611935372759</v>
      </c>
      <c r="AE96" s="17">
        <f t="shared" si="213"/>
        <v>3.4514461326172974</v>
      </c>
      <c r="AF96" s="17">
        <f t="shared" si="214"/>
        <v>5.5593321159863152</v>
      </c>
      <c r="AH96" t="str">
        <f t="shared" si="247"/>
        <v>52 Skilled metal, electrical and electronic trades</v>
      </c>
      <c r="AI96" s="17">
        <f t="shared" si="215"/>
        <v>0.49803382168807087</v>
      </c>
      <c r="AJ96" s="17">
        <f t="shared" si="215"/>
        <v>-3.1336713946634509</v>
      </c>
      <c r="AK96" s="17">
        <f t="shared" si="215"/>
        <v>1.8283822330109611</v>
      </c>
      <c r="AL96" s="17">
        <f t="shared" si="215"/>
        <v>2.8153994008352612</v>
      </c>
      <c r="AM96" s="17">
        <f t="shared" si="216"/>
        <v>2.1247886105228764</v>
      </c>
      <c r="AO96" s="17">
        <f t="shared" si="217"/>
        <v>2.4853352201926526</v>
      </c>
      <c r="AP96" s="17">
        <f t="shared" si="218"/>
        <v>2.9375317637497789</v>
      </c>
      <c r="AQ96" s="17">
        <f t="shared" si="219"/>
        <v>4.6910783598731909</v>
      </c>
      <c r="AS96" t="str">
        <f t="shared" si="248"/>
        <v>52 Skilled metal, electrical and electronic trades</v>
      </c>
      <c r="AT96" s="17">
        <f t="shared" si="220"/>
        <v>-0.48647553065837013</v>
      </c>
      <c r="AU96" s="17">
        <f t="shared" si="220"/>
        <v>-1.7860921923106399</v>
      </c>
      <c r="AV96" s="17">
        <f t="shared" si="220"/>
        <v>1.7945600504990056</v>
      </c>
      <c r="AW96" s="17">
        <f t="shared" si="220"/>
        <v>2.0273898607527263</v>
      </c>
      <c r="AX96" s="17">
        <f t="shared" si="221"/>
        <v>1.7121243924981266</v>
      </c>
      <c r="AZ96" s="17">
        <f t="shared" si="222"/>
        <v>1.9497208129113597</v>
      </c>
      <c r="BA96" s="17">
        <f t="shared" si="223"/>
        <v>2.8405018630696333</v>
      </c>
      <c r="BB96" s="17">
        <f t="shared" si="224"/>
        <v>4.2169240952164122</v>
      </c>
      <c r="BD96" t="str">
        <f t="shared" si="249"/>
        <v>52 Skilled metal, electrical and electronic trades</v>
      </c>
      <c r="BE96" s="17">
        <f t="shared" si="225"/>
        <v>0.2417604984874977</v>
      </c>
      <c r="BF96" s="17">
        <f t="shared" si="225"/>
        <v>-17.599094584951082</v>
      </c>
      <c r="BG96" s="17">
        <f t="shared" si="225"/>
        <v>1.5285160513092144</v>
      </c>
      <c r="BH96" s="17">
        <f t="shared" si="225"/>
        <v>-8.9801878942830093E-2</v>
      </c>
      <c r="BI96" s="17">
        <f t="shared" si="226"/>
        <v>-0.78881233506407078</v>
      </c>
      <c r="BK96" s="17">
        <f t="shared" si="227"/>
        <v>0.44675079759859404</v>
      </c>
      <c r="BL96" s="17">
        <f t="shared" si="228"/>
        <v>2.1106721371890735</v>
      </c>
      <c r="BM96" s="17">
        <f t="shared" si="229"/>
        <v>2.4469226454735704</v>
      </c>
      <c r="BO96" t="str">
        <f t="shared" si="250"/>
        <v>52 Skilled metal, electrical and electronic trades</v>
      </c>
      <c r="BP96" s="17">
        <f t="shared" si="230"/>
        <v>-2.6173696391815549</v>
      </c>
      <c r="BQ96" s="17">
        <f t="shared" si="230"/>
        <v>1.0941636717887171E-2</v>
      </c>
      <c r="BR96" s="17">
        <f t="shared" si="230"/>
        <v>-2.5011801027162384</v>
      </c>
      <c r="BS96" s="17">
        <f t="shared" si="230"/>
        <v>-1.2249617596731932</v>
      </c>
      <c r="BT96" s="17">
        <f t="shared" si="231"/>
        <v>-1.5490812049088754</v>
      </c>
      <c r="BV96" s="17">
        <f t="shared" si="232"/>
        <v>-1.6522132863068695</v>
      </c>
      <c r="BW96" s="17">
        <f t="shared" si="233"/>
        <v>1.8895457616644684</v>
      </c>
      <c r="BX96" s="17">
        <f t="shared" si="234"/>
        <v>0.65599634729469614</v>
      </c>
      <c r="BZ96" t="str">
        <f t="shared" si="251"/>
        <v>52 Skilled metal, electrical and electronic trades</v>
      </c>
      <c r="CA96" s="17">
        <f t="shared" si="235"/>
        <v>-2.9860177329273041</v>
      </c>
      <c r="CB96" s="17">
        <f t="shared" si="235"/>
        <v>-16.900760458923813</v>
      </c>
      <c r="CC96" s="17">
        <f t="shared" si="235"/>
        <v>-0.93180618355157563</v>
      </c>
      <c r="CD96" s="17">
        <f t="shared" si="235"/>
        <v>-5.1060953947179915</v>
      </c>
      <c r="CE96" s="17">
        <f t="shared" si="236"/>
        <v>-4.6154104373225984</v>
      </c>
      <c r="CG96" s="17">
        <f t="shared" si="237"/>
        <v>-3.7345837597039355</v>
      </c>
      <c r="CH96" s="17">
        <f t="shared" si="238"/>
        <v>1.8502560025573933</v>
      </c>
      <c r="CI96" s="17">
        <f t="shared" si="239"/>
        <v>-0.83703476594396697</v>
      </c>
      <c r="CK96" t="str">
        <f t="shared" si="252"/>
        <v>52 Skilled metal, electrical and electronic trades</v>
      </c>
      <c r="CL96" s="17">
        <f t="shared" si="240"/>
        <v>1.5106355617786393</v>
      </c>
      <c r="CM96" s="17">
        <f t="shared" si="240"/>
        <v>-33.409174620088244</v>
      </c>
      <c r="CN96" s="17">
        <f t="shared" si="240"/>
        <v>-6.7245159720064063E-2</v>
      </c>
      <c r="CO96" s="17">
        <f t="shared" si="240"/>
        <v>-2.1305674022815246</v>
      </c>
      <c r="CP96" s="17">
        <f t="shared" si="241"/>
        <v>-3.8328988116895668</v>
      </c>
      <c r="CR96" s="17">
        <f t="shared" si="242"/>
        <v>-1.4475708038838797</v>
      </c>
      <c r="CS96" s="17">
        <f t="shared" si="243"/>
        <v>1.8155815793213348</v>
      </c>
      <c r="CT96" s="17">
        <f t="shared" si="244"/>
        <v>0.71851741859370044</v>
      </c>
    </row>
    <row r="97" spans="1:98" x14ac:dyDescent="0.3">
      <c r="A97" t="str">
        <f t="shared" si="199"/>
        <v>53 Skilled construction and building trades</v>
      </c>
      <c r="B97" s="17">
        <f t="shared" si="200"/>
        <v>-9.8022747524397431</v>
      </c>
      <c r="C97" s="17">
        <f t="shared" si="200"/>
        <v>-27.555395243487435</v>
      </c>
      <c r="D97" s="17">
        <f t="shared" si="200"/>
        <v>13.25917542330135</v>
      </c>
      <c r="E97" s="17">
        <f t="shared" si="200"/>
        <v>0.39694499215632284</v>
      </c>
      <c r="F97" s="17">
        <f t="shared" si="201"/>
        <v>2.1465317019694119</v>
      </c>
      <c r="H97" s="17">
        <f t="shared" si="202"/>
        <v>4.5132766249066147</v>
      </c>
      <c r="I97" s="17">
        <f t="shared" si="203"/>
        <v>4.1658273274477242</v>
      </c>
      <c r="J97" s="17">
        <f t="shared" si="204"/>
        <v>7.0629384315793908</v>
      </c>
      <c r="L97" t="str">
        <f t="shared" si="245"/>
        <v>53 Skilled construction and building trades</v>
      </c>
      <c r="M97" s="17">
        <f t="shared" si="205"/>
        <v>-0.69177653210316103</v>
      </c>
      <c r="N97" s="17">
        <f t="shared" si="205"/>
        <v>-2.1145442777761203</v>
      </c>
      <c r="O97" s="17">
        <f t="shared" si="205"/>
        <v>7.364329900156541</v>
      </c>
      <c r="P97" s="17">
        <f t="shared" si="205"/>
        <v>1.4255654040762566</v>
      </c>
      <c r="Q97" s="17">
        <f t="shared" si="206"/>
        <v>3.0162625142965638</v>
      </c>
      <c r="S97" s="17">
        <f t="shared" si="207"/>
        <v>3.3677264601835066</v>
      </c>
      <c r="T97" s="17">
        <f t="shared" si="208"/>
        <v>3.7134622973864273</v>
      </c>
      <c r="U97" s="17">
        <f t="shared" si="209"/>
        <v>5.9256037523313543</v>
      </c>
      <c r="W97" t="str">
        <f t="shared" si="246"/>
        <v>53 Skilled construction and building trades</v>
      </c>
      <c r="X97" s="17">
        <f t="shared" si="210"/>
        <v>-4.1271216137995008</v>
      </c>
      <c r="Y97" s="17">
        <f t="shared" si="210"/>
        <v>3.3007169089188437</v>
      </c>
      <c r="Z97" s="17">
        <f t="shared" si="210"/>
        <v>5.694140431306649</v>
      </c>
      <c r="AA97" s="17">
        <f t="shared" si="210"/>
        <v>1.3979833702986166</v>
      </c>
      <c r="AB97" s="17">
        <f t="shared" si="211"/>
        <v>2.8408581147354228</v>
      </c>
      <c r="AD97" s="17">
        <f t="shared" si="212"/>
        <v>2.8102737496978003</v>
      </c>
      <c r="AE97" s="17">
        <f t="shared" si="213"/>
        <v>3.5985544581269124</v>
      </c>
      <c r="AF97" s="17">
        <f t="shared" si="214"/>
        <v>5.4444524915215897</v>
      </c>
      <c r="AH97" t="str">
        <f t="shared" si="247"/>
        <v>53 Skilled construction and building trades</v>
      </c>
      <c r="AI97" s="17">
        <f t="shared" si="215"/>
        <v>-0.38719299676707175</v>
      </c>
      <c r="AJ97" s="17">
        <f t="shared" si="215"/>
        <v>10.785277929097802</v>
      </c>
      <c r="AK97" s="17">
        <f t="shared" si="215"/>
        <v>4.7387045520491666</v>
      </c>
      <c r="AL97" s="17">
        <f t="shared" si="215"/>
        <v>1.5464913206687303</v>
      </c>
      <c r="AM97" s="17">
        <f t="shared" si="216"/>
        <v>3.093006210265048</v>
      </c>
      <c r="AO97" s="17">
        <f t="shared" si="217"/>
        <v>2.5996030995178332</v>
      </c>
      <c r="AP97" s="17">
        <f t="shared" si="218"/>
        <v>3.7014777771934071</v>
      </c>
      <c r="AQ97" s="17">
        <f t="shared" si="219"/>
        <v>5.3793756513799584</v>
      </c>
      <c r="AS97" t="str">
        <f t="shared" si="248"/>
        <v>53 Skilled construction and building trades</v>
      </c>
      <c r="AT97" s="17">
        <f t="shared" si="220"/>
        <v>-3.4277612167849747</v>
      </c>
      <c r="AU97" s="17">
        <f t="shared" si="220"/>
        <v>14.084366486768607</v>
      </c>
      <c r="AV97" s="17">
        <f t="shared" si="220"/>
        <v>5.8622269336110699</v>
      </c>
      <c r="AW97" s="17">
        <f t="shared" si="220"/>
        <v>1.0626890874387174</v>
      </c>
      <c r="AX97" s="17">
        <f t="shared" si="221"/>
        <v>3.3183555284117983</v>
      </c>
      <c r="AZ97" s="17">
        <f t="shared" si="222"/>
        <v>2.6378568492079646</v>
      </c>
      <c r="BA97" s="17">
        <f t="shared" si="223"/>
        <v>3.740085673123783</v>
      </c>
      <c r="BB97" s="17">
        <f t="shared" si="224"/>
        <v>5.4364568646787959</v>
      </c>
      <c r="BD97" t="str">
        <f t="shared" si="249"/>
        <v>53 Skilled construction and building trades</v>
      </c>
      <c r="BE97" s="17">
        <f t="shared" si="225"/>
        <v>-2.9892095748608738</v>
      </c>
      <c r="BF97" s="17">
        <f t="shared" si="225"/>
        <v>-9.0020765350573679</v>
      </c>
      <c r="BG97" s="17">
        <f t="shared" si="225"/>
        <v>2.0727266859404514</v>
      </c>
      <c r="BH97" s="17">
        <f t="shared" si="225"/>
        <v>-1.3471884777722321</v>
      </c>
      <c r="BI97" s="17">
        <f t="shared" si="226"/>
        <v>-0.79303338216498709</v>
      </c>
      <c r="BK97" s="17">
        <f t="shared" si="227"/>
        <v>-0.22014159733891869</v>
      </c>
      <c r="BL97" s="17">
        <f t="shared" si="228"/>
        <v>2.2196895815375539</v>
      </c>
      <c r="BM97" s="17">
        <f t="shared" si="229"/>
        <v>2.0585042222639238</v>
      </c>
      <c r="BO97" t="str">
        <f t="shared" si="250"/>
        <v>53 Skilled construction and building trades</v>
      </c>
      <c r="BP97" s="17">
        <f t="shared" si="230"/>
        <v>-2.9049436150952013</v>
      </c>
      <c r="BQ97" s="17">
        <f t="shared" si="230"/>
        <v>10.918609770806519</v>
      </c>
      <c r="BR97" s="17">
        <f t="shared" si="230"/>
        <v>0.34718383534715347</v>
      </c>
      <c r="BS97" s="17">
        <f t="shared" si="230"/>
        <v>-0.26588238478730819</v>
      </c>
      <c r="BT97" s="17">
        <f t="shared" si="231"/>
        <v>0.59131628993671637</v>
      </c>
      <c r="BV97" s="17">
        <f t="shared" si="232"/>
        <v>-6.1944278601000491E-2</v>
      </c>
      <c r="BW97" s="17">
        <f t="shared" si="233"/>
        <v>2.5295392721128129</v>
      </c>
      <c r="BX97" s="17">
        <f t="shared" si="234"/>
        <v>2.4859353686236485</v>
      </c>
      <c r="BZ97" t="str">
        <f t="shared" si="251"/>
        <v>53 Skilled construction and building trades</v>
      </c>
      <c r="CA97" s="17">
        <f t="shared" si="235"/>
        <v>-5.041099342019784</v>
      </c>
      <c r="CB97" s="17">
        <f t="shared" si="235"/>
        <v>-2.9512382175752916</v>
      </c>
      <c r="CC97" s="17">
        <f t="shared" si="235"/>
        <v>0.75494346074018726</v>
      </c>
      <c r="CD97" s="17">
        <f t="shared" si="235"/>
        <v>-1.1450929774769247</v>
      </c>
      <c r="CE97" s="17">
        <f t="shared" si="236"/>
        <v>-0.66975457188652721</v>
      </c>
      <c r="CG97" s="17">
        <f t="shared" si="237"/>
        <v>-0.51576244673310345</v>
      </c>
      <c r="CH97" s="17">
        <f t="shared" si="238"/>
        <v>2.3187722547481249</v>
      </c>
      <c r="CI97" s="17">
        <f t="shared" si="239"/>
        <v>1.9485783049869587</v>
      </c>
      <c r="CK97" t="str">
        <f t="shared" si="252"/>
        <v>53 Skilled construction and building trades</v>
      </c>
      <c r="CL97" s="17">
        <f t="shared" si="240"/>
        <v>-3.6788670441148308</v>
      </c>
      <c r="CM97" s="17">
        <f t="shared" si="240"/>
        <v>-26.275851089727297</v>
      </c>
      <c r="CN97" s="17">
        <f t="shared" si="240"/>
        <v>-5.3389118596118168</v>
      </c>
      <c r="CO97" s="17">
        <f t="shared" si="240"/>
        <v>-13.9826656750908</v>
      </c>
      <c r="CP97" s="17">
        <f t="shared" si="241"/>
        <v>-12.22002776440605</v>
      </c>
      <c r="CR97" s="17">
        <f t="shared" si="242"/>
        <v>-11.192873650571777</v>
      </c>
      <c r="CS97" s="17">
        <f t="shared" si="243"/>
        <v>0.91944230696900942</v>
      </c>
      <c r="CT97" s="17">
        <f t="shared" si="244"/>
        <v>-7.3984018028136695</v>
      </c>
    </row>
    <row r="98" spans="1:98" x14ac:dyDescent="0.3">
      <c r="A98" t="str">
        <f t="shared" si="199"/>
        <v>54 Textiles, printing and other skilled trades</v>
      </c>
      <c r="B98" s="17">
        <f t="shared" si="200"/>
        <v>0.11390844047134419</v>
      </c>
      <c r="C98" s="17">
        <f t="shared" si="200"/>
        <v>0.10112371651240792</v>
      </c>
      <c r="D98" s="17">
        <f t="shared" si="200"/>
        <v>7.202691628070057</v>
      </c>
      <c r="E98" s="17">
        <f t="shared" si="200"/>
        <v>3.7100598530571238</v>
      </c>
      <c r="F98" s="17">
        <f t="shared" si="201"/>
        <v>4.5573976928661164</v>
      </c>
      <c r="H98" s="17">
        <f t="shared" si="202"/>
        <v>4.8614406045720759</v>
      </c>
      <c r="I98" s="17">
        <f t="shared" si="203"/>
        <v>4.1425280386765406</v>
      </c>
      <c r="J98" s="17">
        <f t="shared" si="204"/>
        <v>7.2977803262717078</v>
      </c>
      <c r="L98" t="str">
        <f t="shared" si="245"/>
        <v>54 Textiles, printing and other skilled trades</v>
      </c>
      <c r="M98" s="17">
        <f t="shared" si="205"/>
        <v>3.3886912135904002</v>
      </c>
      <c r="N98" s="17">
        <f t="shared" si="205"/>
        <v>-1.8068168803910267</v>
      </c>
      <c r="O98" s="17">
        <f t="shared" si="205"/>
        <v>6.3221580362507357</v>
      </c>
      <c r="P98" s="17">
        <f t="shared" si="205"/>
        <v>4.0042850870970703</v>
      </c>
      <c r="Q98" s="17">
        <f t="shared" si="206"/>
        <v>4.3474971141102214</v>
      </c>
      <c r="S98" s="17">
        <f t="shared" si="207"/>
        <v>4.7712397775492743</v>
      </c>
      <c r="T98" s="17">
        <f t="shared" si="208"/>
        <v>4.3299902634675647</v>
      </c>
      <c r="U98" s="17">
        <f t="shared" si="209"/>
        <v>7.3575436525917359</v>
      </c>
      <c r="W98" t="str">
        <f t="shared" si="246"/>
        <v>54 Textiles, printing and other skilled trades</v>
      </c>
      <c r="X98" s="17">
        <f t="shared" si="210"/>
        <v>-1.2319740680575619</v>
      </c>
      <c r="Y98" s="17">
        <f t="shared" si="210"/>
        <v>8.9220262656722902</v>
      </c>
      <c r="Z98" s="17">
        <f t="shared" si="210"/>
        <v>3.3512792571487982</v>
      </c>
      <c r="AA98" s="17">
        <f t="shared" si="210"/>
        <v>3.0008416882534306</v>
      </c>
      <c r="AB98" s="17">
        <f t="shared" si="211"/>
        <v>3.4710653590645624</v>
      </c>
      <c r="AD98" s="17">
        <f t="shared" si="212"/>
        <v>3.1175219848000424</v>
      </c>
      <c r="AE98" s="17">
        <f t="shared" si="213"/>
        <v>3.7291863804452152</v>
      </c>
      <c r="AF98" s="17">
        <f t="shared" si="214"/>
        <v>5.7608214167532923</v>
      </c>
      <c r="AH98" t="str">
        <f t="shared" si="247"/>
        <v>54 Textiles, printing and other skilled trades</v>
      </c>
      <c r="AI98" s="17">
        <f t="shared" si="215"/>
        <v>-0.56505909376378671</v>
      </c>
      <c r="AJ98" s="17">
        <f t="shared" si="215"/>
        <v>21.677852285047685</v>
      </c>
      <c r="AK98" s="17">
        <f t="shared" si="215"/>
        <v>0.64809576345041808</v>
      </c>
      <c r="AL98" s="17">
        <f t="shared" si="215"/>
        <v>2.6807107446553236</v>
      </c>
      <c r="AM98" s="17">
        <f t="shared" si="216"/>
        <v>3.1295209996012208</v>
      </c>
      <c r="AO98" s="17">
        <f t="shared" si="217"/>
        <v>1.9986518578995582</v>
      </c>
      <c r="AP98" s="17">
        <f t="shared" si="218"/>
        <v>3.3509499668852527</v>
      </c>
      <c r="AQ98" s="17">
        <f t="shared" si="219"/>
        <v>4.6772956346586625</v>
      </c>
      <c r="AS98" t="str">
        <f t="shared" si="248"/>
        <v>54 Textiles, printing and other skilled trades</v>
      </c>
      <c r="AT98" s="17">
        <f t="shared" si="220"/>
        <v>-0.83321245248008102</v>
      </c>
      <c r="AU98" s="17">
        <f t="shared" si="220"/>
        <v>9.6703258067105438</v>
      </c>
      <c r="AV98" s="17">
        <f t="shared" si="220"/>
        <v>1.7739121142214875</v>
      </c>
      <c r="AW98" s="17">
        <f t="shared" si="220"/>
        <v>2.2324670043440742</v>
      </c>
      <c r="AX98" s="17">
        <f t="shared" si="221"/>
        <v>2.53803558120127</v>
      </c>
      <c r="AZ98" s="17">
        <f t="shared" si="222"/>
        <v>2.0793862688547771</v>
      </c>
      <c r="BA98" s="17">
        <f t="shared" si="223"/>
        <v>3.3229879188437117</v>
      </c>
      <c r="BB98" s="17">
        <f t="shared" si="224"/>
        <v>4.7103510313744934</v>
      </c>
      <c r="BD98" t="str">
        <f t="shared" si="249"/>
        <v>54 Textiles, printing and other skilled trades</v>
      </c>
      <c r="BE98" s="17">
        <f t="shared" si="225"/>
        <v>-2.5632188737333861</v>
      </c>
      <c r="BF98" s="17">
        <f t="shared" si="225"/>
        <v>-6.3815660499329852</v>
      </c>
      <c r="BG98" s="17">
        <f t="shared" si="225"/>
        <v>2.7851756165502728</v>
      </c>
      <c r="BH98" s="17">
        <f t="shared" si="225"/>
        <v>0.97881058069815285</v>
      </c>
      <c r="BI98" s="17">
        <f t="shared" si="226"/>
        <v>1.060692130566121</v>
      </c>
      <c r="BK98" s="17">
        <f t="shared" si="227"/>
        <v>1.5773771583141416</v>
      </c>
      <c r="BL98" s="17">
        <f t="shared" si="228"/>
        <v>2.7377021666292523</v>
      </c>
      <c r="BM98" s="17">
        <f t="shared" si="229"/>
        <v>3.8568232010031123</v>
      </c>
      <c r="BO98" t="str">
        <f t="shared" si="250"/>
        <v>54 Textiles, printing and other skilled trades</v>
      </c>
      <c r="BP98" s="17">
        <f t="shared" si="230"/>
        <v>-5.2918207545925693</v>
      </c>
      <c r="BQ98" s="17">
        <f t="shared" si="230"/>
        <v>2.9872018020914437</v>
      </c>
      <c r="BR98" s="17">
        <f t="shared" si="230"/>
        <v>-2.1253765808858849</v>
      </c>
      <c r="BS98" s="17">
        <f t="shared" si="230"/>
        <v>-1.4130231618777578</v>
      </c>
      <c r="BT98" s="17">
        <f t="shared" si="231"/>
        <v>-1.367377752612331</v>
      </c>
      <c r="BV98" s="17">
        <f t="shared" si="232"/>
        <v>-1.6510485201383429</v>
      </c>
      <c r="BW98" s="17">
        <f t="shared" si="233"/>
        <v>2.0053277051577112</v>
      </c>
      <c r="BX98" s="17">
        <f t="shared" si="234"/>
        <v>0.79391454678467976</v>
      </c>
      <c r="BZ98" t="str">
        <f t="shared" si="251"/>
        <v>54 Textiles, printing and other skilled trades</v>
      </c>
      <c r="CA98" s="17">
        <f t="shared" si="235"/>
        <v>-3.9496192452642132</v>
      </c>
      <c r="CB98" s="17">
        <f t="shared" si="235"/>
        <v>-6.5792966803955526</v>
      </c>
      <c r="CC98" s="17">
        <f t="shared" si="235"/>
        <v>-0.69417814759611396</v>
      </c>
      <c r="CD98" s="17">
        <f t="shared" si="235"/>
        <v>-1.6937084597897223</v>
      </c>
      <c r="CE98" s="17">
        <f t="shared" si="236"/>
        <v>-1.6961304295744939</v>
      </c>
      <c r="CG98" s="17">
        <f t="shared" si="237"/>
        <v>-1.3616545464355201</v>
      </c>
      <c r="CH98" s="17">
        <f t="shared" si="238"/>
        <v>1.9958965104214021</v>
      </c>
      <c r="CI98" s="17">
        <f t="shared" si="239"/>
        <v>0.98957714750198544</v>
      </c>
      <c r="CK98" t="str">
        <f t="shared" si="252"/>
        <v>54 Textiles, printing and other skilled trades</v>
      </c>
      <c r="CL98" s="17">
        <f t="shared" si="240"/>
        <v>-3.9857995592160411</v>
      </c>
      <c r="CM98" s="17">
        <f t="shared" si="240"/>
        <v>-22.072717095971694</v>
      </c>
      <c r="CN98" s="17">
        <f t="shared" si="240"/>
        <v>-7.1307213006232324</v>
      </c>
      <c r="CO98" s="17">
        <f t="shared" si="240"/>
        <v>-3.4493758504581584</v>
      </c>
      <c r="CP98" s="17">
        <f t="shared" si="241"/>
        <v>-5.8841980801523697</v>
      </c>
      <c r="CR98" s="17">
        <f t="shared" si="242"/>
        <v>-4.6924260889283476</v>
      </c>
      <c r="CS98" s="17">
        <f t="shared" si="243"/>
        <v>1.1090079627299465</v>
      </c>
      <c r="CT98" s="17">
        <f t="shared" si="244"/>
        <v>-2.6712946658500547</v>
      </c>
    </row>
    <row r="99" spans="1:98" x14ac:dyDescent="0.3">
      <c r="A99" t="str">
        <f t="shared" si="199"/>
        <v>61 Caring personal service occupations</v>
      </c>
      <c r="B99" s="17">
        <f t="shared" si="200"/>
        <v>5.2817505805372811</v>
      </c>
      <c r="C99" s="17">
        <f t="shared" si="200"/>
        <v>-6.821649836360077</v>
      </c>
      <c r="D99" s="17">
        <f t="shared" si="200"/>
        <v>8.8163234173484604</v>
      </c>
      <c r="E99" s="17">
        <f t="shared" si="200"/>
        <v>4.0107573836156707</v>
      </c>
      <c r="F99" s="17">
        <f t="shared" si="201"/>
        <v>4.7666338798034502</v>
      </c>
      <c r="H99" s="17">
        <f t="shared" si="202"/>
        <v>5.5885571390041466</v>
      </c>
      <c r="I99" s="17">
        <f t="shared" si="203"/>
        <v>4.6347863807742362</v>
      </c>
      <c r="J99" s="17">
        <f t="shared" si="204"/>
        <v>8.138670135796211</v>
      </c>
      <c r="L99" t="str">
        <f t="shared" si="245"/>
        <v>61 Caring personal service occupations</v>
      </c>
      <c r="M99" s="17">
        <f t="shared" si="205"/>
        <v>10.448857835068615</v>
      </c>
      <c r="N99" s="17">
        <f t="shared" si="205"/>
        <v>-9.1333706725776782</v>
      </c>
      <c r="O99" s="17">
        <f t="shared" si="205"/>
        <v>7.972459967815948</v>
      </c>
      <c r="P99" s="17">
        <f t="shared" si="205"/>
        <v>4.0930065132881222</v>
      </c>
      <c r="Q99" s="17">
        <f t="shared" si="206"/>
        <v>4.3996536078837245</v>
      </c>
      <c r="S99" s="17">
        <f t="shared" si="207"/>
        <v>5.3704173807523903</v>
      </c>
      <c r="T99" s="17">
        <f t="shared" si="208"/>
        <v>4.6591011266561289</v>
      </c>
      <c r="U99" s="17">
        <f t="shared" si="209"/>
        <v>7.9988228608764089</v>
      </c>
      <c r="W99" t="str">
        <f t="shared" si="246"/>
        <v>61 Caring personal service occupations</v>
      </c>
      <c r="X99" s="17">
        <f t="shared" si="210"/>
        <v>5.5890339808085887</v>
      </c>
      <c r="Y99" s="17">
        <f t="shared" si="210"/>
        <v>11.953429261098591</v>
      </c>
      <c r="Z99" s="17">
        <f t="shared" si="210"/>
        <v>2.4852252892389792</v>
      </c>
      <c r="AA99" s="17">
        <f t="shared" si="210"/>
        <v>2.7915596826211697</v>
      </c>
      <c r="AB99" s="17">
        <f t="shared" si="211"/>
        <v>3.2452050683963396</v>
      </c>
      <c r="AD99" s="17">
        <f t="shared" si="212"/>
        <v>2.689346614015875</v>
      </c>
      <c r="AE99" s="17">
        <f t="shared" si="213"/>
        <v>3.9970445036803914</v>
      </c>
      <c r="AF99" s="17">
        <f t="shared" si="214"/>
        <v>5.6764003954446141</v>
      </c>
      <c r="AH99" t="str">
        <f t="shared" si="247"/>
        <v>61 Caring personal service occupations</v>
      </c>
      <c r="AI99" s="17">
        <f t="shared" si="215"/>
        <v>2.9691980760263581</v>
      </c>
      <c r="AJ99" s="17">
        <f t="shared" si="215"/>
        <v>13.738012167701829</v>
      </c>
      <c r="AK99" s="17">
        <f t="shared" si="215"/>
        <v>-8.6483333153053454E-2</v>
      </c>
      <c r="AL99" s="17">
        <f t="shared" si="215"/>
        <v>1.3267916014581882</v>
      </c>
      <c r="AM99" s="17">
        <f t="shared" si="216"/>
        <v>1.6141902925046248</v>
      </c>
      <c r="AO99" s="17">
        <f t="shared" si="217"/>
        <v>0.85349261199336723</v>
      </c>
      <c r="AP99" s="17">
        <f t="shared" si="218"/>
        <v>3.2362876882829905</v>
      </c>
      <c r="AQ99" s="17">
        <f t="shared" si="219"/>
        <v>3.7949517879833694</v>
      </c>
      <c r="AS99" t="str">
        <f t="shared" si="248"/>
        <v>61 Caring personal service occupations</v>
      </c>
      <c r="AT99" s="17">
        <f t="shared" si="220"/>
        <v>4.9743242932993814</v>
      </c>
      <c r="AU99" s="17">
        <f t="shared" si="220"/>
        <v>13.525074319514619</v>
      </c>
      <c r="AV99" s="17">
        <f t="shared" si="220"/>
        <v>0.37194588760844915</v>
      </c>
      <c r="AW99" s="17">
        <f t="shared" si="220"/>
        <v>1.9040986659140779</v>
      </c>
      <c r="AX99" s="17">
        <f t="shared" si="221"/>
        <v>2.1096710594959989</v>
      </c>
      <c r="AZ99" s="17">
        <f t="shared" si="222"/>
        <v>1.3907998889187034</v>
      </c>
      <c r="BA99" s="17">
        <f t="shared" si="223"/>
        <v>3.401067605217678</v>
      </c>
      <c r="BB99" s="17">
        <f t="shared" si="224"/>
        <v>4.3045561524450271</v>
      </c>
      <c r="BD99" t="str">
        <f t="shared" si="249"/>
        <v>61 Caring personal service occupations</v>
      </c>
      <c r="BE99" s="17">
        <f t="shared" si="225"/>
        <v>2.6488210838762516</v>
      </c>
      <c r="BF99" s="17">
        <f t="shared" si="225"/>
        <v>-2.0358421748458144</v>
      </c>
      <c r="BG99" s="17">
        <f t="shared" si="225"/>
        <v>2.8362805901904986</v>
      </c>
      <c r="BH99" s="17">
        <f t="shared" si="225"/>
        <v>1.6052058336661679</v>
      </c>
      <c r="BI99" s="17">
        <f t="shared" si="226"/>
        <v>1.7559734318995046</v>
      </c>
      <c r="BK99" s="17">
        <f t="shared" si="227"/>
        <v>2.013917817158184</v>
      </c>
      <c r="BL99" s="17">
        <f t="shared" si="228"/>
        <v>3.6911919170911078</v>
      </c>
      <c r="BM99" s="17">
        <f t="shared" si="229"/>
        <v>4.9732631526701487</v>
      </c>
      <c r="BO99" t="str">
        <f t="shared" si="250"/>
        <v>61 Caring personal service occupations</v>
      </c>
      <c r="BP99" s="17">
        <f t="shared" si="230"/>
        <v>2.1855836358623426</v>
      </c>
      <c r="BQ99" s="17">
        <f t="shared" si="230"/>
        <v>-14.093840307024674</v>
      </c>
      <c r="BR99" s="17">
        <f t="shared" si="230"/>
        <v>1.1400576017563502</v>
      </c>
      <c r="BS99" s="17">
        <f t="shared" si="230"/>
        <v>-1.0396786066138697</v>
      </c>
      <c r="BT99" s="17">
        <f t="shared" si="231"/>
        <v>-1.2406543675251402</v>
      </c>
      <c r="BV99" s="17">
        <f t="shared" si="232"/>
        <v>-0.31837016427587184</v>
      </c>
      <c r="BW99" s="17">
        <f t="shared" si="233"/>
        <v>2.7790458144862695</v>
      </c>
      <c r="BX99" s="17">
        <f t="shared" si="234"/>
        <v>2.5637818084804476</v>
      </c>
      <c r="BZ99" t="str">
        <f t="shared" si="251"/>
        <v>61 Caring personal service occupations</v>
      </c>
      <c r="CA99" s="17">
        <f t="shared" si="235"/>
        <v>-9.2806550122885199</v>
      </c>
      <c r="CB99" s="17">
        <f t="shared" si="235"/>
        <v>-22.150899325050133</v>
      </c>
      <c r="CC99" s="17">
        <f t="shared" si="235"/>
        <v>-6.0938570122294644</v>
      </c>
      <c r="CD99" s="17">
        <f t="shared" si="235"/>
        <v>-1.8418007182077534</v>
      </c>
      <c r="CE99" s="17">
        <f t="shared" si="236"/>
        <v>-4.5833114763547229</v>
      </c>
      <c r="CG99" s="17">
        <f t="shared" si="237"/>
        <v>-3.2801258421954693</v>
      </c>
      <c r="CH99" s="17">
        <f t="shared" si="238"/>
        <v>1.4482295556762725</v>
      </c>
      <c r="CI99" s="17">
        <f t="shared" si="239"/>
        <v>-1.100394207602573</v>
      </c>
      <c r="CK99" t="str">
        <f t="shared" si="252"/>
        <v>61 Caring personal service occupations</v>
      </c>
      <c r="CL99" s="17">
        <f t="shared" si="240"/>
        <v>-1.6584093887332507</v>
      </c>
      <c r="CM99" s="17">
        <f t="shared" si="240"/>
        <v>-33.061027753455349</v>
      </c>
      <c r="CN99" s="17">
        <f t="shared" si="240"/>
        <v>0.85602736804364365</v>
      </c>
      <c r="CO99" s="17">
        <f t="shared" si="240"/>
        <v>-1.3794984720526426</v>
      </c>
      <c r="CP99" s="17">
        <f t="shared" si="241"/>
        <v>-3.0626206194053207</v>
      </c>
      <c r="CR99" s="17">
        <f t="shared" si="242"/>
        <v>-0.63988387409964487</v>
      </c>
      <c r="CS99" s="17">
        <f t="shared" si="243"/>
        <v>1.5427824329973694</v>
      </c>
      <c r="CT99" s="17">
        <f t="shared" si="244"/>
        <v>1.0311978023694213</v>
      </c>
    </row>
    <row r="100" spans="1:98" x14ac:dyDescent="0.3">
      <c r="A100" t="str">
        <f t="shared" si="199"/>
        <v>62 Leisure, travel and related personal service occupations</v>
      </c>
      <c r="B100" s="17">
        <f t="shared" si="200"/>
        <v>3.7661880192391139</v>
      </c>
      <c r="C100" s="17">
        <f t="shared" si="200"/>
        <v>-9.555020238973178</v>
      </c>
      <c r="D100" s="17">
        <f t="shared" si="200"/>
        <v>7.3065694244384582</v>
      </c>
      <c r="E100" s="17">
        <f t="shared" si="200"/>
        <v>4.3264270079096168</v>
      </c>
      <c r="F100" s="17">
        <f t="shared" si="201"/>
        <v>4.3136663264571551</v>
      </c>
      <c r="H100" s="17">
        <f t="shared" si="202"/>
        <v>5.3104962975037751</v>
      </c>
      <c r="I100" s="17">
        <f t="shared" si="203"/>
        <v>4.3361876315314074</v>
      </c>
      <c r="J100" s="17">
        <f t="shared" si="204"/>
        <v>7.7489618361025858</v>
      </c>
      <c r="L100" t="str">
        <f t="shared" si="245"/>
        <v>62 Leisure, travel and related personal service occupations</v>
      </c>
      <c r="M100" s="17">
        <f t="shared" si="205"/>
        <v>7.784848422726931</v>
      </c>
      <c r="N100" s="17">
        <f t="shared" si="205"/>
        <v>-11.183103258570547</v>
      </c>
      <c r="O100" s="17">
        <f t="shared" si="205"/>
        <v>6.7316008298866858</v>
      </c>
      <c r="P100" s="17">
        <f t="shared" si="205"/>
        <v>2.9602052497969655</v>
      </c>
      <c r="Q100" s="17">
        <f t="shared" si="206"/>
        <v>3.1670278887324432</v>
      </c>
      <c r="S100" s="17">
        <f t="shared" si="207"/>
        <v>4.2022926087258217</v>
      </c>
      <c r="T100" s="17">
        <f t="shared" si="208"/>
        <v>3.9944023863095923</v>
      </c>
      <c r="U100" s="17">
        <f t="shared" si="209"/>
        <v>6.7226985325299138</v>
      </c>
      <c r="W100" t="str">
        <f t="shared" si="246"/>
        <v>62 Leisure, travel and related personal service occupations</v>
      </c>
      <c r="X100" s="17">
        <f t="shared" si="210"/>
        <v>6.1131403302578047</v>
      </c>
      <c r="Y100" s="17">
        <f t="shared" si="210"/>
        <v>15.615862361566645</v>
      </c>
      <c r="Z100" s="17">
        <f t="shared" si="210"/>
        <v>3.8326657197654823</v>
      </c>
      <c r="AA100" s="17">
        <f t="shared" si="210"/>
        <v>3.5318651757910269</v>
      </c>
      <c r="AB100" s="17">
        <f t="shared" si="211"/>
        <v>4.3432210027188001</v>
      </c>
      <c r="AD100" s="17">
        <f t="shared" si="212"/>
        <v>3.6320350754194708</v>
      </c>
      <c r="AE100" s="17">
        <f t="shared" si="213"/>
        <v>4.0699142175544933</v>
      </c>
      <c r="AF100" s="17">
        <f t="shared" si="214"/>
        <v>6.3748671486335784</v>
      </c>
      <c r="AH100" t="str">
        <f t="shared" si="247"/>
        <v>62 Leisure, travel and related personal service occupations</v>
      </c>
      <c r="AI100" s="17">
        <f t="shared" si="215"/>
        <v>6.4214044528433156</v>
      </c>
      <c r="AJ100" s="17">
        <f t="shared" si="215"/>
        <v>15.367498964455306</v>
      </c>
      <c r="AK100" s="17">
        <f t="shared" si="215"/>
        <v>1.3773183826763846</v>
      </c>
      <c r="AL100" s="17">
        <f t="shared" si="215"/>
        <v>3.0538534974130283</v>
      </c>
      <c r="AM100" s="17">
        <f t="shared" si="216"/>
        <v>3.2528064080029173</v>
      </c>
      <c r="AO100" s="17">
        <f t="shared" si="217"/>
        <v>2.4919502385321479</v>
      </c>
      <c r="AP100" s="17">
        <f t="shared" si="218"/>
        <v>3.699593200383533</v>
      </c>
      <c r="AQ100" s="17">
        <f t="shared" si="219"/>
        <v>5.3039921820809077</v>
      </c>
      <c r="AS100" t="str">
        <f t="shared" si="248"/>
        <v>62 Leisure, travel and related personal service occupations</v>
      </c>
      <c r="AT100" s="17">
        <f t="shared" si="220"/>
        <v>5.7820515293077968</v>
      </c>
      <c r="AU100" s="17">
        <f t="shared" si="220"/>
        <v>31.595020947488251</v>
      </c>
      <c r="AV100" s="17">
        <f t="shared" si="220"/>
        <v>2.6244180590653032</v>
      </c>
      <c r="AW100" s="17">
        <f t="shared" si="220"/>
        <v>3.5611828910915078</v>
      </c>
      <c r="AX100" s="17">
        <f t="shared" si="221"/>
        <v>4.8253783630903602</v>
      </c>
      <c r="AZ100" s="17">
        <f t="shared" si="222"/>
        <v>3.2479816841746167</v>
      </c>
      <c r="BA100" s="17">
        <f t="shared" si="223"/>
        <v>3.9686650249093569</v>
      </c>
      <c r="BB100" s="17">
        <f t="shared" si="224"/>
        <v>6.0336958963397302</v>
      </c>
      <c r="BD100" t="str">
        <f t="shared" si="249"/>
        <v>62 Leisure, travel and related personal service occupations</v>
      </c>
      <c r="BE100" s="17">
        <f t="shared" si="225"/>
        <v>0.13355354266937347</v>
      </c>
      <c r="BF100" s="17">
        <f t="shared" si="225"/>
        <v>2.3224653629629444</v>
      </c>
      <c r="BG100" s="17">
        <f t="shared" si="225"/>
        <v>0.42031696798261464</v>
      </c>
      <c r="BH100" s="17">
        <f t="shared" si="225"/>
        <v>-0.33119235878755759</v>
      </c>
      <c r="BI100" s="17">
        <f t="shared" si="226"/>
        <v>6.7251787288480358E-2</v>
      </c>
      <c r="BK100" s="17">
        <f t="shared" si="227"/>
        <v>-8.1316228961247905E-2</v>
      </c>
      <c r="BL100" s="17">
        <f t="shared" si="228"/>
        <v>2.6700508372311083</v>
      </c>
      <c r="BM100" s="17">
        <f t="shared" si="229"/>
        <v>2.6139260039329759</v>
      </c>
      <c r="BO100" t="str">
        <f t="shared" si="250"/>
        <v>62 Leisure, travel and related personal service occupations</v>
      </c>
      <c r="BP100" s="17">
        <f t="shared" si="230"/>
        <v>1.7393107751240811</v>
      </c>
      <c r="BQ100" s="17">
        <f t="shared" si="230"/>
        <v>-5.7009754502323373</v>
      </c>
      <c r="BR100" s="17">
        <f t="shared" si="230"/>
        <v>-1.397795593911888</v>
      </c>
      <c r="BS100" s="17">
        <f t="shared" si="230"/>
        <v>-2.5349615393897795</v>
      </c>
      <c r="BT100" s="17">
        <f t="shared" si="231"/>
        <v>-2.3826965426416269</v>
      </c>
      <c r="BV100" s="17">
        <f t="shared" si="232"/>
        <v>-2.1573709420233178</v>
      </c>
      <c r="BW100" s="17">
        <f t="shared" si="233"/>
        <v>2.2985067851016172</v>
      </c>
      <c r="BX100" s="17">
        <f t="shared" si="234"/>
        <v>0.80115664845430423</v>
      </c>
      <c r="BZ100" t="str">
        <f t="shared" si="251"/>
        <v>62 Leisure, travel and related personal service occupations</v>
      </c>
      <c r="CA100" s="17">
        <f t="shared" si="235"/>
        <v>3.0182380797236119</v>
      </c>
      <c r="CB100" s="17">
        <f t="shared" si="235"/>
        <v>-8.5097887357631343</v>
      </c>
      <c r="CC100" s="17">
        <f t="shared" si="235"/>
        <v>-0.56497143990859033</v>
      </c>
      <c r="CD100" s="17">
        <f t="shared" si="235"/>
        <v>-3.1109765627693631</v>
      </c>
      <c r="CE100" s="17">
        <f t="shared" si="236"/>
        <v>-2.6718228926845389</v>
      </c>
      <c r="CG100" s="17">
        <f t="shared" si="237"/>
        <v>-2.2696351715827068</v>
      </c>
      <c r="CH100" s="17">
        <f t="shared" si="238"/>
        <v>2.1394399767806771</v>
      </c>
      <c r="CI100" s="17">
        <f t="shared" si="239"/>
        <v>0.529268825428586</v>
      </c>
      <c r="CK100" t="str">
        <f t="shared" si="252"/>
        <v>62 Leisure, travel and related personal service occupations</v>
      </c>
      <c r="CL100" s="17">
        <f t="shared" si="240"/>
        <v>-0.106162529595899</v>
      </c>
      <c r="CM100" s="17">
        <f t="shared" si="240"/>
        <v>-31.237914376278496</v>
      </c>
      <c r="CN100" s="17">
        <f t="shared" si="240"/>
        <v>-3.6066089828047487</v>
      </c>
      <c r="CO100" s="17">
        <f t="shared" si="240"/>
        <v>-3.4052821475706652</v>
      </c>
      <c r="CP100" s="17">
        <f t="shared" si="241"/>
        <v>-5.4971415808538477</v>
      </c>
      <c r="CR100" s="17">
        <f t="shared" si="242"/>
        <v>-3.472437770486303</v>
      </c>
      <c r="CS100" s="17">
        <f t="shared" si="243"/>
        <v>1.3628686845100546</v>
      </c>
      <c r="CT100" s="17">
        <f t="shared" si="244"/>
        <v>-1.3653007752937096</v>
      </c>
    </row>
    <row r="101" spans="1:98" x14ac:dyDescent="0.3">
      <c r="A101" t="str">
        <f t="shared" si="199"/>
        <v>63 Community and civil enforcement occupations</v>
      </c>
      <c r="B101" s="17">
        <f t="shared" si="200"/>
        <v>1.4426628507673511</v>
      </c>
      <c r="C101" s="17">
        <f t="shared" si="200"/>
        <v>0.70847686557096168</v>
      </c>
      <c r="D101" s="17">
        <f t="shared" si="200"/>
        <v>7.6274195419172353</v>
      </c>
      <c r="E101" s="17">
        <f t="shared" si="200"/>
        <v>3.0729074020989344</v>
      </c>
      <c r="F101" s="17">
        <f t="shared" si="201"/>
        <v>4.3236733686761175</v>
      </c>
      <c r="H101" s="17">
        <f t="shared" si="202"/>
        <v>4.5692501054183099</v>
      </c>
      <c r="I101" s="17">
        <f t="shared" si="203"/>
        <v>4.3851605009039618</v>
      </c>
      <c r="J101" s="17">
        <f t="shared" si="204"/>
        <v>7.2522770576588513</v>
      </c>
      <c r="L101" t="str">
        <f t="shared" si="245"/>
        <v>63 Community and civil enforcement occupations</v>
      </c>
      <c r="M101" s="17">
        <f t="shared" si="205"/>
        <v>-0.97873731837623268</v>
      </c>
      <c r="N101" s="17">
        <f t="shared" si="205"/>
        <v>28.100054133176865</v>
      </c>
      <c r="O101" s="17">
        <f t="shared" si="205"/>
        <v>1.5075022995029386</v>
      </c>
      <c r="P101" s="17">
        <f t="shared" si="205"/>
        <v>3.3438876766260117</v>
      </c>
      <c r="Q101" s="17">
        <f t="shared" si="206"/>
        <v>4.1550899501377359</v>
      </c>
      <c r="S101" s="17">
        <f t="shared" si="207"/>
        <v>2.7280972234301704</v>
      </c>
      <c r="T101" s="17">
        <f t="shared" si="208"/>
        <v>3.4660385629771362</v>
      </c>
      <c r="U101" s="17">
        <f t="shared" si="209"/>
        <v>5.2828183367243264</v>
      </c>
      <c r="W101" t="str">
        <f t="shared" si="246"/>
        <v>63 Community and civil enforcement occupations</v>
      </c>
      <c r="X101" s="17">
        <f t="shared" si="210"/>
        <v>-9.9593734233416331E-2</v>
      </c>
      <c r="Y101" s="17">
        <f t="shared" si="210"/>
        <v>22.249671983245591</v>
      </c>
      <c r="Z101" s="17">
        <f t="shared" si="210"/>
        <v>2.4097427609459432</v>
      </c>
      <c r="AA101" s="17">
        <f t="shared" si="210"/>
        <v>2.622991109651851</v>
      </c>
      <c r="AB101" s="17">
        <f t="shared" si="211"/>
        <v>3.6841920608915224</v>
      </c>
      <c r="AD101" s="17">
        <f t="shared" si="212"/>
        <v>2.5518590336710556</v>
      </c>
      <c r="AE101" s="17">
        <f t="shared" si="213"/>
        <v>3.985400045109877</v>
      </c>
      <c r="AF101" s="17">
        <f t="shared" si="214"/>
        <v>5.5752558216723536</v>
      </c>
      <c r="AH101" t="str">
        <f t="shared" si="247"/>
        <v>63 Community and civil enforcement occupations</v>
      </c>
      <c r="AI101" s="17">
        <f t="shared" si="215"/>
        <v>-2.4064807818044098</v>
      </c>
      <c r="AJ101" s="17">
        <f t="shared" si="215"/>
        <v>46.147356501187176</v>
      </c>
      <c r="AK101" s="17">
        <f t="shared" si="215"/>
        <v>-2.758515327470823</v>
      </c>
      <c r="AL101" s="17">
        <f t="shared" si="215"/>
        <v>2.4890581710362847</v>
      </c>
      <c r="AM101" s="17">
        <f t="shared" si="216"/>
        <v>3.0804944749996954</v>
      </c>
      <c r="AO101" s="17">
        <f t="shared" si="217"/>
        <v>0.70913407012755947</v>
      </c>
      <c r="AP101" s="17">
        <f t="shared" si="218"/>
        <v>3.059741193147536</v>
      </c>
      <c r="AQ101" s="17">
        <f t="shared" si="219"/>
        <v>3.5330570613349543</v>
      </c>
      <c r="AS101" t="str">
        <f t="shared" si="248"/>
        <v>63 Community and civil enforcement occupations</v>
      </c>
      <c r="AT101" s="17">
        <f t="shared" si="220"/>
        <v>-4.9214398152356509</v>
      </c>
      <c r="AU101" s="17">
        <f t="shared" si="220"/>
        <v>40.222088554600703</v>
      </c>
      <c r="AV101" s="17">
        <f t="shared" si="220"/>
        <v>-3.3434663965069333</v>
      </c>
      <c r="AW101" s="17">
        <f t="shared" si="220"/>
        <v>1.4709511180414525</v>
      </c>
      <c r="AX101" s="17">
        <f t="shared" si="221"/>
        <v>1.9821970488867802</v>
      </c>
      <c r="AZ101" s="17">
        <f t="shared" si="222"/>
        <v>-0.15992633667817335</v>
      </c>
      <c r="BA101" s="17">
        <f t="shared" si="223"/>
        <v>2.949729933248002</v>
      </c>
      <c r="BB101" s="17">
        <f t="shared" si="224"/>
        <v>2.8436971722554327</v>
      </c>
      <c r="BD101" t="str">
        <f t="shared" si="249"/>
        <v>63 Community and civil enforcement occupations</v>
      </c>
      <c r="BE101" s="17">
        <f t="shared" si="225"/>
        <v>-8.4987065166312377</v>
      </c>
      <c r="BF101" s="17">
        <f t="shared" si="225"/>
        <v>36.449489358311226</v>
      </c>
      <c r="BG101" s="17">
        <f t="shared" si="225"/>
        <v>-6.4751867902401834</v>
      </c>
      <c r="BH101" s="17">
        <f t="shared" si="225"/>
        <v>1.2027646341547626</v>
      </c>
      <c r="BI101" s="17">
        <f t="shared" si="226"/>
        <v>0.59945328578818735</v>
      </c>
      <c r="BK101" s="17">
        <f t="shared" si="227"/>
        <v>-1.4241491719222399</v>
      </c>
      <c r="BL101" s="17">
        <f t="shared" si="228"/>
        <v>1.7238145504655744</v>
      </c>
      <c r="BM101" s="17">
        <f t="shared" si="229"/>
        <v>0.62914363698844955</v>
      </c>
      <c r="BO101" t="str">
        <f t="shared" si="250"/>
        <v>63 Community and civil enforcement occupations</v>
      </c>
      <c r="BP101" s="17">
        <f t="shared" si="230"/>
        <v>-5.0439909874476658</v>
      </c>
      <c r="BQ101" s="17">
        <f t="shared" si="230"/>
        <v>38.286568016080281</v>
      </c>
      <c r="BR101" s="17">
        <f t="shared" si="230"/>
        <v>-6.4416562009382394</v>
      </c>
      <c r="BS101" s="17">
        <f t="shared" si="230"/>
        <v>4.1540457145616827E-2</v>
      </c>
      <c r="BT101" s="17">
        <f t="shared" si="231"/>
        <v>-2.883098812405116E-2</v>
      </c>
      <c r="BV101" s="17">
        <f t="shared" si="232"/>
        <v>-2.1679646994502644</v>
      </c>
      <c r="BW101" s="17">
        <f t="shared" si="233"/>
        <v>1.8908218216286521</v>
      </c>
      <c r="BX101" s="17">
        <f t="shared" si="234"/>
        <v>0.28893688461817391</v>
      </c>
      <c r="BZ101" t="str">
        <f t="shared" si="251"/>
        <v>63 Community and civil enforcement occupations</v>
      </c>
      <c r="CA101" s="17">
        <f t="shared" si="235"/>
        <v>-3.1860359313253483</v>
      </c>
      <c r="CB101" s="17">
        <f t="shared" si="235"/>
        <v>23.319041358523297</v>
      </c>
      <c r="CC101" s="17">
        <f t="shared" si="235"/>
        <v>-5.1252957327715727</v>
      </c>
      <c r="CD101" s="17">
        <f t="shared" si="235"/>
        <v>-1.113353914966142</v>
      </c>
      <c r="CE101" s="17">
        <f t="shared" si="236"/>
        <v>-1.0285519906133467</v>
      </c>
      <c r="CG101" s="17">
        <f t="shared" si="237"/>
        <v>-2.4691722961538543</v>
      </c>
      <c r="CH101" s="17">
        <f t="shared" si="238"/>
        <v>1.829779377349805</v>
      </c>
      <c r="CI101" s="17">
        <f t="shared" si="239"/>
        <v>-1.0621254877163366E-3</v>
      </c>
      <c r="CK101" t="str">
        <f t="shared" si="252"/>
        <v>63 Community and civil enforcement occupations</v>
      </c>
      <c r="CL101" s="17">
        <f t="shared" si="240"/>
        <v>-8.2673620502858096</v>
      </c>
      <c r="CM101" s="17">
        <f t="shared" si="240"/>
        <v>12.166365722523253</v>
      </c>
      <c r="CN101" s="17">
        <f t="shared" si="240"/>
        <v>-12.754064380438933</v>
      </c>
      <c r="CO101" s="17">
        <f t="shared" si="240"/>
        <v>-3.5272591345258952</v>
      </c>
      <c r="CP101" s="17">
        <f t="shared" si="241"/>
        <v>-5.6260402183709424</v>
      </c>
      <c r="CR101" s="17">
        <f t="shared" si="242"/>
        <v>-6.7064799573854366</v>
      </c>
      <c r="CS101" s="17">
        <f t="shared" si="243"/>
        <v>0.75529015863078364</v>
      </c>
      <c r="CT101" s="17">
        <f t="shared" si="244"/>
        <v>-4.8755090817281683</v>
      </c>
    </row>
    <row r="102" spans="1:98" x14ac:dyDescent="0.3">
      <c r="A102" t="str">
        <f t="shared" si="199"/>
        <v>71 Sales occupations</v>
      </c>
      <c r="B102" s="17">
        <f t="shared" si="200"/>
        <v>1.9139065849666403</v>
      </c>
      <c r="C102" s="17">
        <f t="shared" si="200"/>
        <v>-11.765715342435424</v>
      </c>
      <c r="D102" s="17">
        <f t="shared" si="200"/>
        <v>4.9068491166975425</v>
      </c>
      <c r="E102" s="17">
        <f t="shared" si="200"/>
        <v>2.6739242366563332</v>
      </c>
      <c r="F102" s="17">
        <f t="shared" si="201"/>
        <v>2.3920262346575516</v>
      </c>
      <c r="H102" s="17">
        <f t="shared" si="202"/>
        <v>3.4129011183913427</v>
      </c>
      <c r="I102" s="17">
        <f t="shared" si="203"/>
        <v>3.4559526394819295</v>
      </c>
      <c r="J102" s="17">
        <f t="shared" si="204"/>
        <v>5.7678112594971909</v>
      </c>
      <c r="L102" t="str">
        <f t="shared" si="245"/>
        <v>71 Sales occupations</v>
      </c>
      <c r="M102" s="17">
        <f t="shared" si="205"/>
        <v>3.3729143741318302</v>
      </c>
      <c r="N102" s="17">
        <f t="shared" si="205"/>
        <v>0.98797575268756432</v>
      </c>
      <c r="O102" s="17">
        <f t="shared" si="205"/>
        <v>4.8329765655152013</v>
      </c>
      <c r="P102" s="17">
        <f t="shared" si="205"/>
        <v>3.4316347843922346</v>
      </c>
      <c r="Q102" s="17">
        <f t="shared" si="206"/>
        <v>3.712432723428738</v>
      </c>
      <c r="S102" s="17">
        <f t="shared" si="207"/>
        <v>3.8966548862044759</v>
      </c>
      <c r="T102" s="17">
        <f t="shared" si="208"/>
        <v>3.5294607543127965</v>
      </c>
      <c r="U102" s="17">
        <f t="shared" si="209"/>
        <v>6.1755876487902484</v>
      </c>
      <c r="W102" t="str">
        <f t="shared" si="246"/>
        <v>71 Sales occupations</v>
      </c>
      <c r="X102" s="17">
        <f t="shared" si="210"/>
        <v>-0.16484983357053506</v>
      </c>
      <c r="Y102" s="17">
        <f t="shared" si="210"/>
        <v>18.453013872883027</v>
      </c>
      <c r="Z102" s="17">
        <f t="shared" si="210"/>
        <v>0.63685105633382033</v>
      </c>
      <c r="AA102" s="17">
        <f t="shared" si="210"/>
        <v>2.7281742384469565</v>
      </c>
      <c r="AB102" s="17">
        <f t="shared" si="211"/>
        <v>2.9826795967266451</v>
      </c>
      <c r="AD102" s="17">
        <f t="shared" si="212"/>
        <v>2.0262817374181452</v>
      </c>
      <c r="AE102" s="17">
        <f t="shared" si="213"/>
        <v>3.2407606612309126</v>
      </c>
      <c r="AF102" s="17">
        <f t="shared" si="214"/>
        <v>4.6047124515313786</v>
      </c>
      <c r="AH102" t="str">
        <f t="shared" si="247"/>
        <v>71 Sales occupations</v>
      </c>
      <c r="AI102" s="17">
        <f t="shared" si="215"/>
        <v>-1.5125706940332995</v>
      </c>
      <c r="AJ102" s="17">
        <f t="shared" si="215"/>
        <v>19.698051070798495</v>
      </c>
      <c r="AK102" s="17">
        <f t="shared" si="215"/>
        <v>-1.0685799216671343</v>
      </c>
      <c r="AL102" s="17">
        <f t="shared" si="215"/>
        <v>2.1214091715922256</v>
      </c>
      <c r="AM102" s="17">
        <f t="shared" si="216"/>
        <v>2.1222542296051472</v>
      </c>
      <c r="AO102" s="17">
        <f t="shared" si="217"/>
        <v>1.0468114162580644</v>
      </c>
      <c r="AP102" s="17">
        <f t="shared" si="218"/>
        <v>2.9986426449912118</v>
      </c>
      <c r="AQ102" s="17">
        <f t="shared" si="219"/>
        <v>3.7086293142416515</v>
      </c>
      <c r="AS102" t="str">
        <f t="shared" si="248"/>
        <v>71 Sales occupations</v>
      </c>
      <c r="AT102" s="17">
        <f t="shared" si="220"/>
        <v>-2.0109333669440121</v>
      </c>
      <c r="AU102" s="17">
        <f t="shared" si="220"/>
        <v>16.459830197413726</v>
      </c>
      <c r="AV102" s="17">
        <f t="shared" si="220"/>
        <v>-1.3379892831440698</v>
      </c>
      <c r="AW102" s="17">
        <f t="shared" si="220"/>
        <v>1.7796729178799708</v>
      </c>
      <c r="AX102" s="17">
        <f t="shared" si="221"/>
        <v>1.6473426614400655</v>
      </c>
      <c r="AZ102" s="17">
        <f t="shared" si="222"/>
        <v>0.7296568830358563</v>
      </c>
      <c r="BA102" s="17">
        <f t="shared" si="223"/>
        <v>2.5856216305259139</v>
      </c>
      <c r="BB102" s="17">
        <f t="shared" si="224"/>
        <v>3.1041734518562958</v>
      </c>
      <c r="BD102" t="str">
        <f t="shared" si="249"/>
        <v>71 Sales occupations</v>
      </c>
      <c r="BE102" s="17">
        <f t="shared" si="225"/>
        <v>-3.1910129446634294</v>
      </c>
      <c r="BF102" s="17">
        <f t="shared" si="225"/>
        <v>1.8847187527831988</v>
      </c>
      <c r="BG102" s="17">
        <f t="shared" si="225"/>
        <v>0.27039213470485546</v>
      </c>
      <c r="BH102" s="17">
        <f t="shared" si="225"/>
        <v>0.63182911632968519</v>
      </c>
      <c r="BI102" s="17">
        <f t="shared" si="226"/>
        <v>0.5965050849608744</v>
      </c>
      <c r="BK102" s="17">
        <f t="shared" si="227"/>
        <v>0.51120559342368033</v>
      </c>
      <c r="BL102" s="17">
        <f t="shared" si="228"/>
        <v>2.6367869437492031</v>
      </c>
      <c r="BM102" s="17">
        <f t="shared" si="229"/>
        <v>2.9959490852437209</v>
      </c>
      <c r="BO102" t="str">
        <f t="shared" si="250"/>
        <v>71 Sales occupations</v>
      </c>
      <c r="BP102" s="17">
        <f t="shared" si="230"/>
        <v>-3.9201722464222266</v>
      </c>
      <c r="BQ102" s="17">
        <f t="shared" si="230"/>
        <v>-3.2457678241336718</v>
      </c>
      <c r="BR102" s="17">
        <f t="shared" si="230"/>
        <v>-2.161658860233584</v>
      </c>
      <c r="BS102" s="17">
        <f t="shared" si="230"/>
        <v>-2.2361056135513091</v>
      </c>
      <c r="BT102" s="17">
        <f t="shared" si="231"/>
        <v>-2.2762736061839206</v>
      </c>
      <c r="BV102" s="17">
        <f t="shared" si="232"/>
        <v>-2.2112963254328655</v>
      </c>
      <c r="BW102" s="17">
        <f t="shared" si="233"/>
        <v>2.1986834515503428</v>
      </c>
      <c r="BX102" s="17">
        <f t="shared" si="234"/>
        <v>0.64213647373319027</v>
      </c>
      <c r="BZ102" t="str">
        <f t="shared" si="251"/>
        <v>71 Sales occupations</v>
      </c>
      <c r="CA102" s="17">
        <f t="shared" si="235"/>
        <v>-2.7978902040807219</v>
      </c>
      <c r="CB102" s="17">
        <f t="shared" si="235"/>
        <v>-10.406852654824606</v>
      </c>
      <c r="CC102" s="17">
        <f t="shared" si="235"/>
        <v>-4.5747772242893063</v>
      </c>
      <c r="CD102" s="17">
        <f t="shared" si="235"/>
        <v>-7.4831230948403711</v>
      </c>
      <c r="CE102" s="17">
        <f t="shared" si="236"/>
        <v>-6.7712156028855048</v>
      </c>
      <c r="CG102" s="17">
        <f t="shared" si="237"/>
        <v>-6.523659172158025</v>
      </c>
      <c r="CH102" s="17">
        <f t="shared" si="238"/>
        <v>1.4496001045811502</v>
      </c>
      <c r="CI102" s="17">
        <f t="shared" si="239"/>
        <v>-3.3003318910921897</v>
      </c>
      <c r="CK102" t="str">
        <f t="shared" si="252"/>
        <v>71 Sales occupations</v>
      </c>
      <c r="CL102" s="17">
        <f t="shared" si="240"/>
        <v>-5.0629196053175507</v>
      </c>
      <c r="CM102" s="17">
        <f t="shared" si="240"/>
        <v>-27.823438693776069</v>
      </c>
      <c r="CN102" s="17">
        <f t="shared" si="240"/>
        <v>-6.1076827019124647</v>
      </c>
      <c r="CO102" s="17">
        <f t="shared" si="240"/>
        <v>-5.092099606327249</v>
      </c>
      <c r="CP102" s="17">
        <f t="shared" si="241"/>
        <v>-7.0154843147338886</v>
      </c>
      <c r="CR102" s="17">
        <f t="shared" si="242"/>
        <v>-5.4318420318288707</v>
      </c>
      <c r="CS102" s="17">
        <f t="shared" si="243"/>
        <v>0.98551373903235095</v>
      </c>
      <c r="CT102" s="17">
        <f t="shared" si="244"/>
        <v>-3.4437531504888819</v>
      </c>
    </row>
    <row r="103" spans="1:98" x14ac:dyDescent="0.3">
      <c r="A103" t="str">
        <f t="shared" si="199"/>
        <v>72 Customer service occupations</v>
      </c>
      <c r="B103" s="17">
        <f t="shared" si="200"/>
        <v>4.4099896770060543</v>
      </c>
      <c r="C103" s="17">
        <f t="shared" si="200"/>
        <v>6.1750251966818936E-2</v>
      </c>
      <c r="D103" s="17">
        <f t="shared" si="200"/>
        <v>11.182346772397423</v>
      </c>
      <c r="E103" s="17">
        <f t="shared" si="200"/>
        <v>3.9991588347782825</v>
      </c>
      <c r="F103" s="17">
        <f t="shared" si="201"/>
        <v>5.9367381292851018</v>
      </c>
      <c r="H103" s="17">
        <f t="shared" si="202"/>
        <v>6.3404507018388623</v>
      </c>
      <c r="I103" s="17">
        <f t="shared" si="203"/>
        <v>4.2540290283646032</v>
      </c>
      <c r="J103" s="17">
        <f t="shared" si="204"/>
        <v>8.4636918781491701</v>
      </c>
      <c r="L103" t="str">
        <f t="shared" si="245"/>
        <v>72 Customer service occupations</v>
      </c>
      <c r="M103" s="17">
        <f t="shared" si="205"/>
        <v>8.484338520103929</v>
      </c>
      <c r="N103" s="17">
        <f t="shared" si="205"/>
        <v>-2.2438584066439393</v>
      </c>
      <c r="O103" s="17">
        <f t="shared" si="205"/>
        <v>11.138890878641305</v>
      </c>
      <c r="P103" s="17">
        <f t="shared" si="205"/>
        <v>4.135603521923481</v>
      </c>
      <c r="Q103" s="17">
        <f t="shared" si="206"/>
        <v>5.856290357450078</v>
      </c>
      <c r="S103" s="17">
        <f t="shared" si="207"/>
        <v>6.4195729194034934</v>
      </c>
      <c r="T103" s="17">
        <f t="shared" si="208"/>
        <v>4.4677981855735238</v>
      </c>
      <c r="U103" s="17">
        <f t="shared" si="209"/>
        <v>8.6464239662748188</v>
      </c>
      <c r="W103" t="str">
        <f t="shared" si="246"/>
        <v>72 Customer service occupations</v>
      </c>
      <c r="X103" s="17">
        <f t="shared" si="210"/>
        <v>3.5679250857197253</v>
      </c>
      <c r="Y103" s="17">
        <f t="shared" si="210"/>
        <v>17.72472478336762</v>
      </c>
      <c r="Z103" s="17">
        <f t="shared" si="210"/>
        <v>5.7180016925680865</v>
      </c>
      <c r="AA103" s="17">
        <f t="shared" si="210"/>
        <v>3.2808069436145892</v>
      </c>
      <c r="AB103" s="17">
        <f t="shared" si="211"/>
        <v>4.8909550398303248</v>
      </c>
      <c r="AD103" s="17">
        <f t="shared" si="212"/>
        <v>4.0868974159485649</v>
      </c>
      <c r="AE103" s="17">
        <f t="shared" si="213"/>
        <v>3.8158697982102252</v>
      </c>
      <c r="AF103" s="17">
        <f t="shared" si="214"/>
        <v>6.5151971198982972</v>
      </c>
      <c r="AH103" t="str">
        <f t="shared" si="247"/>
        <v>72 Customer service occupations</v>
      </c>
      <c r="AI103" s="17">
        <f t="shared" si="215"/>
        <v>4.6519108703771295</v>
      </c>
      <c r="AJ103" s="17">
        <f t="shared" si="215"/>
        <v>23.699367023288609</v>
      </c>
      <c r="AK103" s="17">
        <f t="shared" si="215"/>
        <v>5.7888283924272921</v>
      </c>
      <c r="AL103" s="17">
        <f t="shared" si="215"/>
        <v>3.3220657640272488</v>
      </c>
      <c r="AM103" s="17">
        <f t="shared" si="216"/>
        <v>5.2642941215483186</v>
      </c>
      <c r="AO103" s="17">
        <f t="shared" si="217"/>
        <v>4.1378617721065103</v>
      </c>
      <c r="AP103" s="17">
        <f t="shared" si="218"/>
        <v>3.9603421582960374</v>
      </c>
      <c r="AQ103" s="17">
        <f t="shared" si="219"/>
        <v>6.6528216594389233</v>
      </c>
      <c r="AS103" t="str">
        <f t="shared" si="248"/>
        <v>72 Customer service occupations</v>
      </c>
      <c r="AT103" s="17">
        <f t="shared" si="220"/>
        <v>2.8743211866348872</v>
      </c>
      <c r="AU103" s="17">
        <f t="shared" si="220"/>
        <v>18.262678138971822</v>
      </c>
      <c r="AV103" s="17">
        <f t="shared" si="220"/>
        <v>4.5176380979361719</v>
      </c>
      <c r="AW103" s="17">
        <f t="shared" si="220"/>
        <v>2.3134739143750194</v>
      </c>
      <c r="AX103" s="17">
        <f t="shared" si="221"/>
        <v>3.9340251679276905</v>
      </c>
      <c r="AZ103" s="17">
        <f t="shared" si="222"/>
        <v>3.042981468621675</v>
      </c>
      <c r="BA103" s="17">
        <f t="shared" si="223"/>
        <v>3.4319335517823957</v>
      </c>
      <c r="BB103" s="17">
        <f t="shared" si="224"/>
        <v>5.4816082962343193</v>
      </c>
      <c r="BD103" t="str">
        <f t="shared" si="249"/>
        <v>72 Customer service occupations</v>
      </c>
      <c r="BE103" s="17">
        <f t="shared" si="225"/>
        <v>0.43751240675189429</v>
      </c>
      <c r="BF103" s="17">
        <f t="shared" si="225"/>
        <v>3.4979842033607156</v>
      </c>
      <c r="BG103" s="17">
        <f t="shared" si="225"/>
        <v>5.0651769161167426</v>
      </c>
      <c r="BH103" s="17">
        <f t="shared" si="225"/>
        <v>1.152305984223001</v>
      </c>
      <c r="BI103" s="17">
        <f t="shared" si="226"/>
        <v>2.505928641914501</v>
      </c>
      <c r="BK103" s="17">
        <f t="shared" si="227"/>
        <v>2.4401307192975397</v>
      </c>
      <c r="BL103" s="17">
        <f t="shared" si="228"/>
        <v>3.1742746344924466</v>
      </c>
      <c r="BM103" s="17">
        <f t="shared" si="229"/>
        <v>4.8459401898829579</v>
      </c>
      <c r="BO103" t="str">
        <f t="shared" si="250"/>
        <v>72 Customer service occupations</v>
      </c>
      <c r="BP103" s="17">
        <f t="shared" si="230"/>
        <v>2.6922125359438498</v>
      </c>
      <c r="BQ103" s="17">
        <f t="shared" si="230"/>
        <v>-7.2641481442123235</v>
      </c>
      <c r="BR103" s="17">
        <f t="shared" si="230"/>
        <v>4.9712203667488186</v>
      </c>
      <c r="BS103" s="17">
        <f t="shared" si="230"/>
        <v>-0.12206604582921665</v>
      </c>
      <c r="BT103" s="17">
        <f t="shared" si="231"/>
        <v>0.97314882590662233</v>
      </c>
      <c r="BV103" s="17">
        <f t="shared" si="232"/>
        <v>1.547627704521215</v>
      </c>
      <c r="BW103" s="17">
        <f t="shared" si="233"/>
        <v>3.1695084369944171</v>
      </c>
      <c r="BX103" s="17">
        <f t="shared" si="234"/>
        <v>4.2087458301068637</v>
      </c>
      <c r="BZ103" t="str">
        <f t="shared" si="251"/>
        <v>72 Customer service occupations</v>
      </c>
      <c r="CA103" s="17">
        <f t="shared" si="235"/>
        <v>-0.29804355377327507</v>
      </c>
      <c r="CB103" s="17">
        <f t="shared" si="235"/>
        <v>-6.993511812881148</v>
      </c>
      <c r="CC103" s="17">
        <f t="shared" si="235"/>
        <v>1.5419245272039417</v>
      </c>
      <c r="CD103" s="17">
        <f t="shared" si="235"/>
        <v>-0.83530512041047889</v>
      </c>
      <c r="CE103" s="17">
        <f t="shared" si="236"/>
        <v>-0.49797087136642659</v>
      </c>
      <c r="CG103" s="17">
        <f t="shared" si="237"/>
        <v>-4.9144257896549526E-2</v>
      </c>
      <c r="CH103" s="17">
        <f t="shared" si="238"/>
        <v>2.0456049318786418</v>
      </c>
      <c r="CI103" s="17">
        <f t="shared" si="239"/>
        <v>2.0086254821948035</v>
      </c>
      <c r="CK103" t="str">
        <f t="shared" si="252"/>
        <v>72 Customer service occupations</v>
      </c>
      <c r="CL103" s="17">
        <f t="shared" si="240"/>
        <v>4.8497355323703584</v>
      </c>
      <c r="CM103" s="17">
        <f t="shared" si="240"/>
        <v>-17.330173843416731</v>
      </c>
      <c r="CN103" s="17">
        <f t="shared" si="240"/>
        <v>6.6788935710072606</v>
      </c>
      <c r="CO103" s="17">
        <f t="shared" si="240"/>
        <v>0.73733579714079234</v>
      </c>
      <c r="CP103" s="17">
        <f t="shared" si="241"/>
        <v>1.2984404457773158</v>
      </c>
      <c r="CR103" s="17">
        <f t="shared" si="242"/>
        <v>2.6801453628051641</v>
      </c>
      <c r="CS103" s="17">
        <f t="shared" si="243"/>
        <v>2.3620645735989321</v>
      </c>
      <c r="CT103" s="17">
        <f t="shared" si="244"/>
        <v>4.3948945096933256</v>
      </c>
    </row>
    <row r="104" spans="1:98" x14ac:dyDescent="0.3">
      <c r="A104" t="str">
        <f t="shared" si="199"/>
        <v>81 Process, plant and machine operatives</v>
      </c>
      <c r="B104" s="17">
        <f t="shared" si="200"/>
        <v>6.6910814809959973</v>
      </c>
      <c r="C104" s="17">
        <f t="shared" si="200"/>
        <v>-13.969491893656338</v>
      </c>
      <c r="D104" s="17">
        <f t="shared" si="200"/>
        <v>12.397078730427635</v>
      </c>
      <c r="E104" s="17">
        <f t="shared" si="200"/>
        <v>6.0092072722548684</v>
      </c>
      <c r="F104" s="17">
        <f t="shared" si="201"/>
        <v>6.5654608069814158</v>
      </c>
      <c r="H104" s="17">
        <f t="shared" si="202"/>
        <v>8.0971056987682033</v>
      </c>
      <c r="I104" s="17">
        <f t="shared" si="203"/>
        <v>5.4297690640880525</v>
      </c>
      <c r="J104" s="17">
        <f t="shared" si="204"/>
        <v>10.424189847580001</v>
      </c>
      <c r="L104" t="str">
        <f t="shared" si="245"/>
        <v>81 Process, plant and machine operatives</v>
      </c>
      <c r="M104" s="17">
        <f t="shared" si="205"/>
        <v>4.8925798500389694</v>
      </c>
      <c r="N104" s="17">
        <f t="shared" si="205"/>
        <v>-12.135934290729944</v>
      </c>
      <c r="O104" s="17">
        <f t="shared" si="205"/>
        <v>13.092424492817511</v>
      </c>
      <c r="P104" s="17">
        <f t="shared" si="205"/>
        <v>5.1026204670606923</v>
      </c>
      <c r="Q104" s="17">
        <f t="shared" si="206"/>
        <v>6.3395074542557994</v>
      </c>
      <c r="S104" s="17">
        <f t="shared" si="207"/>
        <v>7.7011153861399118</v>
      </c>
      <c r="T104" s="17">
        <f t="shared" si="208"/>
        <v>4.8765698695669712</v>
      </c>
      <c r="U104" s="17">
        <f t="shared" si="209"/>
        <v>9.8373978622609215</v>
      </c>
      <c r="W104" t="str">
        <f t="shared" si="246"/>
        <v>81 Process, plant and machine operatives</v>
      </c>
      <c r="X104" s="17">
        <f t="shared" si="210"/>
        <v>0.32384829144058713</v>
      </c>
      <c r="Y104" s="17">
        <f t="shared" si="210"/>
        <v>8.9252743304561335</v>
      </c>
      <c r="Z104" s="17">
        <f t="shared" si="210"/>
        <v>9.0723282145688486</v>
      </c>
      <c r="AA104" s="17">
        <f t="shared" si="210"/>
        <v>5.5238783202933517</v>
      </c>
      <c r="AB104" s="17">
        <f t="shared" si="211"/>
        <v>6.8318044741905837</v>
      </c>
      <c r="AD104" s="17">
        <f t="shared" si="212"/>
        <v>6.6936790316733497</v>
      </c>
      <c r="AE104" s="17">
        <f t="shared" si="213"/>
        <v>4.5355976872691661</v>
      </c>
      <c r="AF104" s="17">
        <f t="shared" si="214"/>
        <v>8.8907299621941114</v>
      </c>
      <c r="AH104" t="str">
        <f t="shared" si="247"/>
        <v>81 Process, plant and machine operatives</v>
      </c>
      <c r="AI104" s="17">
        <f t="shared" si="215"/>
        <v>0.1073216132559951</v>
      </c>
      <c r="AJ104" s="17">
        <f t="shared" si="215"/>
        <v>12.684693317176855</v>
      </c>
      <c r="AK104" s="17">
        <f t="shared" si="215"/>
        <v>7.5762688371461273</v>
      </c>
      <c r="AL104" s="17">
        <f t="shared" si="215"/>
        <v>3.5591871555578747</v>
      </c>
      <c r="AM104" s="17">
        <f t="shared" si="216"/>
        <v>5.3527442453050744</v>
      </c>
      <c r="AO104" s="17">
        <f t="shared" si="217"/>
        <v>4.8812644011313688</v>
      </c>
      <c r="AP104" s="17">
        <f t="shared" si="218"/>
        <v>3.8136856297385391</v>
      </c>
      <c r="AQ104" s="17">
        <f t="shared" si="219"/>
        <v>7.0977779467129354</v>
      </c>
      <c r="AS104" t="str">
        <f t="shared" si="248"/>
        <v>81 Process, plant and machine operatives</v>
      </c>
      <c r="AT104" s="17">
        <f t="shared" si="220"/>
        <v>0.33051249756039791</v>
      </c>
      <c r="AU104" s="17">
        <f t="shared" si="220"/>
        <v>2.7480890289336646</v>
      </c>
      <c r="AV104" s="17">
        <f t="shared" si="220"/>
        <v>8.0974501012721856</v>
      </c>
      <c r="AW104" s="17">
        <f t="shared" si="220"/>
        <v>3.3058613865794673</v>
      </c>
      <c r="AX104" s="17">
        <f t="shared" si="221"/>
        <v>4.7445148668967763</v>
      </c>
      <c r="AZ104" s="17">
        <f t="shared" si="222"/>
        <v>4.8789809034432086</v>
      </c>
      <c r="BA104" s="17">
        <f t="shared" si="223"/>
        <v>3.8584017218680433</v>
      </c>
      <c r="BB104" s="17">
        <f t="shared" si="224"/>
        <v>7.1250266456147626</v>
      </c>
      <c r="BD104" t="str">
        <f t="shared" si="249"/>
        <v>81 Process, plant and machine operatives</v>
      </c>
      <c r="BE104" s="17">
        <f t="shared" si="225"/>
        <v>0.96379251701128599</v>
      </c>
      <c r="BF104" s="17">
        <f t="shared" si="225"/>
        <v>-14.970673669377</v>
      </c>
      <c r="BG104" s="17">
        <f t="shared" si="225"/>
        <v>7.8303085113015092</v>
      </c>
      <c r="BH104" s="17">
        <f t="shared" si="225"/>
        <v>1.9024696253221007</v>
      </c>
      <c r="BI104" s="17">
        <f t="shared" si="226"/>
        <v>2.5522054084407664</v>
      </c>
      <c r="BK104" s="17">
        <f t="shared" si="227"/>
        <v>3.8412933881885047</v>
      </c>
      <c r="BL104" s="17">
        <f t="shared" si="228"/>
        <v>2.9472078363578458</v>
      </c>
      <c r="BM104" s="17">
        <f t="shared" si="229"/>
        <v>5.7287247146419418</v>
      </c>
      <c r="BO104" t="str">
        <f t="shared" si="250"/>
        <v>81 Process, plant and machine operatives</v>
      </c>
      <c r="BP104" s="17">
        <f t="shared" si="230"/>
        <v>-0.39212679176416909</v>
      </c>
      <c r="BQ104" s="17">
        <f t="shared" si="230"/>
        <v>-4.0575828855461733</v>
      </c>
      <c r="BR104" s="17">
        <f t="shared" si="230"/>
        <v>4.5907382974922806</v>
      </c>
      <c r="BS104" s="17">
        <f t="shared" si="230"/>
        <v>0.44920808342590046</v>
      </c>
      <c r="BT104" s="17">
        <f t="shared" si="231"/>
        <v>1.4340750164280269</v>
      </c>
      <c r="BV104" s="17">
        <f t="shared" si="232"/>
        <v>1.8111682911708726</v>
      </c>
      <c r="BW104" s="17">
        <f t="shared" si="233"/>
        <v>2.7486997042959871</v>
      </c>
      <c r="BX104" s="17">
        <f t="shared" si="234"/>
        <v>4.0381891276707105</v>
      </c>
      <c r="BZ104" t="str">
        <f t="shared" si="251"/>
        <v>81 Process, plant and machine operatives</v>
      </c>
      <c r="CA104" s="17">
        <f t="shared" si="235"/>
        <v>-1.8180354198665483</v>
      </c>
      <c r="CB104" s="17">
        <f t="shared" si="235"/>
        <v>-15.798835192466832</v>
      </c>
      <c r="CC104" s="17">
        <f t="shared" si="235"/>
        <v>2.266192447871429</v>
      </c>
      <c r="CD104" s="17">
        <f t="shared" si="235"/>
        <v>-7.8525822340881568</v>
      </c>
      <c r="CE104" s="17">
        <f t="shared" si="236"/>
        <v>-5.3380079866325207</v>
      </c>
      <c r="CG104" s="17">
        <f t="shared" si="237"/>
        <v>-4.5960970530645735</v>
      </c>
      <c r="CH104" s="17">
        <f t="shared" si="238"/>
        <v>1.9082994365046346</v>
      </c>
      <c r="CI104" s="17">
        <f t="shared" si="239"/>
        <v>-1.3017434843631492</v>
      </c>
      <c r="CK104" t="str">
        <f t="shared" si="252"/>
        <v>81 Process, plant and machine operatives</v>
      </c>
      <c r="CL104" s="17">
        <f t="shared" si="240"/>
        <v>-4.884785658180002</v>
      </c>
      <c r="CM104" s="17">
        <f t="shared" si="240"/>
        <v>-32.36933576049271</v>
      </c>
      <c r="CN104" s="17">
        <f t="shared" si="240"/>
        <v>-9.9461346875216137</v>
      </c>
      <c r="CO104" s="17">
        <f t="shared" si="240"/>
        <v>-8.3002668809075928</v>
      </c>
      <c r="CP104" s="17">
        <f t="shared" si="241"/>
        <v>-10.536474156095753</v>
      </c>
      <c r="CR104" s="17">
        <f t="shared" si="242"/>
        <v>-8.8522049169492139</v>
      </c>
      <c r="CS104" s="17">
        <f t="shared" si="243"/>
        <v>0.75568834252484063</v>
      </c>
      <c r="CT104" s="17">
        <f t="shared" si="244"/>
        <v>-6.4380041299446074</v>
      </c>
    </row>
    <row r="105" spans="1:98" x14ac:dyDescent="0.3">
      <c r="A105" t="str">
        <f t="shared" si="199"/>
        <v>82 Transport and mobile machine drivers and operatives</v>
      </c>
      <c r="B105" s="17">
        <f t="shared" si="200"/>
        <v>10.860121619258646</v>
      </c>
      <c r="C105" s="17">
        <f t="shared" si="200"/>
        <v>-2.3129417250224438</v>
      </c>
      <c r="D105" s="17">
        <f t="shared" si="200"/>
        <v>10.411334128178495</v>
      </c>
      <c r="E105" s="17">
        <f t="shared" si="200"/>
        <v>3.3730228389639683</v>
      </c>
      <c r="F105" s="17">
        <f t="shared" si="201"/>
        <v>5.1504395701791772</v>
      </c>
      <c r="H105" s="17">
        <f t="shared" si="202"/>
        <v>5.6678075651107385</v>
      </c>
      <c r="I105" s="17">
        <f t="shared" si="203"/>
        <v>5.2714074081500417</v>
      </c>
      <c r="J105" s="17">
        <f t="shared" si="204"/>
        <v>8.6006259052742173</v>
      </c>
      <c r="L105" t="str">
        <f t="shared" si="245"/>
        <v>82 Transport and mobile machine drivers and operatives</v>
      </c>
      <c r="M105" s="17">
        <f t="shared" si="205"/>
        <v>8.1432627461638809</v>
      </c>
      <c r="N105" s="17">
        <f t="shared" si="205"/>
        <v>0.37978954811339616</v>
      </c>
      <c r="O105" s="17">
        <f t="shared" si="205"/>
        <v>8.2272321475941332</v>
      </c>
      <c r="P105" s="17">
        <f t="shared" si="205"/>
        <v>3.4689546635566559</v>
      </c>
      <c r="Q105" s="17">
        <f t="shared" si="206"/>
        <v>4.7344010414422266</v>
      </c>
      <c r="S105" s="17">
        <f t="shared" si="207"/>
        <v>5.0313364386722403</v>
      </c>
      <c r="T105" s="17">
        <f t="shared" si="208"/>
        <v>4.8559945010266725</v>
      </c>
      <c r="U105" s="17">
        <f t="shared" si="209"/>
        <v>7.8917795232211541</v>
      </c>
      <c r="W105" t="str">
        <f t="shared" si="246"/>
        <v>82 Transport and mobile machine drivers and operatives</v>
      </c>
      <c r="X105" s="17">
        <f t="shared" si="210"/>
        <v>6.6855562691126469</v>
      </c>
      <c r="Y105" s="17">
        <f t="shared" si="210"/>
        <v>7.5007725692844307</v>
      </c>
      <c r="Z105" s="17">
        <f t="shared" si="210"/>
        <v>5.0072052009471291</v>
      </c>
      <c r="AA105" s="17">
        <f t="shared" si="210"/>
        <v>3.0731716562630629</v>
      </c>
      <c r="AB105" s="17">
        <f t="shared" si="211"/>
        <v>3.9465830481922426</v>
      </c>
      <c r="AD105" s="17">
        <f t="shared" si="212"/>
        <v>3.713858838895967</v>
      </c>
      <c r="AE105" s="17">
        <f t="shared" si="213"/>
        <v>4.4896238084499052</v>
      </c>
      <c r="AF105" s="17">
        <f t="shared" si="214"/>
        <v>6.7407306614739371</v>
      </c>
      <c r="AH105" t="str">
        <f t="shared" si="247"/>
        <v>82 Transport and mobile machine drivers and operatives</v>
      </c>
      <c r="AI105" s="17">
        <f t="shared" si="215"/>
        <v>7.1841310686795223</v>
      </c>
      <c r="AJ105" s="17">
        <f t="shared" si="215"/>
        <v>6.8986083609134052</v>
      </c>
      <c r="AK105" s="17">
        <f t="shared" si="215"/>
        <v>5.5551327461156541</v>
      </c>
      <c r="AL105" s="17">
        <f t="shared" si="215"/>
        <v>2.4245178440603476</v>
      </c>
      <c r="AM105" s="17">
        <f t="shared" si="216"/>
        <v>3.6693814227375166</v>
      </c>
      <c r="AO105" s="17">
        <f t="shared" si="217"/>
        <v>3.4576011351111768</v>
      </c>
      <c r="AP105" s="17">
        <f t="shared" si="218"/>
        <v>4.4534938755659947</v>
      </c>
      <c r="AQ105" s="17">
        <f t="shared" si="219"/>
        <v>6.5430719964173933</v>
      </c>
      <c r="AS105" t="str">
        <f t="shared" si="248"/>
        <v>82 Transport and mobile machine drivers and operatives</v>
      </c>
      <c r="AT105" s="17">
        <f t="shared" si="220"/>
        <v>5.965137221440675</v>
      </c>
      <c r="AU105" s="17">
        <f t="shared" si="220"/>
        <v>6.926496046970243</v>
      </c>
      <c r="AV105" s="17">
        <f t="shared" si="220"/>
        <v>5.1586572204015413</v>
      </c>
      <c r="AW105" s="17">
        <f t="shared" si="220"/>
        <v>2.1974585030547944</v>
      </c>
      <c r="AX105" s="17">
        <f t="shared" si="221"/>
        <v>3.4056968669957888</v>
      </c>
      <c r="AZ105" s="17">
        <f t="shared" si="222"/>
        <v>3.1751418008229004</v>
      </c>
      <c r="BA105" s="17">
        <f t="shared" si="223"/>
        <v>4.3983289489663679</v>
      </c>
      <c r="BB105" s="17">
        <f t="shared" si="224"/>
        <v>6.3143640158387582</v>
      </c>
      <c r="BD105" t="str">
        <f t="shared" si="249"/>
        <v>82 Transport and mobile machine drivers and operatives</v>
      </c>
      <c r="BE105" s="17">
        <f t="shared" si="225"/>
        <v>5.3533130866122436</v>
      </c>
      <c r="BF105" s="17">
        <f t="shared" si="225"/>
        <v>-16.09793130240006</v>
      </c>
      <c r="BG105" s="17">
        <f t="shared" si="225"/>
        <v>5.0745501690728112</v>
      </c>
      <c r="BH105" s="17">
        <f t="shared" si="225"/>
        <v>1.6143594857610966</v>
      </c>
      <c r="BI105" s="17">
        <f t="shared" si="226"/>
        <v>1.4613649101504533</v>
      </c>
      <c r="BK105" s="17">
        <f t="shared" si="227"/>
        <v>2.7549066716219928</v>
      </c>
      <c r="BL105" s="17">
        <f t="shared" si="228"/>
        <v>3.4534718289880972</v>
      </c>
      <c r="BM105" s="17">
        <f t="shared" si="229"/>
        <v>5.2920147805937789</v>
      </c>
      <c r="BO105" t="str">
        <f t="shared" si="250"/>
        <v>82 Transport and mobile machine drivers and operatives</v>
      </c>
      <c r="BP105" s="17">
        <f t="shared" si="230"/>
        <v>3.4108295914327957</v>
      </c>
      <c r="BQ105" s="17">
        <f t="shared" si="230"/>
        <v>-3.3404314839839411</v>
      </c>
      <c r="BR105" s="17">
        <f t="shared" si="230"/>
        <v>1.7858694548459786</v>
      </c>
      <c r="BS105" s="17">
        <f t="shared" si="230"/>
        <v>0.31186320888774155</v>
      </c>
      <c r="BT105" s="17">
        <f t="shared" si="231"/>
        <v>0.53686295162627129</v>
      </c>
      <c r="BV105" s="17">
        <f t="shared" si="232"/>
        <v>0.80081148038673167</v>
      </c>
      <c r="BW105" s="17">
        <f t="shared" si="233"/>
        <v>3.209353520036351</v>
      </c>
      <c r="BX105" s="17">
        <f t="shared" si="234"/>
        <v>3.7346815917767007</v>
      </c>
      <c r="BZ105" t="str">
        <f t="shared" si="251"/>
        <v>82 Transport and mobile machine drivers and operatives</v>
      </c>
      <c r="CA105" s="17">
        <f t="shared" si="235"/>
        <v>1.0878590990185177</v>
      </c>
      <c r="CB105" s="17">
        <f t="shared" si="235"/>
        <v>-17.176073910707334</v>
      </c>
      <c r="CC105" s="17">
        <f t="shared" si="235"/>
        <v>0.29924947149864156</v>
      </c>
      <c r="CD105" s="17">
        <f t="shared" si="235"/>
        <v>-1.5085589403793787</v>
      </c>
      <c r="CE105" s="17">
        <f t="shared" si="236"/>
        <v>-2.0139339971948167</v>
      </c>
      <c r="CG105" s="17">
        <f t="shared" si="237"/>
        <v>-0.90960591482490694</v>
      </c>
      <c r="CH105" s="17">
        <f t="shared" si="238"/>
        <v>2.5218690149432899</v>
      </c>
      <c r="CI105" s="17">
        <f t="shared" si="239"/>
        <v>1.8930410253326535</v>
      </c>
      <c r="CK105" t="str">
        <f t="shared" si="252"/>
        <v>82 Transport and mobile machine drivers and operatives</v>
      </c>
      <c r="CL105" s="17">
        <f t="shared" si="240"/>
        <v>4.6470294895276876</v>
      </c>
      <c r="CM105" s="17">
        <f t="shared" si="240"/>
        <v>-26.687206457221347</v>
      </c>
      <c r="CN105" s="17">
        <f t="shared" si="240"/>
        <v>-2.6068091608469235</v>
      </c>
      <c r="CO105" s="17">
        <f t="shared" si="240"/>
        <v>-4.9680072262074271</v>
      </c>
      <c r="CP105" s="17">
        <f t="shared" si="241"/>
        <v>-5.776860877071865</v>
      </c>
      <c r="CR105" s="17">
        <f t="shared" si="242"/>
        <v>-4.1873712612978125</v>
      </c>
      <c r="CS105" s="17">
        <f t="shared" si="243"/>
        <v>1.6962271895174519</v>
      </c>
      <c r="CT105" s="17">
        <f t="shared" si="244"/>
        <v>-1.367338769073001</v>
      </c>
    </row>
    <row r="106" spans="1:98" x14ac:dyDescent="0.3">
      <c r="A106" t="str">
        <f t="shared" si="199"/>
        <v>91 Elementary trades and related occupations</v>
      </c>
      <c r="B106" s="17">
        <f t="shared" si="200"/>
        <v>-6.1962196973622374</v>
      </c>
      <c r="C106" s="17">
        <f t="shared" si="200"/>
        <v>15.407328529343856</v>
      </c>
      <c r="D106" s="17">
        <f t="shared" si="200"/>
        <v>4.1145607672542717</v>
      </c>
      <c r="E106" s="17">
        <f t="shared" si="200"/>
        <v>3.7884096971654735</v>
      </c>
      <c r="F106" s="17">
        <f t="shared" si="201"/>
        <v>4.5815218882684583</v>
      </c>
      <c r="H106" s="17">
        <f t="shared" si="202"/>
        <v>3.8970130392426139</v>
      </c>
      <c r="I106" s="17">
        <f t="shared" si="203"/>
        <v>4.3046892113802526</v>
      </c>
      <c r="J106" s="17">
        <f t="shared" si="204"/>
        <v>6.7291494028314247</v>
      </c>
      <c r="L106" t="str">
        <f t="shared" si="245"/>
        <v>91 Elementary trades and related occupations</v>
      </c>
      <c r="M106" s="17">
        <f t="shared" si="205"/>
        <v>1.1942646054781791</v>
      </c>
      <c r="N106" s="17">
        <f t="shared" si="205"/>
        <v>-3.4627026819417872</v>
      </c>
      <c r="O106" s="17">
        <f t="shared" si="205"/>
        <v>4.6552631540247358</v>
      </c>
      <c r="P106" s="17">
        <f t="shared" si="205"/>
        <v>3.2635058253957183</v>
      </c>
      <c r="Q106" s="17">
        <f t="shared" si="206"/>
        <v>3.260820720266322</v>
      </c>
      <c r="S106" s="17">
        <f t="shared" si="207"/>
        <v>3.7253562100541204</v>
      </c>
      <c r="T106" s="17">
        <f t="shared" si="208"/>
        <v>3.6580962973561837</v>
      </c>
      <c r="U106" s="17">
        <f t="shared" si="209"/>
        <v>6.1416727968768736</v>
      </c>
      <c r="W106" t="str">
        <f t="shared" si="246"/>
        <v>91 Elementary trades and related occupations</v>
      </c>
      <c r="X106" s="17">
        <f t="shared" si="210"/>
        <v>-1.0047810987382055</v>
      </c>
      <c r="Y106" s="17">
        <f t="shared" si="210"/>
        <v>-0.71263590406556165</v>
      </c>
      <c r="Z106" s="17">
        <f t="shared" si="210"/>
        <v>-1.2380438013435024</v>
      </c>
      <c r="AA106" s="17">
        <f t="shared" si="210"/>
        <v>1.6733288745340857</v>
      </c>
      <c r="AB106" s="17">
        <f t="shared" si="211"/>
        <v>0.60499684423360733</v>
      </c>
      <c r="AD106" s="17">
        <f t="shared" si="212"/>
        <v>0.69345820744488584</v>
      </c>
      <c r="AE106" s="17">
        <f t="shared" si="213"/>
        <v>3.1007664567190618</v>
      </c>
      <c r="AF106" s="17">
        <f t="shared" si="214"/>
        <v>3.560955894439366</v>
      </c>
      <c r="AH106" t="str">
        <f t="shared" si="247"/>
        <v>91 Elementary trades and related occupations</v>
      </c>
      <c r="AI106" s="17">
        <f t="shared" si="215"/>
        <v>-0.46207500616791686</v>
      </c>
      <c r="AJ106" s="17">
        <f t="shared" si="215"/>
        <v>-0.61086215207769579</v>
      </c>
      <c r="AK106" s="17">
        <f t="shared" si="215"/>
        <v>0.41669004707818313</v>
      </c>
      <c r="AL106" s="17">
        <f t="shared" si="215"/>
        <v>2.957540905241629</v>
      </c>
      <c r="AM106" s="17">
        <f t="shared" si="216"/>
        <v>1.9317259104769446</v>
      </c>
      <c r="AO106" s="17">
        <f t="shared" si="217"/>
        <v>2.1035263056338183</v>
      </c>
      <c r="AP106" s="17">
        <f t="shared" si="218"/>
        <v>3.4086508787049663</v>
      </c>
      <c r="AQ106" s="17">
        <f t="shared" si="219"/>
        <v>4.7982511867434186</v>
      </c>
      <c r="AS106" t="str">
        <f t="shared" si="248"/>
        <v>91 Elementary trades and related occupations</v>
      </c>
      <c r="AT106" s="17">
        <f t="shared" si="220"/>
        <v>-2.4405637682867187</v>
      </c>
      <c r="AU106" s="17">
        <f t="shared" si="220"/>
        <v>18.475262800064819</v>
      </c>
      <c r="AV106" s="17">
        <f t="shared" si="220"/>
        <v>-0.55066024131406044</v>
      </c>
      <c r="AW106" s="17">
        <f t="shared" si="220"/>
        <v>1.6748689010818163</v>
      </c>
      <c r="AX106" s="17">
        <f t="shared" si="221"/>
        <v>1.943804747104938</v>
      </c>
      <c r="AZ106" s="17">
        <f t="shared" si="222"/>
        <v>0.9275464013236201</v>
      </c>
      <c r="BA106" s="17">
        <f t="shared" si="223"/>
        <v>2.8107345996451816</v>
      </c>
      <c r="BB106" s="17">
        <f t="shared" si="224"/>
        <v>3.4535760326910303</v>
      </c>
      <c r="BD106" t="str">
        <f t="shared" si="249"/>
        <v>91 Elementary trades and related occupations</v>
      </c>
      <c r="BE106" s="17">
        <f t="shared" si="225"/>
        <v>-1.9367378197768792</v>
      </c>
      <c r="BF106" s="17">
        <f t="shared" si="225"/>
        <v>-9.1813907691783552</v>
      </c>
      <c r="BG106" s="17">
        <f t="shared" si="225"/>
        <v>2.2189663321032338</v>
      </c>
      <c r="BH106" s="17">
        <f t="shared" si="225"/>
        <v>2.5313138013529191</v>
      </c>
      <c r="BI106" s="17">
        <f t="shared" si="226"/>
        <v>1.6599386833084928</v>
      </c>
      <c r="BK106" s="17">
        <f t="shared" si="227"/>
        <v>2.4270920741551238</v>
      </c>
      <c r="BL106" s="17">
        <f t="shared" si="228"/>
        <v>2.3501836661605546</v>
      </c>
      <c r="BM106" s="17">
        <f t="shared" si="229"/>
        <v>4.1857127153622553</v>
      </c>
      <c r="BO106" t="str">
        <f t="shared" si="250"/>
        <v>91 Elementary trades and related occupations</v>
      </c>
      <c r="BP106" s="17">
        <f t="shared" si="230"/>
        <v>-3.9842987195165325</v>
      </c>
      <c r="BQ106" s="17">
        <f t="shared" si="230"/>
        <v>1.1706517506189895</v>
      </c>
      <c r="BR106" s="17">
        <f t="shared" si="230"/>
        <v>-3.7394765047887413</v>
      </c>
      <c r="BS106" s="17">
        <f t="shared" si="230"/>
        <v>-0.15473772056652235</v>
      </c>
      <c r="BT106" s="17">
        <f t="shared" si="231"/>
        <v>-1.2076897315487667</v>
      </c>
      <c r="BV106" s="17">
        <f t="shared" si="232"/>
        <v>-1.3642431926153775</v>
      </c>
      <c r="BW106" s="17">
        <f t="shared" si="233"/>
        <v>1.814228162389675</v>
      </c>
      <c r="BX106" s="17">
        <f t="shared" si="234"/>
        <v>0.7785179438348333</v>
      </c>
      <c r="BZ106" t="str">
        <f t="shared" si="251"/>
        <v>91 Elementary trades and related occupations</v>
      </c>
      <c r="CA106" s="17">
        <f t="shared" si="235"/>
        <v>-3.1027450850568572</v>
      </c>
      <c r="CB106" s="17">
        <f t="shared" si="235"/>
        <v>-14.686014522604074</v>
      </c>
      <c r="CC106" s="17">
        <f t="shared" si="235"/>
        <v>-4.1446298245977449</v>
      </c>
      <c r="CD106" s="17">
        <f t="shared" si="235"/>
        <v>-1.9400377795610879</v>
      </c>
      <c r="CE106" s="17">
        <f t="shared" si="236"/>
        <v>-3.4780181296924617</v>
      </c>
      <c r="CG106" s="17">
        <f t="shared" si="237"/>
        <v>-2.680478717470558</v>
      </c>
      <c r="CH106" s="17">
        <f t="shared" si="238"/>
        <v>1.7193466794505285</v>
      </c>
      <c r="CI106" s="17">
        <f t="shared" si="239"/>
        <v>-0.29501189384038007</v>
      </c>
      <c r="CK106" t="str">
        <f t="shared" si="252"/>
        <v>91 Elementary trades and related occupations</v>
      </c>
      <c r="CL106" s="17">
        <f t="shared" si="240"/>
        <v>-3.4667347520958569</v>
      </c>
      <c r="CM106" s="17">
        <f t="shared" si="240"/>
        <v>-25.778894442946189</v>
      </c>
      <c r="CN106" s="17">
        <f t="shared" si="240"/>
        <v>-8.1748682388323104</v>
      </c>
      <c r="CO106" s="17">
        <f t="shared" si="240"/>
        <v>-4.7956153422429431</v>
      </c>
      <c r="CP106" s="17">
        <f t="shared" si="241"/>
        <v>-7.318288463011779</v>
      </c>
      <c r="CR106" s="17">
        <f t="shared" si="242"/>
        <v>-5.9356294569289254</v>
      </c>
      <c r="CS106" s="17">
        <f t="shared" si="243"/>
        <v>1.0493551336460349</v>
      </c>
      <c r="CT106" s="17">
        <f t="shared" si="244"/>
        <v>-3.6907436114077985</v>
      </c>
    </row>
    <row r="107" spans="1:98" x14ac:dyDescent="0.3">
      <c r="A107" t="str">
        <f t="shared" si="199"/>
        <v>92 Elementary administration and service occupations</v>
      </c>
      <c r="B107" s="17">
        <f t="shared" si="200"/>
        <v>2.7945273066883658</v>
      </c>
      <c r="C107" s="17">
        <f t="shared" si="200"/>
        <v>3.4395797081660184</v>
      </c>
      <c r="D107" s="17">
        <f t="shared" si="200"/>
        <v>7.8029361809040632</v>
      </c>
      <c r="E107" s="17">
        <f t="shared" si="200"/>
        <v>2.9564305013228154</v>
      </c>
      <c r="F107" s="17">
        <f t="shared" si="201"/>
        <v>4.4776520920117191</v>
      </c>
      <c r="H107" s="17">
        <f t="shared" si="202"/>
        <v>4.5472261709936124</v>
      </c>
      <c r="I107" s="17">
        <f t="shared" si="203"/>
        <v>4.3755501853639078</v>
      </c>
      <c r="J107" s="17">
        <f t="shared" si="204"/>
        <v>7.2302484458126592</v>
      </c>
      <c r="L107" t="str">
        <f t="shared" ref="L107" si="253">A107</f>
        <v>92 Elementary administration and service occupations</v>
      </c>
      <c r="M107" s="17">
        <f t="shared" si="205"/>
        <v>6.8646931769400954</v>
      </c>
      <c r="N107" s="17">
        <f t="shared" si="205"/>
        <v>1.9229270254682351</v>
      </c>
      <c r="O107" s="17">
        <f t="shared" si="205"/>
        <v>8.0011226911829159</v>
      </c>
      <c r="P107" s="17">
        <f t="shared" si="205"/>
        <v>3.8020375027327802</v>
      </c>
      <c r="Q107" s="17">
        <f t="shared" si="206"/>
        <v>4.9764788033019647</v>
      </c>
      <c r="S107" s="17">
        <f t="shared" si="207"/>
        <v>5.1832717517444893</v>
      </c>
      <c r="T107" s="17">
        <f t="shared" si="208"/>
        <v>4.4906940738346668</v>
      </c>
      <c r="U107" s="17">
        <f t="shared" si="209"/>
        <v>7.7568799659868626</v>
      </c>
      <c r="W107" t="str">
        <f t="shared" ref="W107" si="254">A107</f>
        <v>92 Elementary administration and service occupations</v>
      </c>
      <c r="X107" s="17">
        <f t="shared" si="210"/>
        <v>3.6696476940415224</v>
      </c>
      <c r="Y107" s="17">
        <f t="shared" si="210"/>
        <v>17.963025687062984</v>
      </c>
      <c r="Z107" s="17">
        <f t="shared" si="210"/>
        <v>3.1025903496932683</v>
      </c>
      <c r="AA107" s="17">
        <f t="shared" si="210"/>
        <v>3.0816064545921007</v>
      </c>
      <c r="AB107" s="17">
        <f t="shared" si="211"/>
        <v>3.9606767565062873</v>
      </c>
      <c r="AD107" s="17">
        <f t="shared" si="212"/>
        <v>3.0886006117234244</v>
      </c>
      <c r="AE107" s="17">
        <f t="shared" si="213"/>
        <v>4.0869071826215242</v>
      </c>
      <c r="AF107" s="17">
        <f t="shared" si="214"/>
        <v>6.0155632462733921</v>
      </c>
      <c r="AH107" t="str">
        <f t="shared" ref="AH107" si="255">L107</f>
        <v>92 Elementary administration and service occupations</v>
      </c>
      <c r="AI107" s="17">
        <f t="shared" si="215"/>
        <v>4.570005870169358</v>
      </c>
      <c r="AJ107" s="17">
        <f t="shared" si="215"/>
        <v>17.572547229189617</v>
      </c>
      <c r="AK107" s="17">
        <f t="shared" si="215"/>
        <v>3.105084997702634</v>
      </c>
      <c r="AL107" s="17">
        <f t="shared" si="215"/>
        <v>3.3067224776352377</v>
      </c>
      <c r="AM107" s="17">
        <f t="shared" si="216"/>
        <v>4.0817322018234181</v>
      </c>
      <c r="AO107" s="17">
        <f t="shared" si="217"/>
        <v>3.2394662076551173</v>
      </c>
      <c r="AP107" s="17">
        <f t="shared" si="218"/>
        <v>3.9657408579246045</v>
      </c>
      <c r="AQ107" s="17">
        <f t="shared" si="219"/>
        <v>6.0256091265448841</v>
      </c>
      <c r="AS107" t="str">
        <f t="shared" ref="AS107" si="256">W107</f>
        <v>92 Elementary administration and service occupations</v>
      </c>
      <c r="AT107" s="17">
        <f t="shared" si="220"/>
        <v>2.0337217091556559</v>
      </c>
      <c r="AU107" s="17">
        <f t="shared" si="220"/>
        <v>24.426058085962232</v>
      </c>
      <c r="AV107" s="17">
        <f t="shared" si="220"/>
        <v>2.4376992349825155</v>
      </c>
      <c r="AW107" s="17">
        <f t="shared" si="220"/>
        <v>3.3851457684674902</v>
      </c>
      <c r="AX107" s="17">
        <f t="shared" si="221"/>
        <v>4.2886370148512931</v>
      </c>
      <c r="AZ107" s="17">
        <f t="shared" si="222"/>
        <v>3.0683605787536594</v>
      </c>
      <c r="BA107" s="17">
        <f t="shared" si="223"/>
        <v>3.8748801473842853</v>
      </c>
      <c r="BB107" s="17">
        <f t="shared" si="224"/>
        <v>5.838191355506539</v>
      </c>
      <c r="BD107" t="str">
        <f t="shared" ref="BD107" si="257">AH107</f>
        <v>92 Elementary administration and service occupations</v>
      </c>
      <c r="BE107" s="17">
        <f t="shared" si="225"/>
        <v>-1.9846836471667073</v>
      </c>
      <c r="BF107" s="17">
        <f t="shared" si="225"/>
        <v>-3.5968915999350481</v>
      </c>
      <c r="BG107" s="17">
        <f t="shared" si="225"/>
        <v>1.0064932569266105</v>
      </c>
      <c r="BH107" s="17">
        <f t="shared" si="225"/>
        <v>-1.9830739407600273E-2</v>
      </c>
      <c r="BI107" s="17">
        <f t="shared" si="226"/>
        <v>7.1638658380224207E-2</v>
      </c>
      <c r="BK107" s="17">
        <f t="shared" si="227"/>
        <v>0.32111327896933162</v>
      </c>
      <c r="BL107" s="17">
        <f t="shared" si="228"/>
        <v>2.9732512315555848</v>
      </c>
      <c r="BM107" s="17">
        <f t="shared" si="229"/>
        <v>3.1880110687293906</v>
      </c>
      <c r="BO107" t="str">
        <f t="shared" ref="BO107" si="258">AS107</f>
        <v>92 Elementary administration and service occupations</v>
      </c>
      <c r="BP107" s="17">
        <f t="shared" si="230"/>
        <v>0.44696673424107214</v>
      </c>
      <c r="BQ107" s="17">
        <f t="shared" si="230"/>
        <v>-5.2132545000571184</v>
      </c>
      <c r="BR107" s="17">
        <f t="shared" si="230"/>
        <v>0.69008097929985635</v>
      </c>
      <c r="BS107" s="17">
        <f t="shared" si="230"/>
        <v>-0.87622104997625572</v>
      </c>
      <c r="BT107" s="17">
        <f t="shared" si="231"/>
        <v>-0.66753269133140725</v>
      </c>
      <c r="BV107" s="17">
        <f t="shared" si="232"/>
        <v>-0.35684647104725631</v>
      </c>
      <c r="BW107" s="17">
        <f t="shared" si="233"/>
        <v>2.6959945783515682</v>
      </c>
      <c r="BX107" s="17">
        <f t="shared" si="234"/>
        <v>2.452145793765359</v>
      </c>
      <c r="BZ107" t="str">
        <f t="shared" ref="BZ107" si="259">BD107</f>
        <v>92 Elementary administration and service occupations</v>
      </c>
      <c r="CA107" s="17">
        <f t="shared" si="235"/>
        <v>1.5217262630160544</v>
      </c>
      <c r="CB107" s="17">
        <f t="shared" si="235"/>
        <v>-13.671388162561914</v>
      </c>
      <c r="CC107" s="17">
        <f t="shared" si="235"/>
        <v>-1.054430677223106E-2</v>
      </c>
      <c r="CD107" s="17">
        <f t="shared" si="235"/>
        <v>-2.6866316387810896</v>
      </c>
      <c r="CE107" s="17">
        <f t="shared" si="236"/>
        <v>-2.5900821743697899</v>
      </c>
      <c r="CG107" s="17">
        <f t="shared" si="237"/>
        <v>-1.8026566915070208</v>
      </c>
      <c r="CH107" s="17">
        <f t="shared" si="238"/>
        <v>2.1924018664123412</v>
      </c>
      <c r="CI107" s="17">
        <f t="shared" si="239"/>
        <v>0.91060836203908924</v>
      </c>
      <c r="CK107" t="str">
        <f t="shared" ref="CK107" si="260">BO107</f>
        <v>92 Elementary administration and service occupations</v>
      </c>
      <c r="CL107" s="17">
        <f t="shared" si="240"/>
        <v>-3.4640921818703041</v>
      </c>
      <c r="CM107" s="17">
        <f t="shared" si="240"/>
        <v>-32.692540084340408</v>
      </c>
      <c r="CN107" s="17">
        <f t="shared" si="240"/>
        <v>-6.8032491360555554</v>
      </c>
      <c r="CO107" s="17">
        <f t="shared" si="240"/>
        <v>-6.424803646357125</v>
      </c>
      <c r="CP107" s="17">
        <f t="shared" si="241"/>
        <v>-8.4481429165021993</v>
      </c>
      <c r="CR107" s="17">
        <f t="shared" si="242"/>
        <v>-6.5511225865374616</v>
      </c>
      <c r="CS107" s="17">
        <f t="shared" si="243"/>
        <v>1.0000107266070479</v>
      </c>
      <c r="CT107" s="17">
        <f t="shared" si="244"/>
        <v>-4.2304730010987113</v>
      </c>
    </row>
    <row r="108" spans="1:98" x14ac:dyDescent="0.3">
      <c r="B108" s="17"/>
      <c r="C108" s="17"/>
      <c r="D108" s="17"/>
      <c r="E108" s="17"/>
      <c r="F108" s="17"/>
      <c r="H108" s="17"/>
      <c r="I108" s="17"/>
      <c r="J108" s="17"/>
      <c r="M108" s="17"/>
      <c r="N108" s="17"/>
      <c r="O108" s="17"/>
      <c r="P108" s="17"/>
      <c r="Q108" s="17"/>
      <c r="S108" s="17"/>
      <c r="T108" s="17"/>
      <c r="U108" s="17"/>
      <c r="X108" s="17"/>
      <c r="Y108" s="17"/>
      <c r="Z108" s="17"/>
      <c r="AA108" s="17"/>
      <c r="AB108" s="17"/>
      <c r="AD108" s="17"/>
      <c r="AE108" s="17"/>
      <c r="AF108" s="17"/>
      <c r="AI108" s="17"/>
      <c r="AJ108" s="17"/>
      <c r="AK108" s="17"/>
      <c r="AL108" s="17"/>
      <c r="AM108" s="17"/>
      <c r="AO108" s="17"/>
      <c r="AP108" s="17"/>
      <c r="AQ108" s="17"/>
      <c r="AT108" s="17"/>
      <c r="AU108" s="17"/>
      <c r="AV108" s="17"/>
      <c r="AW108" s="17"/>
      <c r="AX108" s="17"/>
      <c r="AZ108" s="17"/>
      <c r="BA108" s="17"/>
      <c r="BB108" s="17"/>
      <c r="BE108" s="17"/>
      <c r="BF108" s="17"/>
      <c r="BG108" s="17"/>
      <c r="BH108" s="17"/>
      <c r="BI108" s="17"/>
      <c r="BK108" s="17"/>
      <c r="BL108" s="17"/>
      <c r="BM108" s="17"/>
      <c r="BP108" s="17"/>
      <c r="BQ108" s="17"/>
      <c r="BR108" s="17"/>
      <c r="BS108" s="17"/>
      <c r="BT108" s="17"/>
      <c r="BV108" s="17"/>
      <c r="BW108" s="17"/>
      <c r="BX108" s="17"/>
      <c r="CA108" s="17"/>
      <c r="CB108" s="17"/>
      <c r="CC108" s="17"/>
      <c r="CD108" s="17"/>
      <c r="CE108" s="17"/>
      <c r="CG108" s="17"/>
      <c r="CH108" s="17"/>
      <c r="CI108" s="17"/>
      <c r="CL108" s="17"/>
      <c r="CM108" s="17"/>
      <c r="CN108" s="17"/>
      <c r="CO108" s="17"/>
      <c r="CP108" s="17"/>
      <c r="CR108" s="17"/>
      <c r="CS108" s="17"/>
      <c r="CT108" s="17"/>
    </row>
    <row r="109" spans="1:98" x14ac:dyDescent="0.3">
      <c r="A109" s="23" t="str">
        <f>A35</f>
        <v>All occupations</v>
      </c>
      <c r="B109" s="25">
        <f>IF(AND(C$6-B$6 &lt;&gt; 0,B35&lt;&gt;0,C35&lt;&gt;0),(EXP(LN(C35/B35)/(C$6-B$6))-1)*100,0)</f>
        <v>5.9177177401563696</v>
      </c>
      <c r="C109" s="25">
        <f>IF(AND(D$6-C$6 &lt;&gt; 0,C35&lt;&gt;0,D35&lt;&gt;0),(EXP(LN(D35/C35)/(D$6-C$6))-1)*100,0)</f>
        <v>-1.6829684413479429</v>
      </c>
      <c r="D109" s="25">
        <f>IF(AND(E$6-D$6 &lt;&gt; 0,D35&lt;&gt;0,E35&lt;&gt;0),(EXP(LN(E35/D35)/(E$6-D$6))-1)*100,0)</f>
        <v>4.8986044130558071</v>
      </c>
      <c r="E109" s="25">
        <f>IF(AND(F$6-E$6 &lt;&gt; 0,E35&lt;&gt;0,F35&lt;&gt;0),(EXP(LN(F35/E35)/(F$6-E$6))-1)*100,0)</f>
        <v>2.6357585254549898</v>
      </c>
      <c r="F109" s="25">
        <f>IF(AND(F$6-C$6 &lt;&gt; 0,C35&lt;&gt;0,F35&lt;&gt;0),(EXP(LN(F35/C35)/(F$6-C$6))-1)*100,0)</f>
        <v>3.0603272161898065</v>
      </c>
      <c r="H109" s="25">
        <f>IF($F$6-$D$6 &lt;&gt; 0,(EXP(LN(1+(H72/100))/($F$6-$D$6))-1)*100,0)</f>
        <v>3.384564098520193</v>
      </c>
      <c r="I109" s="25">
        <f>IF(D35&gt;0,((1+(I35/D35))^(1/($F$6-$D$6))-1)*100,0)</f>
        <v>3.4625582789234999</v>
      </c>
      <c r="J109" s="25">
        <f>IF($F$6-$D$6 &lt;&gt; 0,(EXP(LN(1+(J72/100))/($F$6-$D$6))-1)*100,0)</f>
        <v>5.7520090332704443</v>
      </c>
      <c r="L109" s="23" t="str">
        <f>L35</f>
        <v>All occupations</v>
      </c>
      <c r="M109" s="25">
        <f>IF(AND(N$6-M$6 &lt;&gt; 0,M35&lt;&gt;0,N35&lt;&gt;0),(EXP(LN(N35/M35)/(N$6-M$6))-1)*100,0)</f>
        <v>6.8399348434626583</v>
      </c>
      <c r="N109" s="25">
        <f>IF(AND(O$6-N$6 &lt;&gt; 0,N35&lt;&gt;0,O35&lt;&gt;0),(EXP(LN(O35/N35)/(O$6-N$6))-1)*100,0)</f>
        <v>-0.21425311399904112</v>
      </c>
      <c r="O109" s="25">
        <f>IF(AND(P$6-O$6 &lt;&gt; 0,O35&lt;&gt;0,P35&lt;&gt;0),(EXP(LN(P35/O35)/(P$6-O$6))-1)*100,0)</f>
        <v>5.0256012603932865</v>
      </c>
      <c r="P109" s="25">
        <f>IF(AND(Q$6-P$6 &lt;&gt; 0,P35&lt;&gt;0,Q35&lt;&gt;0),(EXP(LN(Q35/P35)/(Q$6-P$6))-1)*100,0)</f>
        <v>2.7378876366985327</v>
      </c>
      <c r="Q109" s="25">
        <f>IF(AND(Q$6-N$6 &lt;&gt; 0,N35&lt;&gt;0,Q35&lt;&gt;0),(EXP(LN(Q35/N35)/(Q$6-N$6))-1)*100,0)</f>
        <v>3.2590605990836075</v>
      </c>
      <c r="S109" s="25">
        <f t="shared" ref="S109" si="261">IF($F$6-$D$6 &lt;&gt; 0,(EXP(LN(1+(S72/100))/($F$6-$D$6))-1)*100,0)</f>
        <v>3.4948676637561515</v>
      </c>
      <c r="T109" s="25">
        <f t="shared" ref="T109" si="262">IF(O35&gt;0,((1+(T35/O35))^(1/($F$6-$D$6))-1)*100,0)</f>
        <v>3.6182816925078187</v>
      </c>
      <c r="U109" s="25">
        <f t="shared" ref="U109" si="263">IF($F$6-$D$6 &lt;&gt; 0,(EXP(LN(1+(U72/100))/($F$6-$D$6))-1)*100,0)</f>
        <v>5.9462734691047459</v>
      </c>
      <c r="W109" s="23" t="str">
        <f>W35</f>
        <v>All occupations</v>
      </c>
      <c r="X109" s="25">
        <f>IF(AND(Y$6-X$6 &lt;&gt; 0,X35&lt;&gt;0,Y35&lt;&gt;0),(EXP(LN(Y35/X35)/(Y$6-X$6))-1)*100,0)</f>
        <v>2.8713311508452577</v>
      </c>
      <c r="Y109" s="25">
        <f>IF(AND(Z$6-Y$6 &lt;&gt; 0,Y35&lt;&gt;0,Z35&lt;&gt;0),(EXP(LN(Z35/Y35)/(Z$6-Y$6))-1)*100,0)</f>
        <v>12.275949661628527</v>
      </c>
      <c r="Z109" s="25">
        <f>IF(AND(AA$6-Z$6 &lt;&gt; 0,Z35&lt;&gt;0,AA35&lt;&gt;0),(EXP(LN(AA35/Z35)/(AA$6-Z$6))-1)*100,0)</f>
        <v>0.83194808273723275</v>
      </c>
      <c r="AA109" s="25">
        <f>IF(AND(AB$6-AA$6 &lt;&gt; 0,AA35&lt;&gt;0,AB35&lt;&gt;0),(EXP(LN(AB35/AA35)/(AB$6-AA$6))-1)*100,0)</f>
        <v>1.8353228063034299</v>
      </c>
      <c r="AB109" s="25">
        <f>IF(AND(AB$6-Y$6 &lt;&gt; 0,Y35&lt;&gt;0,AB35&lt;&gt;0),(EXP(LN(AB35/Y35)/(AB$6-Y$6))-1)*100,0)</f>
        <v>2.1418861239989928</v>
      </c>
      <c r="AD109" s="25">
        <f t="shared" ref="AD109" si="264">IF($F$6-$D$6 &lt;&gt; 0,(EXP(LN(1+(AD72/100))/($F$6-$D$6))-1)*100,0)</f>
        <v>1.4997600497076657</v>
      </c>
      <c r="AE109" s="25">
        <f t="shared" ref="AE109" si="265">IF(Z35&gt;0,((1+(AE35/Z35))^(1/($F$6-$D$6))-1)*100,0)</f>
        <v>3.1764200670314269</v>
      </c>
      <c r="AF109" s="25">
        <f t="shared" ref="AF109" si="266">IF($F$6-$D$6 &lt;&gt; 0,(EXP(LN(1+(AF72/100))/($F$6-$D$6))-1)*100,0)</f>
        <v>4.1814910371133607</v>
      </c>
      <c r="AH109" s="23" t="str">
        <f>AH35</f>
        <v>All occupations</v>
      </c>
      <c r="AI109" s="25">
        <f>IF(AND(AJ$6-AI$6 &lt;&gt; 0,AI35&lt;&gt;0,AJ35&lt;&gt;0),(EXP(LN(AJ35/AI35)/(AJ$6-AI$6))-1)*100,0)</f>
        <v>0.91867598859871613</v>
      </c>
      <c r="AJ109" s="25">
        <f>IF(AND(AK$6-AJ$6 &lt;&gt; 0,AJ35&lt;&gt;0,AK35&lt;&gt;0),(EXP(LN(AK35/AJ35)/(AK$6-AJ$6))-1)*100,0)</f>
        <v>13.234249756817572</v>
      </c>
      <c r="AK109" s="25">
        <f>IF(AND(AL$6-AK$6 &lt;&gt; 0,AK35&lt;&gt;0,AL35&lt;&gt;0),(EXP(LN(AL35/AK35)/(AL$6-AK$6))-1)*100,0)</f>
        <v>-0.45132418718503153</v>
      </c>
      <c r="AL109" s="25">
        <f>IF(AND(AM$6-AL$6 &lt;&gt; 0,AL35&lt;&gt;0,AM35&lt;&gt;0),(EXP(LN(AM35/AL35)/(AM$6-AL$6))-1)*100,0)</f>
        <v>1.568584488345004</v>
      </c>
      <c r="AM109" s="25">
        <f>IF(AND(AM$6-AJ$6 &lt;&gt; 0,AJ35&lt;&gt;0,AM35&lt;&gt;0),(EXP(LN(AM35/AJ35)/(AM$6-AJ$6))-1)*100,0)</f>
        <v>1.621202043964276</v>
      </c>
      <c r="AO109" s="25">
        <f t="shared" ref="AO109" si="267">IF($F$6-$D$6 &lt;&gt; 0,(EXP(LN(1+(AO72/100))/($F$6-$D$6))-1)*100,0)</f>
        <v>0.89076826369787199</v>
      </c>
      <c r="AP109" s="25">
        <f t="shared" ref="AP109" si="268">IF(AK35&gt;0,((1+(AP35/AK35))^(1/($F$6-$D$6))-1)*100,0)</f>
        <v>2.9872059304011822</v>
      </c>
      <c r="AQ109" s="25">
        <f t="shared" ref="AQ109" si="269">IF($F$6-$D$6 &lt;&gt; 0,(EXP(LN(1+(AQ72/100))/($F$6-$D$6))-1)*100,0)</f>
        <v>3.5900382478820436</v>
      </c>
      <c r="AS109" s="23" t="str">
        <f>AS35</f>
        <v>All occupations</v>
      </c>
      <c r="AT109" s="25">
        <f>IF(AND(AU$6-AT$6 &lt;&gt; 0,AT35&lt;&gt;0,AU35&lt;&gt;0),(EXP(LN(AU35/AT35)/(AU$6-AT$6))-1)*100,0)</f>
        <v>1.8744657256323238</v>
      </c>
      <c r="AU109" s="25">
        <f>IF(AND(AV$6-AU$6 &lt;&gt; 0,AU35&lt;&gt;0,AV35&lt;&gt;0),(EXP(LN(AV35/AU35)/(AV$6-AU$6))-1)*100,0)</f>
        <v>13.074755495315294</v>
      </c>
      <c r="AV109" s="25">
        <f>IF(AND(AW$6-AV$6 &lt;&gt; 0,AV35&lt;&gt;0,AW35&lt;&gt;0),(EXP(LN(AW35/AV35)/(AW$6-AV$6))-1)*100,0)</f>
        <v>0.42405095035982221</v>
      </c>
      <c r="AW109" s="25">
        <f>IF(AND(AX$6-AW$6 &lt;&gt; 0,AW35&lt;&gt;0,AX35&lt;&gt;0),(EXP(LN(AX35/AW35)/(AX$6-AW$6))-1)*100,0)</f>
        <v>1.7734883635860621</v>
      </c>
      <c r="AX109" s="25">
        <f>IF(AND(AX$6-AU$6 &lt;&gt; 0,AU35&lt;&gt;0,AX35&lt;&gt;0),(EXP(LN(AX35/AU35)/(AX$6-AU$6))-1)*100,0)</f>
        <v>2.0190579642193951</v>
      </c>
      <c r="AZ109" s="25">
        <f t="shared" ref="AZ109" si="270">IF($F$6-$D$6 &lt;&gt; 0,(EXP(LN(1+(AZ72/100))/($F$6-$D$6))-1)*100,0)</f>
        <v>1.3216730626378626</v>
      </c>
      <c r="BA109" s="25">
        <f t="shared" ref="BA109" si="271">IF(AV35&gt;0,((1+(BA35/AV35))^(1/($F$6-$D$6))-1)*100,0)</f>
        <v>3.034546660367976</v>
      </c>
      <c r="BB109" s="25">
        <f t="shared" ref="BB109" si="272">IF($F$6-$D$6 &lt;&gt; 0,(EXP(LN(1+(BB72/100))/($F$6-$D$6))-1)*100,0)</f>
        <v>3.93257884157725</v>
      </c>
      <c r="BD109" s="23" t="str">
        <f>BD35</f>
        <v>All occupations</v>
      </c>
      <c r="BE109" s="25">
        <f>IF(AND(BF$6-BE$6 &lt;&gt; 0,BE35&lt;&gt;0,BF35&lt;&gt;0),(EXP(LN(BF35/BE35)/(BF$6-BE$6))-1)*100,0)</f>
        <v>0.3187018034567668</v>
      </c>
      <c r="BF109" s="25">
        <f>IF(AND(BG$6-BF$6 &lt;&gt; 0,BF35&lt;&gt;0,BG35&lt;&gt;0),(EXP(LN(BG35/BF35)/(BG$6-BF$6))-1)*100,0)</f>
        <v>-3.9142510410606679</v>
      </c>
      <c r="BG109" s="25">
        <f>IF(AND(BH$6-BG$6 &lt;&gt; 0,BG35&lt;&gt;0,BH35&lt;&gt;0),(EXP(LN(BH35/BG35)/(BH$6-BG$6))-1)*100,0)</f>
        <v>1.5409554131710523</v>
      </c>
      <c r="BH109" s="25">
        <f>IF(AND(BI$6-BH$6 &lt;&gt; 0,BH35&lt;&gt;0,BI35&lt;&gt;0),(EXP(LN(BI35/BH35)/(BI$6-BH$6))-1)*100,0)</f>
        <v>0.51365745790663553</v>
      </c>
      <c r="BI109" s="25">
        <f>IF(AND(BI$6-BF$6 &lt;&gt; 0,BF35&lt;&gt;0,BI35&lt;&gt;0),(EXP(LN(BI35/BF35)/(BI$6-BF$6))-1)*100,0)</f>
        <v>0.5500400869677291</v>
      </c>
      <c r="BK109" s="25">
        <f t="shared" ref="BK109" si="273">IF($F$6-$D$6 &lt;&gt; 0,(EXP(LN(1+(BK72/100))/($F$6-$D$6))-1)*100,0)</f>
        <v>0.8549300800841042</v>
      </c>
      <c r="BL109" s="25">
        <f t="shared" ref="BL109" si="274">IF(BG35&gt;0,((1+(BL35/BG35))^(1/($F$6-$D$6))-1)*100,0)</f>
        <v>2.7809021351207219</v>
      </c>
      <c r="BM109" s="25">
        <f t="shared" ref="BM109" si="275">IF($F$6-$D$6 &lt;&gt; 0,(EXP(LN(1+(BM72/100))/($F$6-$D$6))-1)*100,0)</f>
        <v>3.3747581818849293</v>
      </c>
      <c r="BO109" s="23" t="str">
        <f>BO35</f>
        <v>All occupations</v>
      </c>
      <c r="BP109" s="25">
        <f>IF(AND(BQ$6-BP$6 &lt;&gt; 0,BP35&lt;&gt;0,BQ35&lt;&gt;0),(EXP(LN(BQ35/BP35)/(BQ$6-BP$6))-1)*100,0)</f>
        <v>-0.11852917197050505</v>
      </c>
      <c r="BQ109" s="25">
        <f>IF(AND(BR$6-BQ$6 &lt;&gt; 0,BQ35&lt;&gt;0,BR35&lt;&gt;0),(EXP(LN(BR35/BQ35)/(BR$6-BQ$6))-1)*100,0)</f>
        <v>-2.8666248123864091</v>
      </c>
      <c r="BR109" s="25">
        <f>IF(AND(BS$6-BR$6 &lt;&gt; 0,BR35&lt;&gt;0,BS35&lt;&gt;0),(EXP(LN(BS35/BR35)/(BS$6-BR$6))-1)*100,0)</f>
        <v>-0.52227296168076975</v>
      </c>
      <c r="BS109" s="25">
        <f>IF(AND(BT$6-BS$6 &lt;&gt; 0,BS35&lt;&gt;0,BT35&lt;&gt;0),(EXP(LN(BT35/BS35)/(BT$6-BS$6))-1)*100,0)</f>
        <v>-1.2580905420755961</v>
      </c>
      <c r="BT109" s="25">
        <f>IF(AND(BT$6-BQ$6 &lt;&gt; 0,BQ35&lt;&gt;0,BT35&lt;&gt;0),(EXP(LN(BT35/BQ35)/(BT$6-BQ$6))-1)*100,0)</f>
        <v>-1.1302786800318709</v>
      </c>
      <c r="BV109" s="25">
        <f t="shared" ref="BV109" si="276">IF($F$6-$D$6 &lt;&gt; 0,(EXP(LN(1+(BV72/100))/($F$6-$D$6))-1)*100,0)</f>
        <v>-1.0134247565187549</v>
      </c>
      <c r="BW109" s="25">
        <f t="shared" ref="BW109" si="277">IF(BR35&gt;0,((1+(BW35/BR35))^(1/($F$6-$D$6))-1)*100,0)</f>
        <v>2.41551282831034</v>
      </c>
      <c r="BX109" s="25">
        <f t="shared" ref="BX109" si="278">IF($F$6-$D$6 &lt;&gt; 0,(EXP(LN(1+(BX72/100))/($F$6-$D$6))-1)*100,0)</f>
        <v>1.7058220056709317</v>
      </c>
      <c r="BZ109" s="23" t="str">
        <f>BZ35</f>
        <v>All occupations</v>
      </c>
      <c r="CA109" s="25">
        <f>IF(AND(CB$6-CA$6 &lt;&gt; 0,CA35&lt;&gt;0,CB35&lt;&gt;0),(EXP(LN(CB35/CA35)/(CB$6-CA$6))-1)*100,0)</f>
        <v>-0.50022526797925959</v>
      </c>
      <c r="CB109" s="25">
        <f>IF(AND(CC$6-CB$6 &lt;&gt; 0,CB35&lt;&gt;0,CC35&lt;&gt;0),(EXP(LN(CC35/CB35)/(CC$6-CB$6))-1)*100,0)</f>
        <v>-12.025045434913173</v>
      </c>
      <c r="CC109" s="25">
        <f>IF(AND(CD$6-CC$6 &lt;&gt; 0,CC35&lt;&gt;0,CD35&lt;&gt;0),(EXP(LN(CD35/CC35)/(CD$6-CC$6))-1)*100,0)</f>
        <v>-1.5718923551342412</v>
      </c>
      <c r="CD109" s="25">
        <f>IF(AND(CE$6-CD$6 &lt;&gt; 0,CD35&lt;&gt;0,CE35&lt;&gt;0),(EXP(LN(CE35/CD35)/(CE$6-CD$6))-1)*100,0)</f>
        <v>-3.2779844245257261</v>
      </c>
      <c r="CE109" s="25">
        <f>IF(AND(CE$6-CB$6 &lt;&gt; 0,CB35&lt;&gt;0,CE35&lt;&gt;0),(EXP(LN(CE35/CB35)/(CE$6-CB$6))-1)*100,0)</f>
        <v>-3.3224787379910858</v>
      </c>
      <c r="CG109" s="25">
        <f t="shared" ref="CG109" si="279">IF($F$6-$D$6 &lt;&gt; 0,(EXP(LN(1+(CG72/100))/($F$6-$D$6))-1)*100,0)</f>
        <v>-2.7125984563563965</v>
      </c>
      <c r="CH109" s="25">
        <f t="shared" ref="CH109" si="280">IF(CC35&gt;0,((1+(CH35/CC35))^(1/($F$6-$D$6))-1)*100,0)</f>
        <v>1.9681504639655456</v>
      </c>
      <c r="CI109" s="25">
        <f t="shared" ref="CI109" si="281">IF($F$6-$D$6 &lt;&gt; 0,(EXP(LN(1+(CI72/100))/($F$6-$D$6))-1)*100,0)</f>
        <v>1.0424174952050613E-2</v>
      </c>
      <c r="CK109" s="23" t="str">
        <f>CK35</f>
        <v>All occupations</v>
      </c>
      <c r="CL109" s="25">
        <f>IF(AND(CM$6-CL$6 &lt;&gt; 0,CL35&lt;&gt;0,CM35&lt;&gt;0),(EXP(LN(CM35/CL35)/(CM$6-CL$6))-1)*100,0)</f>
        <v>-0.89928937254154517</v>
      </c>
      <c r="CM109" s="25">
        <f>IF(AND(CN$6-CM$6 &lt;&gt; 0,CM35&lt;&gt;0,CN35&lt;&gt;0),(EXP(LN(CN35/CM35)/(CN$6-CM$6))-1)*100,0)</f>
        <v>-28.134979265336014</v>
      </c>
      <c r="CN109" s="25">
        <f>IF(AND(CO$6-CN$6 &lt;&gt; 0,CN35&lt;&gt;0,CO35&lt;&gt;0),(EXP(LN(CO35/CN35)/(CO$6-CN$6))-1)*100,0)</f>
        <v>-3.6806167336039475</v>
      </c>
      <c r="CO109" s="25">
        <f>IF(AND(CP$6-CO$6 &lt;&gt; 0,CO35&lt;&gt;0,CP35&lt;&gt;0),(EXP(LN(CP35/CO35)/(CP$6-CO$6))-1)*100,0)</f>
        <v>-3.3984135670165894</v>
      </c>
      <c r="CP109" s="25">
        <f>IF(AND(CP$6-CM$6 &lt;&gt; 0,CM35&lt;&gt;0,CP35&lt;&gt;0),(EXP(LN(CP35/CM35)/(CP$6-CM$6))-1)*100,0)</f>
        <v>-5.254620875301697</v>
      </c>
      <c r="CR109" s="25">
        <f t="shared" ref="CR109" si="282">IF($F$6-$D$6 &lt;&gt; 0,(EXP(LN(1+(CR72/100))/($F$6-$D$6))-1)*100,0)</f>
        <v>-3.4925730384865905</v>
      </c>
      <c r="CS109" s="25">
        <f t="shared" ref="CS109" si="283">IF(CN35&gt;0,((1+(CS35/CN35))^(1/($F$6-$D$6))-1)*100,0)</f>
        <v>1.3704742537274939</v>
      </c>
      <c r="CT109" s="25">
        <f t="shared" ref="CT109" si="284">IF($F$6-$D$6 &lt;&gt; 0,(EXP(LN(1+(CT72/100))/($F$6-$D$6))-1)*100,0)</f>
        <v>-1.3690126826673921</v>
      </c>
    </row>
    <row r="112" spans="1:98" ht="47.25" customHeight="1" x14ac:dyDescent="0.3">
      <c r="A112" s="379" t="str">
        <f>CONCATENATE(A$1," (Continued)")</f>
        <v>Basic Table 2  Employment Change by Occupation and Replacement Demand, RQF8 Doctorate, 2015-2035, East (Continued)</v>
      </c>
      <c r="B112" s="379"/>
      <c r="C112" s="379"/>
      <c r="D112" s="379"/>
      <c r="E112" s="379"/>
      <c r="F112" s="379"/>
      <c r="G112" s="379"/>
      <c r="H112" s="379"/>
      <c r="I112" s="379"/>
      <c r="J112" s="379"/>
      <c r="L112" s="379" t="str">
        <f>CONCATENATE(L$1," (Continued)")</f>
        <v>Basic Table 2.1  Employment Change by Occupation and Replacement Demand, RQF7 Other higher degree, 2015-2035, East (Continued)</v>
      </c>
      <c r="M112" s="379"/>
      <c r="N112" s="379"/>
      <c r="O112" s="379"/>
      <c r="P112" s="379"/>
      <c r="Q112" s="379"/>
      <c r="R112" s="379"/>
      <c r="S112" s="379"/>
      <c r="T112" s="379"/>
      <c r="U112" s="379"/>
      <c r="W112" s="379" t="str">
        <f>CONCATENATE(W$1," (Continued)")</f>
        <v>Basic Table 2.2  Employment Change by Occupation and Replacement Demand, RQF6 First degree, 2015-2035, East (Continued)</v>
      </c>
      <c r="X112" s="379"/>
      <c r="Y112" s="379"/>
      <c r="Z112" s="379"/>
      <c r="AA112" s="379"/>
      <c r="AB112" s="379"/>
      <c r="AC112" s="379"/>
      <c r="AD112" s="379"/>
      <c r="AE112" s="379"/>
      <c r="AF112" s="379"/>
      <c r="AH112" s="379" t="str">
        <f>CONCATENATE(AH$1," (Continued)")</f>
        <v>Basic Table 2.3  Employment Change by Occupation and Replacement Demand, RQF5 Foundation degree;Nursing;Teaching, 2015-2035, East (Continued)</v>
      </c>
      <c r="AI112" s="379"/>
      <c r="AJ112" s="379"/>
      <c r="AK112" s="379"/>
      <c r="AL112" s="379"/>
      <c r="AM112" s="379"/>
      <c r="AN112" s="379"/>
      <c r="AO112" s="379"/>
      <c r="AP112" s="379"/>
      <c r="AQ112" s="379"/>
      <c r="AS112" s="379" t="str">
        <f>CONCATENATE(AS$1," (Continued)")</f>
        <v>Basic Table 2.4  Employment Change by Occupation and Replacement Demand, RQF4 HE below degree level, 2015-2035, East (Continued)</v>
      </c>
      <c r="AT112" s="379"/>
      <c r="AU112" s="379"/>
      <c r="AV112" s="379"/>
      <c r="AW112" s="379"/>
      <c r="AX112" s="379"/>
      <c r="AY112" s="379"/>
      <c r="AZ112" s="379"/>
      <c r="BA112" s="379"/>
      <c r="BB112" s="379"/>
      <c r="BD112" s="379" t="str">
        <f>CONCATENATE(BD$1," (Continued)")</f>
        <v>Basic Table 2.5  Employment Change by Occupation and Replacement Demand, RQF3 A level &amp; equivalent, 2015-2035, East (Continued)</v>
      </c>
      <c r="BE112" s="379"/>
      <c r="BF112" s="379"/>
      <c r="BG112" s="379"/>
      <c r="BH112" s="379"/>
      <c r="BI112" s="379"/>
      <c r="BJ112" s="379"/>
      <c r="BK112" s="379"/>
      <c r="BL112" s="379"/>
      <c r="BM112" s="379"/>
      <c r="BO112" s="379" t="str">
        <f>CONCATENATE(BO$1," (Continued)")</f>
        <v>Basic Table 2.6  Employment Change by Occupation and Replacement Demand, RQF2 GCSE(A-C) &amp; equivalent, 2015-2035, East (Continued)</v>
      </c>
      <c r="BP112" s="379"/>
      <c r="BQ112" s="379"/>
      <c r="BR112" s="379"/>
      <c r="BS112" s="379"/>
      <c r="BT112" s="379"/>
      <c r="BU112" s="379"/>
      <c r="BV112" s="379"/>
      <c r="BW112" s="379"/>
      <c r="BX112" s="379"/>
      <c r="BZ112" s="379" t="str">
        <f>CONCATENATE(BZ$1," (Continued)")</f>
        <v>Basic Table 2.7  Employment Change by Occupation and Replacement Demand, RQF1 GCSE(below grade C) &amp; equivalent, 2015-2035, East (Continued)</v>
      </c>
      <c r="CA112" s="379"/>
      <c r="CB112" s="379"/>
      <c r="CC112" s="379"/>
      <c r="CD112" s="379"/>
      <c r="CE112" s="379"/>
      <c r="CF112" s="379"/>
      <c r="CG112" s="379"/>
      <c r="CH112" s="379"/>
      <c r="CI112" s="379"/>
      <c r="CK112" s="379" t="str">
        <f>CONCATENATE(CK$1," (Continued)")</f>
        <v>Basic Table 2.8  Employment Change by Occupation and Replacement Demand, No Qualification, 2015-2035, East (Continued)</v>
      </c>
      <c r="CL112" s="379"/>
      <c r="CM112" s="379"/>
      <c r="CN112" s="379"/>
      <c r="CO112" s="379"/>
      <c r="CP112" s="379"/>
      <c r="CQ112" s="379"/>
      <c r="CR112" s="379"/>
      <c r="CS112" s="379"/>
      <c r="CT112" s="379"/>
    </row>
    <row r="114" spans="1:94" x14ac:dyDescent="0.3">
      <c r="F114" s="15" t="s">
        <v>35</v>
      </c>
      <c r="Q114" s="15" t="s">
        <v>35</v>
      </c>
      <c r="AB114" s="15" t="s">
        <v>35</v>
      </c>
      <c r="AM114" s="15" t="s">
        <v>35</v>
      </c>
      <c r="AX114" s="15" t="s">
        <v>35</v>
      </c>
      <c r="BI114" s="15" t="s">
        <v>35</v>
      </c>
      <c r="BT114" s="15" t="s">
        <v>35</v>
      </c>
      <c r="CE114" s="15" t="s">
        <v>35</v>
      </c>
      <c r="CP114" s="15" t="s">
        <v>35</v>
      </c>
    </row>
    <row r="115" spans="1:94" x14ac:dyDescent="0.3">
      <c r="A115" s="35"/>
      <c r="B115" s="35"/>
      <c r="C115" s="35"/>
      <c r="D115" s="35"/>
      <c r="E115" s="35"/>
      <c r="F115" s="35"/>
      <c r="L115" s="35"/>
      <c r="M115" s="35"/>
      <c r="N115" s="35"/>
      <c r="O115" s="35"/>
      <c r="P115" s="35"/>
      <c r="Q115" s="35"/>
      <c r="W115" s="35"/>
      <c r="X115" s="35"/>
      <c r="Y115" s="35"/>
      <c r="Z115" s="35"/>
      <c r="AA115" s="35"/>
      <c r="AB115" s="35"/>
      <c r="AH115" s="35"/>
      <c r="AI115" s="35"/>
      <c r="AJ115" s="35"/>
      <c r="AK115" s="35"/>
      <c r="AL115" s="35"/>
      <c r="AM115" s="35"/>
      <c r="AS115" s="35"/>
      <c r="AT115" s="35"/>
      <c r="AU115" s="35"/>
      <c r="AV115" s="35"/>
      <c r="AW115" s="35"/>
      <c r="AX115" s="35"/>
      <c r="BD115" s="35"/>
      <c r="BE115" s="35"/>
      <c r="BF115" s="35"/>
      <c r="BG115" s="35"/>
      <c r="BH115" s="35"/>
      <c r="BI115" s="35"/>
      <c r="BO115" s="35"/>
      <c r="BP115" s="35"/>
      <c r="BQ115" s="35"/>
      <c r="BR115" s="35"/>
      <c r="BS115" s="35"/>
      <c r="BT115" s="35"/>
      <c r="BZ115" s="35"/>
      <c r="CA115" s="35"/>
      <c r="CB115" s="35"/>
      <c r="CC115" s="35"/>
      <c r="CD115" s="35"/>
      <c r="CE115" s="35"/>
      <c r="CK115" s="35"/>
      <c r="CL115" s="35"/>
      <c r="CM115" s="35"/>
      <c r="CN115" s="35"/>
      <c r="CO115" s="35"/>
      <c r="CP115" s="35"/>
    </row>
    <row r="117" spans="1:94" x14ac:dyDescent="0.3">
      <c r="A117" s="40" t="s">
        <v>15</v>
      </c>
      <c r="B117" s="63" t="str">
        <f>CONCATENATE(B$6,"-",C$6)</f>
        <v>2015-2019</v>
      </c>
      <c r="C117" s="63" t="str">
        <f>CONCATENATE(C$6,"-",D$6)</f>
        <v>2019-2020</v>
      </c>
      <c r="D117" s="63" t="str">
        <f>CONCATENATE(D$6,"-",E$6)</f>
        <v>2020-2025</v>
      </c>
      <c r="E117" s="63" t="str">
        <f>CONCATENATE(E$6,"-",F$6)</f>
        <v>2025-2035</v>
      </c>
      <c r="F117" s="63" t="str">
        <f>CONCATENATE(D$6,"-",F$6)</f>
        <v>2020-2035</v>
      </c>
      <c r="L117" s="40" t="s">
        <v>15</v>
      </c>
      <c r="M117" s="63" t="str">
        <f>CONCATENATE(M$6,"-",N$6)</f>
        <v>2015-2019</v>
      </c>
      <c r="N117" s="63" t="str">
        <f>CONCATENATE(N$6,"-",O$6)</f>
        <v>2019-2020</v>
      </c>
      <c r="O117" s="63" t="str">
        <f>CONCATENATE(O$6,"-",P$6)</f>
        <v>2020-2025</v>
      </c>
      <c r="P117" s="63" t="str">
        <f>CONCATENATE(P$6,"-",Q$6)</f>
        <v>2025-2035</v>
      </c>
      <c r="Q117" s="63" t="str">
        <f>CONCATENATE(O$6,"-",Q$6)</f>
        <v>2020-2035</v>
      </c>
      <c r="W117" s="40" t="s">
        <v>15</v>
      </c>
      <c r="X117" s="63" t="str">
        <f>CONCATENATE(X$6,"-",Y$6)</f>
        <v>2015-2019</v>
      </c>
      <c r="Y117" s="63" t="str">
        <f>CONCATENATE(Y$6,"-",Z$6)</f>
        <v>2019-2020</v>
      </c>
      <c r="Z117" s="63" t="str">
        <f>CONCATENATE(Z$6,"-",AA$6)</f>
        <v>2020-2025</v>
      </c>
      <c r="AA117" s="63" t="str">
        <f>CONCATENATE(AA$6,"-",AB$6)</f>
        <v>2025-2035</v>
      </c>
      <c r="AB117" s="63" t="str">
        <f>CONCATENATE(Z$6,"-",AB$6)</f>
        <v>2020-2035</v>
      </c>
      <c r="AH117" s="40" t="s">
        <v>15</v>
      </c>
      <c r="AI117" s="63" t="str">
        <f>CONCATENATE(AI$6,"-",AJ$6)</f>
        <v>2015-2019</v>
      </c>
      <c r="AJ117" s="63" t="str">
        <f>CONCATENATE(AJ$6,"-",AK$6)</f>
        <v>2019-2020</v>
      </c>
      <c r="AK117" s="63" t="str">
        <f>CONCATENATE(AK$6,"-",AL$6)</f>
        <v>2020-2025</v>
      </c>
      <c r="AL117" s="63" t="str">
        <f>CONCATENATE(AL$6,"-",AM$6)</f>
        <v>2025-2035</v>
      </c>
      <c r="AM117" s="63" t="str">
        <f>CONCATENATE(AK$6,"-",AM$6)</f>
        <v>2020-2035</v>
      </c>
      <c r="AS117" s="40" t="s">
        <v>15</v>
      </c>
      <c r="AT117" s="63" t="str">
        <f>CONCATENATE(AT$6,"-",AU$6)</f>
        <v>2015-2019</v>
      </c>
      <c r="AU117" s="63" t="str">
        <f>CONCATENATE(AU$6,"-",AV$6)</f>
        <v>2019-2020</v>
      </c>
      <c r="AV117" s="63" t="str">
        <f>CONCATENATE(AV$6,"-",AW$6)</f>
        <v>2020-2025</v>
      </c>
      <c r="AW117" s="63" t="str">
        <f>CONCATENATE(AW$6,"-",AX$6)</f>
        <v>2025-2035</v>
      </c>
      <c r="AX117" s="63" t="str">
        <f>CONCATENATE(AV$6,"-",AX$6)</f>
        <v>2020-2035</v>
      </c>
      <c r="BD117" s="40" t="s">
        <v>15</v>
      </c>
      <c r="BE117" s="63" t="str">
        <f>CONCATENATE(BE$6,"-",BF$6)</f>
        <v>2015-2019</v>
      </c>
      <c r="BF117" s="63" t="str">
        <f>CONCATENATE(BF$6,"-",BG$6)</f>
        <v>2019-2020</v>
      </c>
      <c r="BG117" s="63" t="str">
        <f>CONCATENATE(BG$6,"-",BH$6)</f>
        <v>2020-2025</v>
      </c>
      <c r="BH117" s="63" t="str">
        <f>CONCATENATE(BH$6,"-",BI$6)</f>
        <v>2025-2035</v>
      </c>
      <c r="BI117" s="63" t="str">
        <f>CONCATENATE(BG$6,"-",BI$6)</f>
        <v>2020-2035</v>
      </c>
      <c r="BO117" s="40" t="s">
        <v>15</v>
      </c>
      <c r="BP117" s="63" t="str">
        <f>CONCATENATE(BP$6,"-",BQ$6)</f>
        <v>2015-2019</v>
      </c>
      <c r="BQ117" s="63" t="str">
        <f>CONCATENATE(BQ$6,"-",BR$6)</f>
        <v>2019-2020</v>
      </c>
      <c r="BR117" s="63" t="str">
        <f>CONCATENATE(BR$6,"-",BS$6)</f>
        <v>2020-2025</v>
      </c>
      <c r="BS117" s="63" t="str">
        <f>CONCATENATE(BS$6,"-",BT$6)</f>
        <v>2025-2035</v>
      </c>
      <c r="BT117" s="63" t="str">
        <f>CONCATENATE(BR$6,"-",BT$6)</f>
        <v>2020-2035</v>
      </c>
      <c r="BZ117" s="40" t="s">
        <v>15</v>
      </c>
      <c r="CA117" s="63" t="str">
        <f>CONCATENATE(CA$6,"-",CB$6)</f>
        <v>2015-2019</v>
      </c>
      <c r="CB117" s="63" t="str">
        <f>CONCATENATE(CB$6,"-",CC$6)</f>
        <v>2019-2020</v>
      </c>
      <c r="CC117" s="63" t="str">
        <f>CONCATENATE(CC$6,"-",CD$6)</f>
        <v>2020-2025</v>
      </c>
      <c r="CD117" s="63" t="str">
        <f>CONCATENATE(CD$6,"-",CE$6)</f>
        <v>2025-2035</v>
      </c>
      <c r="CE117" s="63" t="str">
        <f>CONCATENATE(CC$6,"-",CE$6)</f>
        <v>2020-2035</v>
      </c>
      <c r="CK117" s="40" t="s">
        <v>15</v>
      </c>
      <c r="CL117" s="63" t="str">
        <f>CONCATENATE(CL$6,"-",CM$6)</f>
        <v>2015-2019</v>
      </c>
      <c r="CM117" s="63" t="str">
        <f>CONCATENATE(CM$6,"-",CN$6)</f>
        <v>2019-2020</v>
      </c>
      <c r="CN117" s="63" t="str">
        <f>CONCATENATE(CN$6,"-",CO$6)</f>
        <v>2020-2025</v>
      </c>
      <c r="CO117" s="63" t="str">
        <f>CONCATENATE(CO$6,"-",CP$6)</f>
        <v>2025-2035</v>
      </c>
      <c r="CP117" s="63" t="str">
        <f>CONCATENATE(CN$6,"-",CP$6)</f>
        <v>2020-2035</v>
      </c>
    </row>
    <row r="118" spans="1:94" x14ac:dyDescent="0.3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  <c r="AI118" s="19"/>
      <c r="AJ118" s="19"/>
      <c r="AK118" s="19"/>
      <c r="AL118" s="19"/>
      <c r="AM118" s="19"/>
      <c r="AT118" s="19"/>
      <c r="AU118" s="19"/>
      <c r="AV118" s="19"/>
      <c r="AW118" s="19"/>
      <c r="AX118" s="19"/>
      <c r="BE118" s="19"/>
      <c r="BF118" s="19"/>
      <c r="BG118" s="19"/>
      <c r="BH118" s="19"/>
      <c r="BI118" s="19"/>
      <c r="BP118" s="19"/>
      <c r="BQ118" s="19"/>
      <c r="BR118" s="19"/>
      <c r="BS118" s="19"/>
      <c r="BT118" s="19"/>
      <c r="CA118" s="19"/>
      <c r="CB118" s="19"/>
      <c r="CC118" s="19"/>
      <c r="CD118" s="19"/>
      <c r="CE118" s="19"/>
      <c r="CL118" s="19"/>
      <c r="CM118" s="19"/>
      <c r="CN118" s="19"/>
      <c r="CO118" s="19"/>
      <c r="CP118" s="19"/>
    </row>
    <row r="119" spans="1:94" x14ac:dyDescent="0.3">
      <c r="A119" t="str">
        <f t="shared" ref="A119:A144" si="285">A8</f>
        <v>11 Corporate managers and directors</v>
      </c>
      <c r="B119" s="26">
        <f t="shared" ref="B119:E144" si="286">C8-B8</f>
        <v>0.88417842581503425</v>
      </c>
      <c r="C119" s="26">
        <f t="shared" si="286"/>
        <v>5.5686100407321248E-2</v>
      </c>
      <c r="D119" s="26">
        <f t="shared" si="286"/>
        <v>0.61118724775389399</v>
      </c>
      <c r="E119" s="26">
        <f t="shared" si="286"/>
        <v>1.3339241344198758</v>
      </c>
      <c r="F119" s="26">
        <f t="shared" ref="F119:F144" si="287">F8-D8</f>
        <v>1.9451113821737698</v>
      </c>
      <c r="L119" t="str">
        <f>A119</f>
        <v>11 Corporate managers and directors</v>
      </c>
      <c r="M119" s="26">
        <f t="shared" ref="M119:P144" si="288">N8-M8</f>
        <v>7.8140109351963538</v>
      </c>
      <c r="N119" s="26">
        <f t="shared" si="288"/>
        <v>-0.93583192978920238</v>
      </c>
      <c r="O119" s="26">
        <f t="shared" si="288"/>
        <v>4.5696832616808614</v>
      </c>
      <c r="P119" s="26">
        <f t="shared" si="288"/>
        <v>10.513842118294235</v>
      </c>
      <c r="Q119" s="26">
        <f t="shared" ref="Q119:Q144" si="289">Q8-O8</f>
        <v>15.083525379975097</v>
      </c>
      <c r="W119" t="str">
        <f>A119</f>
        <v>11 Corporate managers and directors</v>
      </c>
      <c r="X119" s="26">
        <f t="shared" ref="X119:AA144" si="290">Y8-X8</f>
        <v>11.758990198580065</v>
      </c>
      <c r="Y119" s="26">
        <f t="shared" si="290"/>
        <v>4.3780530905708872</v>
      </c>
      <c r="Z119" s="26">
        <f t="shared" si="290"/>
        <v>-2.9713764648600005</v>
      </c>
      <c r="AA119" s="26">
        <f t="shared" si="290"/>
        <v>14.589405747327206</v>
      </c>
      <c r="AB119" s="26">
        <f t="shared" ref="AB119:AB144" si="291">AB8-Z8</f>
        <v>11.618029282467205</v>
      </c>
      <c r="AH119" t="str">
        <f>L119</f>
        <v>11 Corporate managers and directors</v>
      </c>
      <c r="AI119" s="26">
        <f t="shared" ref="AI119:AL144" si="292">AJ8-AI8</f>
        <v>1.282660128525734</v>
      </c>
      <c r="AJ119" s="26">
        <f t="shared" si="292"/>
        <v>1.5676424143439576</v>
      </c>
      <c r="AK119" s="26">
        <f t="shared" si="292"/>
        <v>-1.3369909394518071</v>
      </c>
      <c r="AL119" s="26">
        <f t="shared" si="292"/>
        <v>1.8638575891129321</v>
      </c>
      <c r="AM119" s="26">
        <f t="shared" ref="AM119:AM144" si="293">AM8-AK8</f>
        <v>0.52686664966112495</v>
      </c>
      <c r="AS119" t="str">
        <f>W119</f>
        <v>11 Corporate managers and directors</v>
      </c>
      <c r="AT119" s="26">
        <f t="shared" ref="AT119:AW144" si="294">AU8-AT8</f>
        <v>1.9869039780601234</v>
      </c>
      <c r="AU119" s="26">
        <f t="shared" si="294"/>
        <v>2.4681091607838717</v>
      </c>
      <c r="AV119" s="26">
        <f t="shared" si="294"/>
        <v>-1.9283744630491668</v>
      </c>
      <c r="AW119" s="26">
        <f t="shared" si="294"/>
        <v>3.218348549857879</v>
      </c>
      <c r="AX119" s="26">
        <f t="shared" ref="AX119:AX144" si="295">AX8-AV8</f>
        <v>1.2899740868087122</v>
      </c>
      <c r="BD119" t="str">
        <f>AH119</f>
        <v>11 Corporate managers and directors</v>
      </c>
      <c r="BE119" s="26">
        <f t="shared" ref="BE119:BH144" si="296">BF8-BE8</f>
        <v>7.0236585321654772</v>
      </c>
      <c r="BF119" s="26">
        <f t="shared" si="296"/>
        <v>-1.6218979473159507</v>
      </c>
      <c r="BG119" s="26">
        <f t="shared" si="296"/>
        <v>-2.4386171594769905</v>
      </c>
      <c r="BH119" s="26">
        <f t="shared" si="296"/>
        <v>5.0462034905998436</v>
      </c>
      <c r="BI119" s="26">
        <f t="shared" ref="BI119:BI144" si="297">BI8-BG8</f>
        <v>2.6075863311228531</v>
      </c>
      <c r="BO119" t="str">
        <f>AS119</f>
        <v>11 Corporate managers and directors</v>
      </c>
      <c r="BP119" s="26">
        <f t="shared" ref="BP119:BS144" si="298">BQ8-BP8</f>
        <v>2.0747359198930511</v>
      </c>
      <c r="BQ119" s="26">
        <f t="shared" si="298"/>
        <v>1.6572462799110994</v>
      </c>
      <c r="BR119" s="26">
        <f t="shared" si="298"/>
        <v>-7.3465324813449087</v>
      </c>
      <c r="BS119" s="26">
        <f t="shared" si="298"/>
        <v>-5.2079805707434303</v>
      </c>
      <c r="BT119" s="26">
        <f t="shared" ref="BT119:BT144" si="299">BT8-BR8</f>
        <v>-12.554513052088339</v>
      </c>
      <c r="BZ119" t="str">
        <f>BD119</f>
        <v>11 Corporate managers and directors</v>
      </c>
      <c r="CA119" s="67">
        <f t="shared" ref="CA119:CD144" si="300">CB8-CA8</f>
        <v>2.2994278798586585</v>
      </c>
      <c r="CB119" s="67">
        <f t="shared" si="300"/>
        <v>-1.1864187840434717</v>
      </c>
      <c r="CC119" s="67">
        <f t="shared" si="300"/>
        <v>-2.8910040758931963</v>
      </c>
      <c r="CD119" s="67">
        <f t="shared" si="300"/>
        <v>-4.3926600701997494</v>
      </c>
      <c r="CE119" s="67">
        <f t="shared" ref="CE119:CE144" si="301">CE8-CC8</f>
        <v>-7.2836641460929457</v>
      </c>
      <c r="CK119" t="str">
        <f>BO119</f>
        <v>11 Corporate managers and directors</v>
      </c>
      <c r="CL119" s="67">
        <f t="shared" ref="CL119:CO144" si="302">CM8-CL8</f>
        <v>1.1355645862791199</v>
      </c>
      <c r="CM119" s="67">
        <f t="shared" si="302"/>
        <v>-1.2942034528492314</v>
      </c>
      <c r="CN119" s="67">
        <f t="shared" si="302"/>
        <v>-0.86150065555159117</v>
      </c>
      <c r="CO119" s="67">
        <f t="shared" si="302"/>
        <v>-0.41915113537325377</v>
      </c>
      <c r="CP119" s="67">
        <f t="shared" ref="CP119:CP144" si="303">CP8-CN8</f>
        <v>-1.2806517909248449</v>
      </c>
    </row>
    <row r="120" spans="1:94" x14ac:dyDescent="0.3">
      <c r="A120" t="str">
        <f t="shared" si="285"/>
        <v>12 Other managers and proprietors</v>
      </c>
      <c r="B120" s="26">
        <f t="shared" si="286"/>
        <v>0.22544473533162046</v>
      </c>
      <c r="C120" s="26">
        <f t="shared" si="286"/>
        <v>-4.3309677223479559E-2</v>
      </c>
      <c r="D120" s="26">
        <f t="shared" si="286"/>
        <v>0.73119045262489202</v>
      </c>
      <c r="E120" s="26">
        <f t="shared" si="286"/>
        <v>0.8195416512502558</v>
      </c>
      <c r="F120" s="26">
        <f t="shared" si="287"/>
        <v>1.5507321038751478</v>
      </c>
      <c r="L120" t="str">
        <f t="shared" ref="L120:L143" si="304">A120</f>
        <v>12 Other managers and proprietors</v>
      </c>
      <c r="M120" s="26">
        <f t="shared" si="288"/>
        <v>2.4622221112011786</v>
      </c>
      <c r="N120" s="26">
        <f t="shared" si="288"/>
        <v>-0.32773226074447059</v>
      </c>
      <c r="O120" s="26">
        <f t="shared" si="288"/>
        <v>5.6424334793071385</v>
      </c>
      <c r="P120" s="26">
        <f t="shared" si="288"/>
        <v>7.064507964931213</v>
      </c>
      <c r="Q120" s="26">
        <f t="shared" si="289"/>
        <v>12.706941444238351</v>
      </c>
      <c r="W120" t="str">
        <f t="shared" ref="W120:W143" si="305">A120</f>
        <v>12 Other managers and proprietors</v>
      </c>
      <c r="X120" s="26">
        <f t="shared" si="290"/>
        <v>1.5398621951087783</v>
      </c>
      <c r="Y120" s="26">
        <f t="shared" si="290"/>
        <v>2.4814448615608171</v>
      </c>
      <c r="Z120" s="26">
        <f t="shared" si="290"/>
        <v>6.4491836682953547</v>
      </c>
      <c r="AA120" s="26">
        <f t="shared" si="290"/>
        <v>9.1158629239410445</v>
      </c>
      <c r="AB120" s="26">
        <f t="shared" si="291"/>
        <v>15.565046592236399</v>
      </c>
      <c r="AH120" t="str">
        <f t="shared" ref="AH120:AH143" si="306">L120</f>
        <v>12 Other managers and proprietors</v>
      </c>
      <c r="AI120" s="26">
        <f t="shared" si="292"/>
        <v>0.61169647911062341</v>
      </c>
      <c r="AJ120" s="26">
        <f t="shared" si="292"/>
        <v>1.266509228024546</v>
      </c>
      <c r="AK120" s="26">
        <f t="shared" si="292"/>
        <v>1.5632475550317615</v>
      </c>
      <c r="AL120" s="26">
        <f t="shared" si="292"/>
        <v>2.8170954454340684</v>
      </c>
      <c r="AM120" s="26">
        <f t="shared" si="293"/>
        <v>4.3803430004658299</v>
      </c>
      <c r="AS120" t="str">
        <f t="shared" ref="AS120:AS143" si="307">W120</f>
        <v>12 Other managers and proprietors</v>
      </c>
      <c r="AT120" s="26">
        <f t="shared" si="294"/>
        <v>0.45676424138632843</v>
      </c>
      <c r="AU120" s="26">
        <f t="shared" si="294"/>
        <v>0.89188124983540273</v>
      </c>
      <c r="AV120" s="26">
        <f t="shared" si="294"/>
        <v>2.0524643314717022</v>
      </c>
      <c r="AW120" s="26">
        <f t="shared" si="294"/>
        <v>2.6590793877147973</v>
      </c>
      <c r="AX120" s="26">
        <f t="shared" si="295"/>
        <v>4.7115437191864995</v>
      </c>
      <c r="BD120" t="str">
        <f t="shared" ref="BD120:BD143" si="308">AH120</f>
        <v>12 Other managers and proprietors</v>
      </c>
      <c r="BE120" s="26">
        <f t="shared" si="296"/>
        <v>-0.1356607905751801</v>
      </c>
      <c r="BF120" s="26">
        <f t="shared" si="296"/>
        <v>-1.1999487869239722</v>
      </c>
      <c r="BG120" s="26">
        <f t="shared" si="296"/>
        <v>4.8203963091386193</v>
      </c>
      <c r="BH120" s="26">
        <f t="shared" si="296"/>
        <v>2.9569185366209396</v>
      </c>
      <c r="BI120" s="26">
        <f t="shared" si="297"/>
        <v>7.7773148457595589</v>
      </c>
      <c r="BO120" t="str">
        <f t="shared" ref="BO120:BO143" si="309">AS120</f>
        <v>12 Other managers and proprietors</v>
      </c>
      <c r="BP120" s="26">
        <f t="shared" si="298"/>
        <v>0.4272055053006163</v>
      </c>
      <c r="BQ120" s="26">
        <f t="shared" si="298"/>
        <v>-0.33588327311543509</v>
      </c>
      <c r="BR120" s="26">
        <f t="shared" si="298"/>
        <v>3.6312422433180309</v>
      </c>
      <c r="BS120" s="26">
        <f t="shared" si="298"/>
        <v>-0.43655495979369263</v>
      </c>
      <c r="BT120" s="26">
        <f t="shared" si="299"/>
        <v>3.1946872835243383</v>
      </c>
      <c r="BZ120" t="str">
        <f t="shared" ref="BZ120:BZ143" si="310">BD120</f>
        <v>12 Other managers and proprietors</v>
      </c>
      <c r="CA120" s="67">
        <f t="shared" si="300"/>
        <v>-0.55026059750106526</v>
      </c>
      <c r="CB120" s="67">
        <f t="shared" si="300"/>
        <v>-0.70349073476661594</v>
      </c>
      <c r="CC120" s="67">
        <f t="shared" si="300"/>
        <v>1.1314349752281352</v>
      </c>
      <c r="CD120" s="67">
        <f t="shared" si="300"/>
        <v>-2.1230450062134629</v>
      </c>
      <c r="CE120" s="67">
        <f t="shared" si="301"/>
        <v>-0.99161003098532774</v>
      </c>
      <c r="CK120" t="str">
        <f t="shared" ref="CK120:CK143" si="311">BO120</f>
        <v>12 Other managers and proprietors</v>
      </c>
      <c r="CL120" s="67">
        <f t="shared" si="302"/>
        <v>0.24954525149150619</v>
      </c>
      <c r="CM120" s="67">
        <f t="shared" si="302"/>
        <v>-1.0884131789049243</v>
      </c>
      <c r="CN120" s="67">
        <f t="shared" si="302"/>
        <v>0.88800716521107814</v>
      </c>
      <c r="CO120" s="67">
        <f t="shared" si="302"/>
        <v>-0.55779803807077677</v>
      </c>
      <c r="CP120" s="67">
        <f t="shared" si="303"/>
        <v>0.33020912714030137</v>
      </c>
    </row>
    <row r="121" spans="1:94" x14ac:dyDescent="0.3">
      <c r="A121" t="str">
        <f t="shared" si="285"/>
        <v>21 Science, research, engineering and technology professionals</v>
      </c>
      <c r="B121" s="26">
        <f t="shared" si="286"/>
        <v>1.9957014612191024</v>
      </c>
      <c r="C121" s="26">
        <f t="shared" si="286"/>
        <v>-0.23469263464218493</v>
      </c>
      <c r="D121" s="26">
        <f t="shared" si="286"/>
        <v>2.507775904834487</v>
      </c>
      <c r="E121" s="26">
        <f t="shared" si="286"/>
        <v>3.1657638852355916</v>
      </c>
      <c r="F121" s="26">
        <f t="shared" si="287"/>
        <v>5.6735397900700786</v>
      </c>
      <c r="L121" t="str">
        <f t="shared" si="304"/>
        <v>21 Science, research, engineering and technology professionals</v>
      </c>
      <c r="M121" s="26">
        <f t="shared" si="288"/>
        <v>8.7258393707036639</v>
      </c>
      <c r="N121" s="26">
        <f t="shared" si="288"/>
        <v>1.1770168388703439</v>
      </c>
      <c r="O121" s="26">
        <f t="shared" si="288"/>
        <v>11.576771956696497</v>
      </c>
      <c r="P121" s="26">
        <f t="shared" si="288"/>
        <v>15.463744510121366</v>
      </c>
      <c r="Q121" s="26">
        <f t="shared" si="289"/>
        <v>27.040516466817863</v>
      </c>
      <c r="W121" t="str">
        <f t="shared" si="305"/>
        <v>21 Science, research, engineering and technology professionals</v>
      </c>
      <c r="X121" s="26">
        <f t="shared" si="290"/>
        <v>7.2934945444239645</v>
      </c>
      <c r="Y121" s="26">
        <f t="shared" si="290"/>
        <v>5.9480952556468765</v>
      </c>
      <c r="Z121" s="26">
        <f t="shared" si="290"/>
        <v>1.8080390340062422</v>
      </c>
      <c r="AA121" s="26">
        <f t="shared" si="290"/>
        <v>9.936256673180452</v>
      </c>
      <c r="AB121" s="26">
        <f t="shared" si="291"/>
        <v>11.744295707186694</v>
      </c>
      <c r="AH121" t="str">
        <f t="shared" si="306"/>
        <v>21 Science, research, engineering and technology professionals</v>
      </c>
      <c r="AI121" s="26">
        <f t="shared" si="292"/>
        <v>0.39392546630896064</v>
      </c>
      <c r="AJ121" s="26">
        <f t="shared" si="292"/>
        <v>1.0187123594069556</v>
      </c>
      <c r="AK121" s="26">
        <f t="shared" si="292"/>
        <v>0.16240021789506631</v>
      </c>
      <c r="AL121" s="26">
        <f t="shared" si="292"/>
        <v>1.5296057433518655</v>
      </c>
      <c r="AM121" s="26">
        <f t="shared" si="293"/>
        <v>1.6920059612469318</v>
      </c>
      <c r="AS121" t="str">
        <f t="shared" si="307"/>
        <v>21 Science, research, engineering and technology professionals</v>
      </c>
      <c r="AT121" s="26">
        <f t="shared" si="294"/>
        <v>1.2110598622641824</v>
      </c>
      <c r="AU121" s="26">
        <f t="shared" si="294"/>
        <v>0.77314071470644663</v>
      </c>
      <c r="AV121" s="26">
        <f t="shared" si="294"/>
        <v>-1.5700065977908508</v>
      </c>
      <c r="AW121" s="26">
        <f t="shared" si="294"/>
        <v>1.0829296338516698</v>
      </c>
      <c r="AX121" s="26">
        <f t="shared" si="295"/>
        <v>-0.48707696393918098</v>
      </c>
      <c r="BD121" t="str">
        <f t="shared" si="308"/>
        <v>21 Science, research, engineering and technology professionals</v>
      </c>
      <c r="BE121" s="26">
        <f t="shared" si="296"/>
        <v>2.5112431225615772</v>
      </c>
      <c r="BF121" s="26">
        <f t="shared" si="296"/>
        <v>-1.2876045953638275</v>
      </c>
      <c r="BG121" s="26">
        <f t="shared" si="296"/>
        <v>0.31571919042016816</v>
      </c>
      <c r="BH121" s="26">
        <f t="shared" si="296"/>
        <v>0.8515282390775738</v>
      </c>
      <c r="BI121" s="26">
        <f t="shared" si="297"/>
        <v>1.167247429497742</v>
      </c>
      <c r="BO121" t="str">
        <f t="shared" si="309"/>
        <v>21 Science, research, engineering and technology professionals</v>
      </c>
      <c r="BP121" s="26">
        <f t="shared" si="298"/>
        <v>1.4034325813944761</v>
      </c>
      <c r="BQ121" s="26">
        <f t="shared" si="298"/>
        <v>1.8858146767620312</v>
      </c>
      <c r="BR121" s="26">
        <f t="shared" si="298"/>
        <v>-1.6053509808216084</v>
      </c>
      <c r="BS121" s="26">
        <f t="shared" si="298"/>
        <v>-1.3816362614420328</v>
      </c>
      <c r="BT121" s="26">
        <f t="shared" si="299"/>
        <v>-2.9869872422636412</v>
      </c>
      <c r="BZ121" t="str">
        <f t="shared" si="310"/>
        <v>21 Science, research, engineering and technology professionals</v>
      </c>
      <c r="CA121" s="67">
        <f t="shared" si="300"/>
        <v>0.81039626265791931</v>
      </c>
      <c r="CB121" s="67">
        <f t="shared" si="300"/>
        <v>-0.92922683358211877</v>
      </c>
      <c r="CC121" s="67">
        <f t="shared" si="300"/>
        <v>-0.54583163488712749</v>
      </c>
      <c r="CD121" s="67">
        <f t="shared" si="300"/>
        <v>-3.5745107238480447</v>
      </c>
      <c r="CE121" s="67">
        <f t="shared" si="301"/>
        <v>-4.1203423587351722</v>
      </c>
      <c r="CK121" t="str">
        <f t="shared" si="311"/>
        <v>21 Science, research, engineering and technology professionals</v>
      </c>
      <c r="CL121" s="67">
        <f t="shared" si="302"/>
        <v>0.76125698390830143</v>
      </c>
      <c r="CM121" s="67">
        <f t="shared" si="302"/>
        <v>-0.59240060205598333</v>
      </c>
      <c r="CN121" s="67">
        <f t="shared" si="302"/>
        <v>0.38430537909710516</v>
      </c>
      <c r="CO121" s="67">
        <f t="shared" si="302"/>
        <v>-0.33637353545912685</v>
      </c>
      <c r="CP121" s="67">
        <f t="shared" si="303"/>
        <v>4.7931843637978311E-2</v>
      </c>
    </row>
    <row r="122" spans="1:94" x14ac:dyDescent="0.3">
      <c r="A122" t="str">
        <f t="shared" si="285"/>
        <v>22 Health professionals</v>
      </c>
      <c r="B122" s="26">
        <f t="shared" si="286"/>
        <v>2.1329527481468196</v>
      </c>
      <c r="C122" s="26">
        <f t="shared" si="286"/>
        <v>-1.0088674668840545</v>
      </c>
      <c r="D122" s="26">
        <f t="shared" si="286"/>
        <v>2.3726954688322612</v>
      </c>
      <c r="E122" s="26">
        <f t="shared" si="286"/>
        <v>3.0866022101997377</v>
      </c>
      <c r="F122" s="26">
        <f t="shared" si="287"/>
        <v>5.4592976790319989</v>
      </c>
      <c r="L122" t="str">
        <f t="shared" si="304"/>
        <v>22 Health professionals</v>
      </c>
      <c r="M122" s="26">
        <f t="shared" si="288"/>
        <v>7.1067005624636899</v>
      </c>
      <c r="N122" s="26">
        <f t="shared" si="288"/>
        <v>-2.599928566081104</v>
      </c>
      <c r="O122" s="26">
        <f t="shared" si="288"/>
        <v>6.8257912518038459</v>
      </c>
      <c r="P122" s="26">
        <f t="shared" si="288"/>
        <v>8.8268156067576662</v>
      </c>
      <c r="Q122" s="26">
        <f t="shared" si="289"/>
        <v>15.652606858561512</v>
      </c>
      <c r="W122" t="str">
        <f t="shared" si="305"/>
        <v>22 Health professionals</v>
      </c>
      <c r="X122" s="26">
        <f t="shared" si="290"/>
        <v>8.5043623264630099</v>
      </c>
      <c r="Y122" s="26">
        <f t="shared" si="290"/>
        <v>2.6317640300965053</v>
      </c>
      <c r="Z122" s="26">
        <f t="shared" si="290"/>
        <v>4.0384122394994293</v>
      </c>
      <c r="AA122" s="26">
        <f t="shared" si="290"/>
        <v>9.5425492109598551</v>
      </c>
      <c r="AB122" s="26">
        <f t="shared" si="291"/>
        <v>13.580961450459284</v>
      </c>
      <c r="AH122" t="str">
        <f t="shared" si="306"/>
        <v>22 Health professionals</v>
      </c>
      <c r="AI122" s="26">
        <f t="shared" si="292"/>
        <v>-2.6105291862981446</v>
      </c>
      <c r="AJ122" s="26">
        <f t="shared" si="292"/>
        <v>-0.55827718169718921</v>
      </c>
      <c r="AK122" s="26">
        <f t="shared" si="292"/>
        <v>-6.0488102400268158</v>
      </c>
      <c r="AL122" s="26">
        <f t="shared" si="292"/>
        <v>-4.5542624128499165</v>
      </c>
      <c r="AM122" s="26">
        <f t="shared" si="293"/>
        <v>-10.603072652876733</v>
      </c>
      <c r="AS122" t="str">
        <f t="shared" si="307"/>
        <v>22 Health professionals</v>
      </c>
      <c r="AT122" s="26">
        <f t="shared" si="294"/>
        <v>0.59537664931515843</v>
      </c>
      <c r="AU122" s="26">
        <f t="shared" si="294"/>
        <v>0.79076236918772613</v>
      </c>
      <c r="AV122" s="26">
        <f t="shared" si="294"/>
        <v>0.12751340382435306</v>
      </c>
      <c r="AW122" s="26">
        <f t="shared" si="294"/>
        <v>0.74925887015435499</v>
      </c>
      <c r="AX122" s="26">
        <f t="shared" si="295"/>
        <v>0.87677227397870805</v>
      </c>
      <c r="BD122" t="str">
        <f t="shared" si="308"/>
        <v>22 Health professionals</v>
      </c>
      <c r="BE122" s="26">
        <f t="shared" si="296"/>
        <v>1.5850346079711652</v>
      </c>
      <c r="BF122" s="26">
        <f t="shared" si="296"/>
        <v>-0.14287626601883119</v>
      </c>
      <c r="BG122" s="26">
        <f t="shared" si="296"/>
        <v>1.9804423640741806</v>
      </c>
      <c r="BH122" s="26">
        <f t="shared" si="296"/>
        <v>1.2339685526106905</v>
      </c>
      <c r="BI122" s="26">
        <f t="shared" si="297"/>
        <v>3.2144109166848711</v>
      </c>
      <c r="BO122" t="str">
        <f t="shared" si="309"/>
        <v>22 Health professionals</v>
      </c>
      <c r="BP122" s="26">
        <f t="shared" si="298"/>
        <v>1.8095962843771893</v>
      </c>
      <c r="BQ122" s="26">
        <f t="shared" si="298"/>
        <v>-0.63165547383320586</v>
      </c>
      <c r="BR122" s="26">
        <f t="shared" si="298"/>
        <v>0.60697716218538922</v>
      </c>
      <c r="BS122" s="26">
        <f t="shared" si="298"/>
        <v>-1.2331560654907499</v>
      </c>
      <c r="BT122" s="26">
        <f t="shared" si="299"/>
        <v>-0.62617890330536063</v>
      </c>
      <c r="BZ122" t="str">
        <f t="shared" si="310"/>
        <v>22 Health professionals</v>
      </c>
      <c r="CA122" s="67">
        <f t="shared" si="300"/>
        <v>1.8974232915725704</v>
      </c>
      <c r="CB122" s="67">
        <f t="shared" si="300"/>
        <v>-1.5651014315738996</v>
      </c>
      <c r="CC122" s="67">
        <f t="shared" si="300"/>
        <v>6.9487382261154806E-2</v>
      </c>
      <c r="CD122" s="67">
        <f t="shared" si="300"/>
        <v>-1.8570129011572334</v>
      </c>
      <c r="CE122" s="67">
        <f t="shared" si="301"/>
        <v>-1.7875255188960786</v>
      </c>
      <c r="CK122" t="str">
        <f t="shared" si="311"/>
        <v>22 Health professionals</v>
      </c>
      <c r="CL122" s="67">
        <f t="shared" si="302"/>
        <v>0.29901549409568962</v>
      </c>
      <c r="CM122" s="67">
        <f t="shared" si="302"/>
        <v>-0.23094189460669345</v>
      </c>
      <c r="CN122" s="67">
        <f t="shared" si="302"/>
        <v>0.11585136815385977</v>
      </c>
      <c r="CO122" s="67">
        <f t="shared" si="302"/>
        <v>0.10247654130936434</v>
      </c>
      <c r="CP122" s="67">
        <f t="shared" si="303"/>
        <v>0.21832790946322411</v>
      </c>
    </row>
    <row r="123" spans="1:94" x14ac:dyDescent="0.3">
      <c r="A123" t="str">
        <f t="shared" si="285"/>
        <v>23 Teaching and other educational professionals</v>
      </c>
      <c r="B123" s="26">
        <f t="shared" si="286"/>
        <v>2.0153604687358335</v>
      </c>
      <c r="C123" s="26">
        <f t="shared" si="286"/>
        <v>0.23569686343119223</v>
      </c>
      <c r="D123" s="26">
        <f t="shared" si="286"/>
        <v>2.1248265971359146</v>
      </c>
      <c r="E123" s="26">
        <f t="shared" si="286"/>
        <v>2.6545549699895616</v>
      </c>
      <c r="F123" s="26">
        <f t="shared" si="287"/>
        <v>4.7793815671254762</v>
      </c>
      <c r="L123" t="str">
        <f t="shared" si="304"/>
        <v>23 Teaching and other educational professionals</v>
      </c>
      <c r="M123" s="26">
        <f t="shared" si="288"/>
        <v>15.493264100861182</v>
      </c>
      <c r="N123" s="26">
        <f t="shared" si="288"/>
        <v>-0.27336521732991059</v>
      </c>
      <c r="O123" s="26">
        <f t="shared" si="288"/>
        <v>12.851175668734996</v>
      </c>
      <c r="P123" s="26">
        <f t="shared" si="288"/>
        <v>15.709862750238614</v>
      </c>
      <c r="Q123" s="26">
        <f t="shared" si="289"/>
        <v>28.56103841897361</v>
      </c>
      <c r="W123" t="str">
        <f t="shared" si="305"/>
        <v>23 Teaching and other educational professionals</v>
      </c>
      <c r="X123" s="26">
        <f t="shared" si="290"/>
        <v>-0.10944460337044859</v>
      </c>
      <c r="Y123" s="26">
        <f t="shared" si="290"/>
        <v>6.0416899542686266</v>
      </c>
      <c r="Z123" s="26">
        <f t="shared" si="290"/>
        <v>-8.5991157650165704</v>
      </c>
      <c r="AA123" s="26">
        <f t="shared" si="290"/>
        <v>-5.1518715311547609</v>
      </c>
      <c r="AB123" s="26">
        <f t="shared" si="291"/>
        <v>-13.750987296171331</v>
      </c>
      <c r="AH123" t="str">
        <f t="shared" si="306"/>
        <v>23 Teaching and other educational professionals</v>
      </c>
      <c r="AI123" s="26">
        <f t="shared" si="292"/>
        <v>-2.2755800305897282</v>
      </c>
      <c r="AJ123" s="26">
        <f t="shared" si="292"/>
        <v>-0.12765422637990786</v>
      </c>
      <c r="AK123" s="26">
        <f t="shared" si="292"/>
        <v>-1.3324020133929952</v>
      </c>
      <c r="AL123" s="26">
        <f t="shared" si="292"/>
        <v>6.5765800983840439E-2</v>
      </c>
      <c r="AM123" s="26">
        <f t="shared" si="293"/>
        <v>-1.2666362124091548</v>
      </c>
      <c r="AS123" t="str">
        <f t="shared" si="307"/>
        <v>23 Teaching and other educational professionals</v>
      </c>
      <c r="AT123" s="26">
        <f t="shared" si="294"/>
        <v>6.6403570871038875E-2</v>
      </c>
      <c r="AU123" s="26">
        <f t="shared" si="294"/>
        <v>9.7569142767783612E-2</v>
      </c>
      <c r="AV123" s="26">
        <f t="shared" si="294"/>
        <v>-0.30217736830568587</v>
      </c>
      <c r="AW123" s="26">
        <f t="shared" si="294"/>
        <v>-0.13218494364070543</v>
      </c>
      <c r="AX123" s="26">
        <f t="shared" si="295"/>
        <v>-0.4343623119463913</v>
      </c>
      <c r="BD123" t="str">
        <f t="shared" si="308"/>
        <v>23 Teaching and other educational professionals</v>
      </c>
      <c r="BE123" s="26">
        <f t="shared" si="296"/>
        <v>0.31666807330073077</v>
      </c>
      <c r="BF123" s="26">
        <f t="shared" si="296"/>
        <v>1.0146872014127339E-2</v>
      </c>
      <c r="BG123" s="26">
        <f t="shared" si="296"/>
        <v>0.61515757948337324</v>
      </c>
      <c r="BH123" s="26">
        <f t="shared" si="296"/>
        <v>1.6050372204526315</v>
      </c>
      <c r="BI123" s="26">
        <f t="shared" si="297"/>
        <v>2.2201947999360048</v>
      </c>
      <c r="BO123" t="str">
        <f t="shared" si="309"/>
        <v>23 Teaching and other educational professionals</v>
      </c>
      <c r="BP123" s="26">
        <f t="shared" si="298"/>
        <v>0.45470233712195096</v>
      </c>
      <c r="BQ123" s="26">
        <f t="shared" si="298"/>
        <v>-0.12122119597000314</v>
      </c>
      <c r="BR123" s="26">
        <f t="shared" si="298"/>
        <v>-0.10660849021398722</v>
      </c>
      <c r="BS123" s="26">
        <f t="shared" si="298"/>
        <v>-0.43246226369888774</v>
      </c>
      <c r="BT123" s="26">
        <f t="shared" si="299"/>
        <v>-0.53907075391287496</v>
      </c>
      <c r="BZ123" t="str">
        <f t="shared" si="310"/>
        <v>23 Teaching and other educational professionals</v>
      </c>
      <c r="CA123" s="67">
        <f t="shared" si="300"/>
        <v>0.47350588127947635</v>
      </c>
      <c r="CB123" s="67">
        <f t="shared" si="300"/>
        <v>4.7681115476958524E-3</v>
      </c>
      <c r="CC123" s="67">
        <f t="shared" si="300"/>
        <v>-6.7238561138258213E-2</v>
      </c>
      <c r="CD123" s="67">
        <f t="shared" si="300"/>
        <v>-0.60493368751123588</v>
      </c>
      <c r="CE123" s="67">
        <f t="shared" si="301"/>
        <v>-0.6721722486494941</v>
      </c>
      <c r="CK123" t="str">
        <f t="shared" si="311"/>
        <v>23 Teaching and other educational professionals</v>
      </c>
      <c r="CL123" s="67">
        <f t="shared" si="302"/>
        <v>0.19945732552413797</v>
      </c>
      <c r="CM123" s="67">
        <f t="shared" si="302"/>
        <v>-8.4807730832629491E-2</v>
      </c>
      <c r="CN123" s="67">
        <f t="shared" si="302"/>
        <v>4.936978530355518E-2</v>
      </c>
      <c r="CO123" s="67">
        <f t="shared" si="302"/>
        <v>-0.12713687817820862</v>
      </c>
      <c r="CP123" s="67">
        <f t="shared" si="303"/>
        <v>-7.7767092874653443E-2</v>
      </c>
    </row>
    <row r="124" spans="1:94" x14ac:dyDescent="0.3">
      <c r="A124" t="str">
        <f t="shared" si="285"/>
        <v>24 Business, media and public service professionals</v>
      </c>
      <c r="B124" s="26">
        <f t="shared" si="286"/>
        <v>0.72185838579444228</v>
      </c>
      <c r="C124" s="26">
        <f t="shared" si="286"/>
        <v>0.19192406166924281</v>
      </c>
      <c r="D124" s="26">
        <f t="shared" si="286"/>
        <v>1.318340481767597</v>
      </c>
      <c r="E124" s="26">
        <f t="shared" si="286"/>
        <v>1.5981562189715284</v>
      </c>
      <c r="F124" s="26">
        <f t="shared" si="287"/>
        <v>2.9164967007391254</v>
      </c>
      <c r="L124" t="str">
        <f t="shared" si="304"/>
        <v>24 Business, media and public service professionals</v>
      </c>
      <c r="M124" s="26">
        <f t="shared" si="288"/>
        <v>10.086757120972415</v>
      </c>
      <c r="N124" s="26">
        <f t="shared" si="288"/>
        <v>0.39162829172456526</v>
      </c>
      <c r="O124" s="26">
        <f t="shared" si="288"/>
        <v>13.873282608904631</v>
      </c>
      <c r="P124" s="26">
        <f t="shared" si="288"/>
        <v>16.491837143898302</v>
      </c>
      <c r="Q124" s="26">
        <f t="shared" si="289"/>
        <v>30.365119752802933</v>
      </c>
      <c r="W124" t="str">
        <f t="shared" si="305"/>
        <v>24 Business, media and public service professionals</v>
      </c>
      <c r="X124" s="26">
        <f t="shared" si="290"/>
        <v>10.30811399157853</v>
      </c>
      <c r="Y124" s="26">
        <f t="shared" si="290"/>
        <v>10.346787281501392</v>
      </c>
      <c r="Z124" s="26">
        <f t="shared" si="290"/>
        <v>6.5179097202179577</v>
      </c>
      <c r="AA124" s="26">
        <f t="shared" si="290"/>
        <v>14.129184536225026</v>
      </c>
      <c r="AB124" s="26">
        <f t="shared" si="291"/>
        <v>20.647094256442983</v>
      </c>
      <c r="AH124" t="str">
        <f t="shared" si="306"/>
        <v>24 Business, media and public service professionals</v>
      </c>
      <c r="AI124" s="26">
        <f t="shared" si="292"/>
        <v>-0.26864481303540444</v>
      </c>
      <c r="AJ124" s="26">
        <f t="shared" si="292"/>
        <v>1.2536058544784803</v>
      </c>
      <c r="AK124" s="26">
        <f t="shared" si="292"/>
        <v>-0.34820728185359684</v>
      </c>
      <c r="AL124" s="26">
        <f t="shared" si="292"/>
        <v>1.0651191162411191</v>
      </c>
      <c r="AM124" s="26">
        <f t="shared" si="293"/>
        <v>0.71691183438752226</v>
      </c>
      <c r="AS124" t="str">
        <f t="shared" si="307"/>
        <v>24 Business, media and public service professionals</v>
      </c>
      <c r="AT124" s="26">
        <f t="shared" si="294"/>
        <v>1.3539965121436239</v>
      </c>
      <c r="AU124" s="26">
        <f t="shared" si="294"/>
        <v>1.8154983743051556</v>
      </c>
      <c r="AV124" s="26">
        <f t="shared" si="294"/>
        <v>1.1256755084744814</v>
      </c>
      <c r="AW124" s="26">
        <f t="shared" si="294"/>
        <v>2.8237287760717056</v>
      </c>
      <c r="AX124" s="26">
        <f t="shared" si="295"/>
        <v>3.949404284546187</v>
      </c>
      <c r="BD124" t="str">
        <f t="shared" si="308"/>
        <v>24 Business, media and public service professionals</v>
      </c>
      <c r="BE124" s="26">
        <f t="shared" si="296"/>
        <v>3.952893896712073</v>
      </c>
      <c r="BF124" s="26">
        <f t="shared" si="296"/>
        <v>0.49580904717827678</v>
      </c>
      <c r="BG124" s="26">
        <f t="shared" si="296"/>
        <v>5.0152826570796343</v>
      </c>
      <c r="BH124" s="26">
        <f t="shared" si="296"/>
        <v>4.3286906766086375</v>
      </c>
      <c r="BI124" s="26">
        <f t="shared" si="297"/>
        <v>9.3439733336882718</v>
      </c>
      <c r="BO124" t="str">
        <f t="shared" si="309"/>
        <v>24 Business, media and public service professionals</v>
      </c>
      <c r="BP124" s="26">
        <f t="shared" si="298"/>
        <v>1.3337907346507158</v>
      </c>
      <c r="BQ124" s="26">
        <f t="shared" si="298"/>
        <v>1.6129615698122137</v>
      </c>
      <c r="BR124" s="26">
        <f t="shared" si="298"/>
        <v>-0.370955874998387</v>
      </c>
      <c r="BS124" s="26">
        <f t="shared" si="298"/>
        <v>-2.3168917938808988</v>
      </c>
      <c r="BT124" s="26">
        <f t="shared" si="299"/>
        <v>-2.6878476688792858</v>
      </c>
      <c r="BZ124" t="str">
        <f t="shared" si="310"/>
        <v>24 Business, media and public service professionals</v>
      </c>
      <c r="CA124" s="67">
        <f t="shared" si="300"/>
        <v>1.672702256732018</v>
      </c>
      <c r="CB124" s="67">
        <f t="shared" si="300"/>
        <v>-0.30130770118821282</v>
      </c>
      <c r="CC124" s="67">
        <f t="shared" si="300"/>
        <v>0.11264802785087014</v>
      </c>
      <c r="CD124" s="67">
        <f t="shared" si="300"/>
        <v>-3.4290933035084077</v>
      </c>
      <c r="CE124" s="67">
        <f t="shared" si="301"/>
        <v>-3.3164452756575376</v>
      </c>
      <c r="CK124" t="str">
        <f t="shared" si="311"/>
        <v>24 Business, media and public service professionals</v>
      </c>
      <c r="CL124" s="67">
        <f t="shared" si="302"/>
        <v>0.80588989722704296</v>
      </c>
      <c r="CM124" s="67">
        <f t="shared" si="302"/>
        <v>-0.54855236054171996</v>
      </c>
      <c r="CN124" s="67">
        <f t="shared" si="302"/>
        <v>0.15031377124998535</v>
      </c>
      <c r="CO124" s="67">
        <f t="shared" si="302"/>
        <v>-0.15328475006383746</v>
      </c>
      <c r="CP124" s="67">
        <f t="shared" si="303"/>
        <v>-2.9709788138521098E-3</v>
      </c>
    </row>
    <row r="125" spans="1:94" x14ac:dyDescent="0.3">
      <c r="A125" t="str">
        <f t="shared" si="285"/>
        <v>31 Science, engineering and technology associate professionals</v>
      </c>
      <c r="B125" s="26">
        <f t="shared" si="286"/>
        <v>0.36772995941292363</v>
      </c>
      <c r="C125" s="26">
        <f t="shared" si="286"/>
        <v>7.3050055744205089E-2</v>
      </c>
      <c r="D125" s="26">
        <f t="shared" si="286"/>
        <v>0.28469881483735882</v>
      </c>
      <c r="E125" s="26">
        <f t="shared" si="286"/>
        <v>0.76313743112028698</v>
      </c>
      <c r="F125" s="26">
        <f t="shared" si="287"/>
        <v>1.0478362459576458</v>
      </c>
      <c r="L125" t="str">
        <f t="shared" si="304"/>
        <v>31 Science, engineering and technology associate professionals</v>
      </c>
      <c r="M125" s="26">
        <f t="shared" si="288"/>
        <v>1.6086043011277686</v>
      </c>
      <c r="N125" s="26">
        <f t="shared" si="288"/>
        <v>0.61803752598156159</v>
      </c>
      <c r="O125" s="26">
        <f t="shared" si="288"/>
        <v>0.63125865761162459</v>
      </c>
      <c r="P125" s="26">
        <f t="shared" si="288"/>
        <v>2.3776634827786989</v>
      </c>
      <c r="Q125" s="26">
        <f t="shared" si="289"/>
        <v>3.0089221403903235</v>
      </c>
      <c r="W125" t="str">
        <f t="shared" si="305"/>
        <v>31 Science, engineering and technology associate professionals</v>
      </c>
      <c r="X125" s="26">
        <f t="shared" si="290"/>
        <v>2.7885693193807448</v>
      </c>
      <c r="Y125" s="26">
        <f t="shared" si="290"/>
        <v>2.2265211553737814</v>
      </c>
      <c r="Z125" s="26">
        <f t="shared" si="290"/>
        <v>-1.6148963256554936</v>
      </c>
      <c r="AA125" s="26">
        <f t="shared" si="290"/>
        <v>2.5533772277909996</v>
      </c>
      <c r="AB125" s="26">
        <f t="shared" si="291"/>
        <v>0.93848090213550606</v>
      </c>
      <c r="AH125" t="str">
        <f t="shared" si="306"/>
        <v>31 Science, engineering and technology associate professionals</v>
      </c>
      <c r="AI125" s="26">
        <f t="shared" si="292"/>
        <v>0.57035086108364696</v>
      </c>
      <c r="AJ125" s="26">
        <f t="shared" si="292"/>
        <v>0.50461917291610936</v>
      </c>
      <c r="AK125" s="26">
        <f t="shared" si="292"/>
        <v>5.1052937039037793E-3</v>
      </c>
      <c r="AL125" s="26">
        <f t="shared" si="292"/>
        <v>1.0969382425882466</v>
      </c>
      <c r="AM125" s="26">
        <f t="shared" si="293"/>
        <v>1.1020435362921503</v>
      </c>
      <c r="AS125" t="str">
        <f t="shared" si="307"/>
        <v>31 Science, engineering and technology associate professionals</v>
      </c>
      <c r="AT125" s="26">
        <f t="shared" si="294"/>
        <v>0.70279259722712784</v>
      </c>
      <c r="AU125" s="26">
        <f t="shared" si="294"/>
        <v>0.78739424733154983</v>
      </c>
      <c r="AV125" s="26">
        <f t="shared" si="294"/>
        <v>-1.2811407550397593</v>
      </c>
      <c r="AW125" s="26">
        <f t="shared" si="294"/>
        <v>0.13024749831203408</v>
      </c>
      <c r="AX125" s="26">
        <f t="shared" si="295"/>
        <v>-1.1508932567277252</v>
      </c>
      <c r="BD125" t="str">
        <f t="shared" si="308"/>
        <v>31 Science, engineering and technology associate professionals</v>
      </c>
      <c r="BE125" s="26">
        <f t="shared" si="296"/>
        <v>0.72661230522382247</v>
      </c>
      <c r="BF125" s="26">
        <f t="shared" si="296"/>
        <v>0.2652598782638087</v>
      </c>
      <c r="BG125" s="26">
        <f t="shared" si="296"/>
        <v>-2.2358357611101631</v>
      </c>
      <c r="BH125" s="26">
        <f t="shared" si="296"/>
        <v>-1.3511039402797973</v>
      </c>
      <c r="BI125" s="26">
        <f t="shared" si="297"/>
        <v>-3.5869397013899604</v>
      </c>
      <c r="BO125" t="str">
        <f t="shared" si="309"/>
        <v>31 Science, engineering and technology associate professionals</v>
      </c>
      <c r="BP125" s="26">
        <f t="shared" si="298"/>
        <v>0.8017217396379186</v>
      </c>
      <c r="BQ125" s="26">
        <f t="shared" si="298"/>
        <v>1.081451645385652</v>
      </c>
      <c r="BR125" s="26">
        <f t="shared" si="298"/>
        <v>-1.8802396137378183</v>
      </c>
      <c r="BS125" s="26">
        <f t="shared" si="298"/>
        <v>-9.7032918395888679E-2</v>
      </c>
      <c r="BT125" s="26">
        <f t="shared" si="299"/>
        <v>-1.977272532133707</v>
      </c>
      <c r="BZ125" t="str">
        <f t="shared" si="310"/>
        <v>31 Science, engineering and technology associate professionals</v>
      </c>
      <c r="CA125" s="67">
        <f t="shared" si="300"/>
        <v>0.95983978871730624</v>
      </c>
      <c r="CB125" s="67">
        <f t="shared" si="300"/>
        <v>0.34143065154191898</v>
      </c>
      <c r="CC125" s="67">
        <f t="shared" si="300"/>
        <v>-1.2880917407741395</v>
      </c>
      <c r="CD125" s="67">
        <f t="shared" si="300"/>
        <v>-0.77070613166642232</v>
      </c>
      <c r="CE125" s="67">
        <f t="shared" si="301"/>
        <v>-2.0587978724405618</v>
      </c>
      <c r="CK125" t="str">
        <f t="shared" si="311"/>
        <v>31 Science, engineering and technology associate professionals</v>
      </c>
      <c r="CL125" s="67">
        <f t="shared" si="302"/>
        <v>0.42438879253681927</v>
      </c>
      <c r="CM125" s="67">
        <f t="shared" si="302"/>
        <v>-0.10261191417735205</v>
      </c>
      <c r="CN125" s="67">
        <f t="shared" si="302"/>
        <v>-2.8863603678306315E-3</v>
      </c>
      <c r="CO125" s="67">
        <f t="shared" si="302"/>
        <v>0.39461000600818119</v>
      </c>
      <c r="CP125" s="67">
        <f t="shared" si="303"/>
        <v>0.39172364564035056</v>
      </c>
    </row>
    <row r="126" spans="1:94" x14ac:dyDescent="0.3">
      <c r="A126" t="str">
        <f t="shared" si="285"/>
        <v>32 Health and social care associate professionals</v>
      </c>
      <c r="B126" s="26">
        <f t="shared" si="286"/>
        <v>0.10194742976013244</v>
      </c>
      <c r="C126" s="26">
        <f t="shared" si="286"/>
        <v>-5.1720619431244202E-2</v>
      </c>
      <c r="D126" s="26">
        <f t="shared" si="286"/>
        <v>0.10004447951298764</v>
      </c>
      <c r="E126" s="26">
        <f t="shared" si="286"/>
        <v>0.16568332947762049</v>
      </c>
      <c r="F126" s="26">
        <f t="shared" si="287"/>
        <v>0.26572780899060811</v>
      </c>
      <c r="L126" t="str">
        <f t="shared" si="304"/>
        <v>32 Health and social care associate professionals</v>
      </c>
      <c r="M126" s="26">
        <f t="shared" si="288"/>
        <v>1.7747065762596215</v>
      </c>
      <c r="N126" s="26">
        <f t="shared" si="288"/>
        <v>-0.39514801144748635</v>
      </c>
      <c r="O126" s="26">
        <f t="shared" si="288"/>
        <v>1.7094708607718152</v>
      </c>
      <c r="P126" s="26">
        <f t="shared" si="288"/>
        <v>3.0660116957959795</v>
      </c>
      <c r="Q126" s="26">
        <f t="shared" si="289"/>
        <v>4.7754825565677947</v>
      </c>
      <c r="W126" t="str">
        <f t="shared" si="305"/>
        <v>32 Health and social care associate professionals</v>
      </c>
      <c r="X126" s="26">
        <f t="shared" si="290"/>
        <v>3.2383719245216565</v>
      </c>
      <c r="Y126" s="26">
        <f t="shared" si="290"/>
        <v>1.4721253607116722</v>
      </c>
      <c r="Z126" s="26">
        <f t="shared" si="290"/>
        <v>1.2433975151865333</v>
      </c>
      <c r="AA126" s="26">
        <f t="shared" si="290"/>
        <v>5.2190042716821452</v>
      </c>
      <c r="AB126" s="26">
        <f t="shared" si="291"/>
        <v>6.4624017868686785</v>
      </c>
      <c r="AH126" t="str">
        <f t="shared" si="306"/>
        <v>32 Health and social care associate professionals</v>
      </c>
      <c r="AI126" s="26">
        <f t="shared" si="292"/>
        <v>-0.51488586625313015</v>
      </c>
      <c r="AJ126" s="26">
        <f t="shared" si="292"/>
        <v>0.30089459651692074</v>
      </c>
      <c r="AK126" s="26">
        <f t="shared" si="292"/>
        <v>-2.4190333487577389</v>
      </c>
      <c r="AL126" s="26">
        <f t="shared" si="292"/>
        <v>-2.0440400080669625</v>
      </c>
      <c r="AM126" s="26">
        <f t="shared" si="293"/>
        <v>-4.463073356824701</v>
      </c>
      <c r="AS126" t="str">
        <f t="shared" si="307"/>
        <v>32 Health and social care associate professionals</v>
      </c>
      <c r="AT126" s="26">
        <f t="shared" si="294"/>
        <v>0.37253303047502695</v>
      </c>
      <c r="AU126" s="26">
        <f t="shared" si="294"/>
        <v>0.57574536146985844</v>
      </c>
      <c r="AV126" s="26">
        <f t="shared" si="294"/>
        <v>-0.19552280161094204</v>
      </c>
      <c r="AW126" s="26">
        <f t="shared" si="294"/>
        <v>0.44455905332823553</v>
      </c>
      <c r="AX126" s="26">
        <f t="shared" si="295"/>
        <v>0.24903625171729349</v>
      </c>
      <c r="BD126" t="str">
        <f t="shared" si="308"/>
        <v>32 Health and social care associate professionals</v>
      </c>
      <c r="BE126" s="26">
        <f t="shared" si="296"/>
        <v>1.4038021451139855</v>
      </c>
      <c r="BF126" s="26">
        <f t="shared" si="296"/>
        <v>0.17562888195467252</v>
      </c>
      <c r="BG126" s="26">
        <f t="shared" si="296"/>
        <v>0.81015381232916894</v>
      </c>
      <c r="BH126" s="26">
        <f t="shared" si="296"/>
        <v>1.5922300822313034</v>
      </c>
      <c r="BI126" s="26">
        <f t="shared" si="297"/>
        <v>2.4023838945604723</v>
      </c>
      <c r="BO126" t="str">
        <f t="shared" si="309"/>
        <v>32 Health and social care associate professionals</v>
      </c>
      <c r="BP126" s="26">
        <f t="shared" si="298"/>
        <v>1.4790873569171241</v>
      </c>
      <c r="BQ126" s="26">
        <f t="shared" si="298"/>
        <v>-0.78737469022798923</v>
      </c>
      <c r="BR126" s="26">
        <f t="shared" si="298"/>
        <v>4.9474767369593664E-2</v>
      </c>
      <c r="BS126" s="26">
        <f t="shared" si="298"/>
        <v>-0.91558863205232033</v>
      </c>
      <c r="BT126" s="26">
        <f t="shared" si="299"/>
        <v>-0.86611386468272666</v>
      </c>
      <c r="BZ126" t="str">
        <f t="shared" si="310"/>
        <v>32 Health and social care associate professionals</v>
      </c>
      <c r="CA126" s="67">
        <f t="shared" si="300"/>
        <v>0.23674532578653817</v>
      </c>
      <c r="CB126" s="67">
        <f t="shared" si="300"/>
        <v>-0.65401367246117603</v>
      </c>
      <c r="CC126" s="67">
        <f t="shared" si="300"/>
        <v>-0.33448348855076038</v>
      </c>
      <c r="CD126" s="67">
        <f t="shared" si="300"/>
        <v>-0.76641786498707343</v>
      </c>
      <c r="CE126" s="67">
        <f t="shared" si="301"/>
        <v>-1.1009013535378338</v>
      </c>
      <c r="CK126" t="str">
        <f t="shared" si="311"/>
        <v>32 Health and social care associate professionals</v>
      </c>
      <c r="CL126" s="67">
        <f t="shared" si="302"/>
        <v>9.9485600429135845E-2</v>
      </c>
      <c r="CM126" s="67">
        <f t="shared" si="302"/>
        <v>-0.12687507467994197</v>
      </c>
      <c r="CN126" s="67">
        <f t="shared" si="302"/>
        <v>6.7138238941673589E-3</v>
      </c>
      <c r="CO126" s="67">
        <f t="shared" si="302"/>
        <v>4.3820609448666337E-2</v>
      </c>
      <c r="CP126" s="67">
        <f t="shared" si="303"/>
        <v>5.0534433342833696E-2</v>
      </c>
    </row>
    <row r="127" spans="1:94" x14ac:dyDescent="0.3">
      <c r="A127" t="str">
        <f t="shared" si="285"/>
        <v>33 Protective service occupations</v>
      </c>
      <c r="B127" s="26">
        <f t="shared" si="286"/>
        <v>8.666882393246117E-3</v>
      </c>
      <c r="C127" s="26">
        <f t="shared" si="286"/>
        <v>1.4950923018899664E-2</v>
      </c>
      <c r="D127" s="26">
        <f t="shared" si="286"/>
        <v>8.0385409233048294E-2</v>
      </c>
      <c r="E127" s="26">
        <f t="shared" si="286"/>
        <v>0.11703616327705485</v>
      </c>
      <c r="F127" s="26">
        <f t="shared" si="287"/>
        <v>0.19742157251010314</v>
      </c>
      <c r="L127" t="str">
        <f t="shared" si="304"/>
        <v>33 Protective service occupations</v>
      </c>
      <c r="M127" s="26">
        <f t="shared" si="288"/>
        <v>0.1610250696697979</v>
      </c>
      <c r="N127" s="26">
        <f t="shared" si="288"/>
        <v>0.14913275375188673</v>
      </c>
      <c r="O127" s="26">
        <f t="shared" si="288"/>
        <v>0.91134813740719545</v>
      </c>
      <c r="P127" s="26">
        <f t="shared" si="288"/>
        <v>1.4107608059319392</v>
      </c>
      <c r="Q127" s="26">
        <f t="shared" si="289"/>
        <v>2.3221089433391349</v>
      </c>
      <c r="W127" t="str">
        <f t="shared" si="305"/>
        <v>33 Protective service occupations</v>
      </c>
      <c r="X127" s="26">
        <f t="shared" si="290"/>
        <v>0.43901791779337351</v>
      </c>
      <c r="Y127" s="26">
        <f t="shared" si="290"/>
        <v>1.4006400866070656</v>
      </c>
      <c r="Z127" s="26">
        <f t="shared" si="290"/>
        <v>2.6342300427830256</v>
      </c>
      <c r="AA127" s="26">
        <f t="shared" si="290"/>
        <v>5.48232285678497</v>
      </c>
      <c r="AB127" s="26">
        <f t="shared" si="291"/>
        <v>8.1165528995679956</v>
      </c>
      <c r="AH127" t="str">
        <f t="shared" si="306"/>
        <v>33 Protective service occupations</v>
      </c>
      <c r="AI127" s="26">
        <f t="shared" si="292"/>
        <v>5.3179821240302738E-2</v>
      </c>
      <c r="AJ127" s="26">
        <f t="shared" si="292"/>
        <v>0.33107736203322924</v>
      </c>
      <c r="AK127" s="26">
        <f t="shared" si="292"/>
        <v>0.61502665175170224</v>
      </c>
      <c r="AL127" s="26">
        <f t="shared" si="292"/>
        <v>1.1993547871072239</v>
      </c>
      <c r="AM127" s="26">
        <f t="shared" si="293"/>
        <v>1.8143814388589261</v>
      </c>
      <c r="AS127" t="str">
        <f t="shared" si="307"/>
        <v>33 Protective service occupations</v>
      </c>
      <c r="AT127" s="26">
        <f t="shared" si="294"/>
        <v>-0.18950150305784774</v>
      </c>
      <c r="AU127" s="26">
        <f t="shared" si="294"/>
        <v>0.27020221407339817</v>
      </c>
      <c r="AV127" s="26">
        <f t="shared" si="294"/>
        <v>0.23445637510865081</v>
      </c>
      <c r="AW127" s="26">
        <f t="shared" si="294"/>
        <v>0.5412101207256883</v>
      </c>
      <c r="AX127" s="26">
        <f t="shared" si="295"/>
        <v>0.77566649583433911</v>
      </c>
      <c r="BD127" t="str">
        <f t="shared" si="308"/>
        <v>33 Protective service occupations</v>
      </c>
      <c r="BE127" s="26">
        <f t="shared" si="296"/>
        <v>-0.35090241138125311</v>
      </c>
      <c r="BF127" s="26">
        <f t="shared" si="296"/>
        <v>-0.11508348626142872</v>
      </c>
      <c r="BG127" s="26">
        <f t="shared" si="296"/>
        <v>1.4897182108564069</v>
      </c>
      <c r="BH127" s="26">
        <f t="shared" si="296"/>
        <v>0.64736027637282501</v>
      </c>
      <c r="BI127" s="26">
        <f t="shared" si="297"/>
        <v>2.1370784872292319</v>
      </c>
      <c r="BO127" t="str">
        <f t="shared" si="309"/>
        <v>33 Protective service occupations</v>
      </c>
      <c r="BP127" s="26">
        <f t="shared" si="298"/>
        <v>-0.43619383905460651</v>
      </c>
      <c r="BQ127" s="26">
        <f t="shared" si="298"/>
        <v>0.60682525517852781</v>
      </c>
      <c r="BR127" s="26">
        <f t="shared" si="298"/>
        <v>0.77032477410440769</v>
      </c>
      <c r="BS127" s="26">
        <f t="shared" si="298"/>
        <v>-0.46422208683860866</v>
      </c>
      <c r="BT127" s="26">
        <f t="shared" si="299"/>
        <v>0.30610268726579903</v>
      </c>
      <c r="BZ127" t="str">
        <f t="shared" si="310"/>
        <v>33 Protective service occupations</v>
      </c>
      <c r="CA127" s="67">
        <f t="shared" si="300"/>
        <v>-0.17993471306213138</v>
      </c>
      <c r="CB127" s="67">
        <f t="shared" si="300"/>
        <v>-0.1050016503418103</v>
      </c>
      <c r="CC127" s="67">
        <f t="shared" si="300"/>
        <v>0.72492450396631281</v>
      </c>
      <c r="CD127" s="67">
        <f t="shared" si="300"/>
        <v>-1.0298553641529535</v>
      </c>
      <c r="CE127" s="67">
        <f t="shared" si="301"/>
        <v>-0.30493086018664073</v>
      </c>
      <c r="CK127" t="str">
        <f t="shared" si="311"/>
        <v>33 Protective service occupations</v>
      </c>
      <c r="CL127" s="67">
        <f t="shared" si="302"/>
        <v>-8.6638939729491993E-2</v>
      </c>
      <c r="CM127" s="67">
        <f t="shared" si="302"/>
        <v>-0.12437218199627631</v>
      </c>
      <c r="CN127" s="67">
        <f t="shared" si="302"/>
        <v>-0.11778921801196951</v>
      </c>
      <c r="CO127" s="67">
        <f t="shared" si="302"/>
        <v>-1.9023900041769959E-2</v>
      </c>
      <c r="CP127" s="67">
        <f t="shared" si="303"/>
        <v>-0.13681311805373947</v>
      </c>
    </row>
    <row r="128" spans="1:94" x14ac:dyDescent="0.3">
      <c r="A128" t="str">
        <f t="shared" si="285"/>
        <v>34 Culture, media and sports occupations</v>
      </c>
      <c r="B128" s="26">
        <f t="shared" si="286"/>
        <v>0.19154155966096775</v>
      </c>
      <c r="C128" s="26">
        <f t="shared" si="286"/>
        <v>0.11222834945062599</v>
      </c>
      <c r="D128" s="26">
        <f t="shared" si="286"/>
        <v>0.25242119960627685</v>
      </c>
      <c r="E128" s="26">
        <f t="shared" si="286"/>
        <v>0.43543190200771731</v>
      </c>
      <c r="F128" s="26">
        <f t="shared" si="287"/>
        <v>0.68785310161399416</v>
      </c>
      <c r="L128" t="str">
        <f t="shared" si="304"/>
        <v>34 Culture, media and sports occupations</v>
      </c>
      <c r="M128" s="26">
        <f t="shared" si="288"/>
        <v>0.75826848795611923</v>
      </c>
      <c r="N128" s="26">
        <f t="shared" si="288"/>
        <v>3.2923255391530457</v>
      </c>
      <c r="O128" s="26">
        <f t="shared" si="288"/>
        <v>2.3312403872078882</v>
      </c>
      <c r="P128" s="26">
        <f t="shared" si="288"/>
        <v>4.9330129554837931</v>
      </c>
      <c r="Q128" s="26">
        <f t="shared" si="289"/>
        <v>7.2642533426916813</v>
      </c>
      <c r="W128" t="str">
        <f t="shared" si="305"/>
        <v>34 Culture, media and sports occupations</v>
      </c>
      <c r="X128" s="26">
        <f t="shared" si="290"/>
        <v>-0.40508252778162301</v>
      </c>
      <c r="Y128" s="26">
        <f t="shared" si="290"/>
        <v>6.9657815827719034</v>
      </c>
      <c r="Z128" s="26">
        <f t="shared" si="290"/>
        <v>-1.9878721860730693</v>
      </c>
      <c r="AA128" s="26">
        <f t="shared" si="290"/>
        <v>3.5456450809741362</v>
      </c>
      <c r="AB128" s="26">
        <f t="shared" si="291"/>
        <v>1.557772894901067</v>
      </c>
      <c r="AH128" t="str">
        <f t="shared" si="306"/>
        <v>34 Culture, media and sports occupations</v>
      </c>
      <c r="AI128" s="26">
        <f t="shared" si="292"/>
        <v>6.6964221888993869E-2</v>
      </c>
      <c r="AJ128" s="26">
        <f t="shared" si="292"/>
        <v>0.79594951012658965</v>
      </c>
      <c r="AK128" s="26">
        <f t="shared" si="292"/>
        <v>-0.25876549902880575</v>
      </c>
      <c r="AL128" s="26">
        <f t="shared" si="292"/>
        <v>0.99835292078824711</v>
      </c>
      <c r="AM128" s="26">
        <f t="shared" si="293"/>
        <v>0.73958742175944137</v>
      </c>
      <c r="AS128" t="str">
        <f t="shared" si="307"/>
        <v>34 Culture, media and sports occupations</v>
      </c>
      <c r="AT128" s="26">
        <f t="shared" si="294"/>
        <v>-0.33095263847099954</v>
      </c>
      <c r="AU128" s="26">
        <f t="shared" si="294"/>
        <v>0.75383820798177581</v>
      </c>
      <c r="AV128" s="26">
        <f t="shared" si="294"/>
        <v>-0.64490427435202902</v>
      </c>
      <c r="AW128" s="26">
        <f t="shared" si="294"/>
        <v>2.8750485374224422E-2</v>
      </c>
      <c r="AX128" s="26">
        <f t="shared" si="295"/>
        <v>-0.6161537889778046</v>
      </c>
      <c r="BD128" t="str">
        <f t="shared" si="308"/>
        <v>34 Culture, media and sports occupations</v>
      </c>
      <c r="BE128" s="26">
        <f t="shared" si="296"/>
        <v>-6.3001848907562774E-2</v>
      </c>
      <c r="BF128" s="26">
        <f t="shared" si="296"/>
        <v>0.70135833859869479</v>
      </c>
      <c r="BG128" s="26">
        <f t="shared" si="296"/>
        <v>-0.8059084472445317</v>
      </c>
      <c r="BH128" s="26">
        <f t="shared" si="296"/>
        <v>0.38840758763261363</v>
      </c>
      <c r="BI128" s="26">
        <f t="shared" si="297"/>
        <v>-0.41750085961191807</v>
      </c>
      <c r="BO128" t="str">
        <f t="shared" si="309"/>
        <v>34 Culture, media and sports occupations</v>
      </c>
      <c r="BP128" s="26">
        <f t="shared" si="298"/>
        <v>-1.1250541209669045</v>
      </c>
      <c r="BQ128" s="26">
        <f t="shared" si="298"/>
        <v>0.577438938398255</v>
      </c>
      <c r="BR128" s="26">
        <f t="shared" si="298"/>
        <v>-1.4023189689084985</v>
      </c>
      <c r="BS128" s="26">
        <f t="shared" si="298"/>
        <v>-1.5923820629573266</v>
      </c>
      <c r="BT128" s="26">
        <f t="shared" si="299"/>
        <v>-2.9947010318658251</v>
      </c>
      <c r="BZ128" t="str">
        <f t="shared" si="310"/>
        <v>34 Culture, media and sports occupations</v>
      </c>
      <c r="CA128" s="67">
        <f t="shared" si="300"/>
        <v>-0.21437656405260785</v>
      </c>
      <c r="CB128" s="67">
        <f t="shared" si="300"/>
        <v>-0.63979645725573331</v>
      </c>
      <c r="CC128" s="67">
        <f t="shared" si="300"/>
        <v>-0.97422127936567682</v>
      </c>
      <c r="CD128" s="67">
        <f t="shared" si="300"/>
        <v>-1.2551367658388441</v>
      </c>
      <c r="CE128" s="67">
        <f t="shared" si="301"/>
        <v>-2.229358045204521</v>
      </c>
      <c r="CK128" t="str">
        <f t="shared" si="311"/>
        <v>34 Culture, media and sports occupations</v>
      </c>
      <c r="CL128" s="67">
        <f t="shared" si="302"/>
        <v>0.30052356689239934</v>
      </c>
      <c r="CM128" s="67">
        <f t="shared" si="302"/>
        <v>-0.19870298073311887</v>
      </c>
      <c r="CN128" s="67">
        <f t="shared" si="302"/>
        <v>-0.12077098083292648</v>
      </c>
      <c r="CO128" s="67">
        <f t="shared" si="302"/>
        <v>-0.41297421314813976</v>
      </c>
      <c r="CP128" s="67">
        <f t="shared" si="303"/>
        <v>-0.53374519398106623</v>
      </c>
    </row>
    <row r="129" spans="1:94" x14ac:dyDescent="0.3">
      <c r="A129" t="str">
        <f t="shared" si="285"/>
        <v>35 Business and public service associate professionals</v>
      </c>
      <c r="B129" s="26">
        <f t="shared" si="286"/>
        <v>0.42874924215570531</v>
      </c>
      <c r="C129" s="26">
        <f t="shared" si="286"/>
        <v>3.5387624272203322E-2</v>
      </c>
      <c r="D129" s="26">
        <f t="shared" si="286"/>
        <v>0.60375730584442922</v>
      </c>
      <c r="E129" s="26">
        <f t="shared" si="286"/>
        <v>1.0097612674169159</v>
      </c>
      <c r="F129" s="26">
        <f t="shared" si="287"/>
        <v>1.6135185732613451</v>
      </c>
      <c r="L129" t="str">
        <f t="shared" si="304"/>
        <v>35 Business and public service associate professionals</v>
      </c>
      <c r="M129" s="26">
        <f t="shared" si="288"/>
        <v>5.1958545066690114</v>
      </c>
      <c r="N129" s="26">
        <f t="shared" si="288"/>
        <v>-0.43222683493358005</v>
      </c>
      <c r="O129" s="26">
        <f t="shared" si="288"/>
        <v>5.6973609662488727</v>
      </c>
      <c r="P129" s="26">
        <f t="shared" si="288"/>
        <v>9.0904166067768486</v>
      </c>
      <c r="Q129" s="26">
        <f t="shared" si="289"/>
        <v>14.787777573025721</v>
      </c>
      <c r="W129" t="str">
        <f t="shared" si="305"/>
        <v>35 Business and public service associate professionals</v>
      </c>
      <c r="X129" s="26">
        <f t="shared" si="290"/>
        <v>3.9603123340048469</v>
      </c>
      <c r="Y129" s="26">
        <f t="shared" si="290"/>
        <v>4.9332127843356162</v>
      </c>
      <c r="Z129" s="26">
        <f t="shared" si="290"/>
        <v>-2.1233183208294761</v>
      </c>
      <c r="AA129" s="26">
        <f t="shared" si="290"/>
        <v>6.3572154339016436</v>
      </c>
      <c r="AB129" s="26">
        <f t="shared" si="291"/>
        <v>4.2338971130721674</v>
      </c>
      <c r="AH129" t="str">
        <f t="shared" si="306"/>
        <v>35 Business and public service associate professionals</v>
      </c>
      <c r="AI129" s="26">
        <f t="shared" si="292"/>
        <v>1.0686918932961671</v>
      </c>
      <c r="AJ129" s="26">
        <f t="shared" si="292"/>
        <v>2.0109203774538482</v>
      </c>
      <c r="AK129" s="26">
        <f t="shared" si="292"/>
        <v>-0.36947812103138311</v>
      </c>
      <c r="AL129" s="26">
        <f t="shared" si="292"/>
        <v>2.7094384434072207</v>
      </c>
      <c r="AM129" s="26">
        <f t="shared" si="293"/>
        <v>2.3399603223758376</v>
      </c>
      <c r="AS129" t="str">
        <f t="shared" si="307"/>
        <v>35 Business and public service associate professionals</v>
      </c>
      <c r="AT129" s="26">
        <f t="shared" si="294"/>
        <v>0.74802555862467379</v>
      </c>
      <c r="AU129" s="26">
        <f t="shared" si="294"/>
        <v>1.4608470507297309</v>
      </c>
      <c r="AV129" s="26">
        <f t="shared" si="294"/>
        <v>-0.5952862633948719</v>
      </c>
      <c r="AW129" s="26">
        <f t="shared" si="294"/>
        <v>1.8546663607453837</v>
      </c>
      <c r="AX129" s="26">
        <f t="shared" si="295"/>
        <v>1.2593800973505118</v>
      </c>
      <c r="BD129" t="str">
        <f t="shared" si="308"/>
        <v>35 Business and public service associate professionals</v>
      </c>
      <c r="BE129" s="26">
        <f t="shared" si="296"/>
        <v>0.5282823191753252</v>
      </c>
      <c r="BF129" s="26">
        <f t="shared" si="296"/>
        <v>-0.16186691971129363</v>
      </c>
      <c r="BG129" s="26">
        <f t="shared" si="296"/>
        <v>-0.95856327532953856</v>
      </c>
      <c r="BH129" s="26">
        <f t="shared" si="296"/>
        <v>-0.40703779866913692</v>
      </c>
      <c r="BI129" s="26">
        <f t="shared" si="297"/>
        <v>-1.3656010739986755</v>
      </c>
      <c r="BO129" t="str">
        <f t="shared" si="309"/>
        <v>35 Business and public service associate professionals</v>
      </c>
      <c r="BP129" s="26">
        <f t="shared" si="298"/>
        <v>0.47224832980531772</v>
      </c>
      <c r="BQ129" s="26">
        <f t="shared" si="298"/>
        <v>0.69568650783384101</v>
      </c>
      <c r="BR129" s="26">
        <f t="shared" si="298"/>
        <v>-4.3514376038981197</v>
      </c>
      <c r="BS129" s="26">
        <f t="shared" si="298"/>
        <v>-4.4837283318154171</v>
      </c>
      <c r="BT129" s="26">
        <f t="shared" si="299"/>
        <v>-8.8351659357135368</v>
      </c>
      <c r="BZ129" t="str">
        <f t="shared" si="310"/>
        <v>35 Business and public service associate professionals</v>
      </c>
      <c r="CA129" s="67">
        <f t="shared" si="300"/>
        <v>0.5897680200065345</v>
      </c>
      <c r="CB129" s="67">
        <f t="shared" si="300"/>
        <v>-1.92726819995368</v>
      </c>
      <c r="CC129" s="67">
        <f t="shared" si="300"/>
        <v>-2.9342929159144759</v>
      </c>
      <c r="CD129" s="67">
        <f t="shared" si="300"/>
        <v>-4.8213215340047935</v>
      </c>
      <c r="CE129" s="67">
        <f t="shared" si="301"/>
        <v>-7.7556144499192694</v>
      </c>
      <c r="CK129" t="str">
        <f t="shared" si="311"/>
        <v>35 Business and public service associate professionals</v>
      </c>
      <c r="CL129" s="67">
        <f t="shared" si="302"/>
        <v>0.4740881721216379</v>
      </c>
      <c r="CM129" s="67">
        <f t="shared" si="302"/>
        <v>-1.0187914498403869</v>
      </c>
      <c r="CN129" s="67">
        <f t="shared" si="302"/>
        <v>-0.61799682370657649</v>
      </c>
      <c r="CO129" s="67">
        <f t="shared" si="302"/>
        <v>0.29039428221029828</v>
      </c>
      <c r="CP129" s="67">
        <f t="shared" si="303"/>
        <v>-0.32760254149627821</v>
      </c>
    </row>
    <row r="130" spans="1:94" x14ac:dyDescent="0.3">
      <c r="A130" t="str">
        <f t="shared" si="285"/>
        <v>41 Administrative occupations</v>
      </c>
      <c r="B130" s="26">
        <f t="shared" si="286"/>
        <v>0.17104250192352666</v>
      </c>
      <c r="C130" s="26">
        <f t="shared" si="286"/>
        <v>1.5108359244471181E-3</v>
      </c>
      <c r="D130" s="26">
        <f t="shared" si="286"/>
        <v>0.39903303925435618</v>
      </c>
      <c r="E130" s="26">
        <f t="shared" si="286"/>
        <v>0.78433234107523941</v>
      </c>
      <c r="F130" s="26">
        <f t="shared" si="287"/>
        <v>1.1833653803295956</v>
      </c>
      <c r="L130" t="str">
        <f t="shared" si="304"/>
        <v>41 Administrative occupations</v>
      </c>
      <c r="M130" s="26">
        <f t="shared" si="288"/>
        <v>3.2810234933853675</v>
      </c>
      <c r="N130" s="26">
        <f t="shared" si="288"/>
        <v>6.2068310752048106E-2</v>
      </c>
      <c r="O130" s="26">
        <f t="shared" si="288"/>
        <v>3.9933440512713112</v>
      </c>
      <c r="P130" s="26">
        <f t="shared" si="288"/>
        <v>6.6523520720357752</v>
      </c>
      <c r="Q130" s="26">
        <f t="shared" si="289"/>
        <v>10.645696123307086</v>
      </c>
      <c r="W130" t="str">
        <f t="shared" si="305"/>
        <v>41 Administrative occupations</v>
      </c>
      <c r="X130" s="26">
        <f t="shared" si="290"/>
        <v>2.006042021913764</v>
      </c>
      <c r="Y130" s="26">
        <f t="shared" si="290"/>
        <v>8.1406134148703302</v>
      </c>
      <c r="Z130" s="26">
        <f t="shared" si="290"/>
        <v>-0.73752742978257402</v>
      </c>
      <c r="AA130" s="26">
        <f t="shared" si="290"/>
        <v>8.8421455461688439</v>
      </c>
      <c r="AB130" s="26">
        <f t="shared" si="291"/>
        <v>8.1046181163862698</v>
      </c>
      <c r="AH130" t="str">
        <f t="shared" si="306"/>
        <v>41 Administrative occupations</v>
      </c>
      <c r="AI130" s="26">
        <f t="shared" si="292"/>
        <v>1.1844869952585277</v>
      </c>
      <c r="AJ130" s="26">
        <f t="shared" si="292"/>
        <v>3.9581559431750186</v>
      </c>
      <c r="AK130" s="26">
        <f t="shared" si="292"/>
        <v>-0.79000611447214908</v>
      </c>
      <c r="AL130" s="26">
        <f t="shared" si="292"/>
        <v>3.5593895411907255</v>
      </c>
      <c r="AM130" s="26">
        <f t="shared" si="293"/>
        <v>2.7693834267185764</v>
      </c>
      <c r="AS130" t="str">
        <f t="shared" si="307"/>
        <v>41 Administrative occupations</v>
      </c>
      <c r="AT130" s="26">
        <f t="shared" si="294"/>
        <v>0.75596197056033887</v>
      </c>
      <c r="AU130" s="26">
        <f t="shared" si="294"/>
        <v>2.6809342258499846</v>
      </c>
      <c r="AV130" s="26">
        <f t="shared" si="294"/>
        <v>-1.1230012872790418</v>
      </c>
      <c r="AW130" s="26">
        <f t="shared" si="294"/>
        <v>3.0520175494829545</v>
      </c>
      <c r="AX130" s="26">
        <f t="shared" si="295"/>
        <v>1.9290162622039126</v>
      </c>
      <c r="BD130" t="str">
        <f t="shared" si="308"/>
        <v>41 Administrative occupations</v>
      </c>
      <c r="BE130" s="26">
        <f t="shared" si="296"/>
        <v>-4.3506348100738919</v>
      </c>
      <c r="BF130" s="26">
        <f t="shared" si="296"/>
        <v>1.423829951876634</v>
      </c>
      <c r="BG130" s="26">
        <f t="shared" si="296"/>
        <v>-3.0804631662728212</v>
      </c>
      <c r="BH130" s="26">
        <f t="shared" si="296"/>
        <v>-5.4837961183255644</v>
      </c>
      <c r="BI130" s="26">
        <f t="shared" si="297"/>
        <v>-8.5642592845983856</v>
      </c>
      <c r="BO130" t="str">
        <f t="shared" si="309"/>
        <v>41 Administrative occupations</v>
      </c>
      <c r="BP130" s="26">
        <f t="shared" si="298"/>
        <v>-2.9923854523650846</v>
      </c>
      <c r="BQ130" s="26">
        <f t="shared" si="298"/>
        <v>-2.8986957645296982</v>
      </c>
      <c r="BR130" s="26">
        <f t="shared" si="298"/>
        <v>-9.0102615096668117</v>
      </c>
      <c r="BS130" s="26">
        <f t="shared" si="298"/>
        <v>-16.528546750914366</v>
      </c>
      <c r="BT130" s="26">
        <f t="shared" si="299"/>
        <v>-25.538808260581177</v>
      </c>
      <c r="BZ130" t="str">
        <f t="shared" si="310"/>
        <v>41 Administrative occupations</v>
      </c>
      <c r="CA130" s="67">
        <f t="shared" si="300"/>
        <v>-3.0297821001211744</v>
      </c>
      <c r="CB130" s="67">
        <f t="shared" si="300"/>
        <v>-5.7814560604270042</v>
      </c>
      <c r="CC130" s="67">
        <f t="shared" si="300"/>
        <v>-8.4480762004198446</v>
      </c>
      <c r="CD130" s="67">
        <f t="shared" si="300"/>
        <v>-13.745745836326458</v>
      </c>
      <c r="CE130" s="67">
        <f t="shared" si="301"/>
        <v>-22.193822036746305</v>
      </c>
      <c r="CK130" t="str">
        <f t="shared" si="311"/>
        <v>41 Administrative occupations</v>
      </c>
      <c r="CL130" s="67">
        <f t="shared" si="302"/>
        <v>-0.32210124861495792</v>
      </c>
      <c r="CM130" s="67">
        <f t="shared" si="302"/>
        <v>-2.1449796192737169</v>
      </c>
      <c r="CN130" s="67">
        <f t="shared" si="302"/>
        <v>-1.4903011781212854</v>
      </c>
      <c r="CO130" s="67">
        <f t="shared" si="302"/>
        <v>-0.94920376153500108</v>
      </c>
      <c r="CP130" s="67">
        <f t="shared" si="303"/>
        <v>-2.4395049396562865</v>
      </c>
    </row>
    <row r="131" spans="1:94" x14ac:dyDescent="0.3">
      <c r="A131" t="str">
        <f t="shared" si="285"/>
        <v>42 Secretarial and related occupations</v>
      </c>
      <c r="B131" s="26">
        <f t="shared" si="286"/>
        <v>3.015739734101773E-2</v>
      </c>
      <c r="C131" s="26">
        <f t="shared" si="286"/>
        <v>-1.0163842372079401E-2</v>
      </c>
      <c r="D131" s="26">
        <f t="shared" si="286"/>
        <v>9.1606610296003921E-2</v>
      </c>
      <c r="E131" s="26">
        <f t="shared" si="286"/>
        <v>0.1745242258733096</v>
      </c>
      <c r="F131" s="26">
        <f t="shared" si="287"/>
        <v>0.26613083616931354</v>
      </c>
      <c r="L131" t="str">
        <f t="shared" si="304"/>
        <v>42 Secretarial and related occupations</v>
      </c>
      <c r="M131" s="26">
        <f t="shared" si="288"/>
        <v>0.47929469367514743</v>
      </c>
      <c r="N131" s="26">
        <f t="shared" si="288"/>
        <v>6.1583468554190279E-2</v>
      </c>
      <c r="O131" s="26">
        <f t="shared" si="288"/>
        <v>1.7083284298313686</v>
      </c>
      <c r="P131" s="26">
        <f t="shared" si="288"/>
        <v>0.99901016332814851</v>
      </c>
      <c r="Q131" s="26">
        <f t="shared" si="289"/>
        <v>2.7073385931595171</v>
      </c>
      <c r="W131" t="str">
        <f t="shared" si="305"/>
        <v>42 Secretarial and related occupations</v>
      </c>
      <c r="X131" s="26">
        <f t="shared" si="290"/>
        <v>0.21776589652749401</v>
      </c>
      <c r="Y131" s="26">
        <f t="shared" si="290"/>
        <v>1.7346642890942778</v>
      </c>
      <c r="Z131" s="26">
        <f t="shared" si="290"/>
        <v>3.3255553538021445</v>
      </c>
      <c r="AA131" s="26">
        <f t="shared" si="290"/>
        <v>3.2824038334824319</v>
      </c>
      <c r="AB131" s="26">
        <f t="shared" si="291"/>
        <v>6.6079591872845764</v>
      </c>
      <c r="AH131" t="str">
        <f t="shared" si="306"/>
        <v>42 Secretarial and related occupations</v>
      </c>
      <c r="AI131" s="26">
        <f t="shared" si="292"/>
        <v>0.17592369105546091</v>
      </c>
      <c r="AJ131" s="26">
        <f t="shared" si="292"/>
        <v>0.98841980618622838</v>
      </c>
      <c r="AK131" s="26">
        <f t="shared" si="292"/>
        <v>1.2732664578044748</v>
      </c>
      <c r="AL131" s="26">
        <f t="shared" si="292"/>
        <v>0.53303841083423453</v>
      </c>
      <c r="AM131" s="26">
        <f t="shared" si="293"/>
        <v>1.8063048686387093</v>
      </c>
      <c r="AS131" t="str">
        <f t="shared" si="307"/>
        <v>42 Secretarial and related occupations</v>
      </c>
      <c r="AT131" s="26">
        <f t="shared" si="294"/>
        <v>-1.9256066516429193E-2</v>
      </c>
      <c r="AU131" s="26">
        <f t="shared" si="294"/>
        <v>0.80543531027401327</v>
      </c>
      <c r="AV131" s="26">
        <f t="shared" si="294"/>
        <v>0.51031281351247415</v>
      </c>
      <c r="AW131" s="26">
        <f t="shared" si="294"/>
        <v>-0.70985627206421897</v>
      </c>
      <c r="AX131" s="26">
        <f t="shared" si="295"/>
        <v>-0.19954345855174482</v>
      </c>
      <c r="BD131" t="str">
        <f t="shared" si="308"/>
        <v>42 Secretarial and related occupations</v>
      </c>
      <c r="BE131" s="26">
        <f t="shared" si="296"/>
        <v>-2.3673739835076528</v>
      </c>
      <c r="BF131" s="26">
        <f t="shared" si="296"/>
        <v>0.43915779215099882</v>
      </c>
      <c r="BG131" s="26">
        <f t="shared" si="296"/>
        <v>2.9920692089496619</v>
      </c>
      <c r="BH131" s="26">
        <f t="shared" si="296"/>
        <v>-6.0733612276245275</v>
      </c>
      <c r="BI131" s="26">
        <f t="shared" si="297"/>
        <v>-3.0812920186748656</v>
      </c>
      <c r="BO131" t="str">
        <f t="shared" si="309"/>
        <v>42 Secretarial and related occupations</v>
      </c>
      <c r="BP131" s="26">
        <f t="shared" si="298"/>
        <v>-2.3127179454339633</v>
      </c>
      <c r="BQ131" s="26">
        <f t="shared" si="298"/>
        <v>-2.562799857100984</v>
      </c>
      <c r="BR131" s="26">
        <f t="shared" si="298"/>
        <v>-1.9521480813357623</v>
      </c>
      <c r="BS131" s="26">
        <f t="shared" si="298"/>
        <v>-10.428496910939071</v>
      </c>
      <c r="BT131" s="26">
        <f t="shared" si="299"/>
        <v>-12.380644992274833</v>
      </c>
      <c r="BZ131" t="str">
        <f t="shared" si="310"/>
        <v>42 Secretarial and related occupations</v>
      </c>
      <c r="CA131" s="67">
        <f t="shared" si="300"/>
        <v>-0.52178657113266169</v>
      </c>
      <c r="CB131" s="67">
        <f t="shared" si="300"/>
        <v>-3.1171545541091383</v>
      </c>
      <c r="CC131" s="67">
        <f t="shared" si="300"/>
        <v>-5.5554261520985069</v>
      </c>
      <c r="CD131" s="67">
        <f t="shared" si="300"/>
        <v>-7.0737010991179918</v>
      </c>
      <c r="CE131" s="67">
        <f t="shared" si="301"/>
        <v>-12.629127251216499</v>
      </c>
      <c r="CK131" t="str">
        <f t="shared" si="311"/>
        <v>42 Secretarial and related occupations</v>
      </c>
      <c r="CL131" s="67">
        <f t="shared" si="302"/>
        <v>0.44526239137930856</v>
      </c>
      <c r="CM131" s="67">
        <f t="shared" si="302"/>
        <v>-1.151788849700869</v>
      </c>
      <c r="CN131" s="67">
        <f t="shared" si="302"/>
        <v>0.21167623925126344</v>
      </c>
      <c r="CO131" s="67">
        <f t="shared" si="302"/>
        <v>0.43983696748327938</v>
      </c>
      <c r="CP131" s="67">
        <f t="shared" si="303"/>
        <v>0.65151320673454283</v>
      </c>
    </row>
    <row r="132" spans="1:94" x14ac:dyDescent="0.3">
      <c r="A132" t="str">
        <f t="shared" si="285"/>
        <v>51 Skilled agricultural and related trades</v>
      </c>
      <c r="B132" s="26">
        <f t="shared" si="286"/>
        <v>4.9936591155047172E-2</v>
      </c>
      <c r="C132" s="26">
        <f t="shared" si="286"/>
        <v>-3.7532274419781103E-2</v>
      </c>
      <c r="D132" s="26">
        <f t="shared" si="286"/>
        <v>3.5860979651890251E-2</v>
      </c>
      <c r="E132" s="26">
        <f t="shared" si="286"/>
        <v>6.9178881982239537E-2</v>
      </c>
      <c r="F132" s="26">
        <f t="shared" si="287"/>
        <v>0.10503986163412979</v>
      </c>
      <c r="L132" t="str">
        <f t="shared" si="304"/>
        <v>51 Skilled agricultural and related trades</v>
      </c>
      <c r="M132" s="26">
        <f t="shared" si="288"/>
        <v>0.11841726563748939</v>
      </c>
      <c r="N132" s="26">
        <f t="shared" si="288"/>
        <v>-0.25079861657072328</v>
      </c>
      <c r="O132" s="26">
        <f t="shared" si="288"/>
        <v>0.1070150407338798</v>
      </c>
      <c r="P132" s="26">
        <f t="shared" si="288"/>
        <v>0.19099554782170253</v>
      </c>
      <c r="Q132" s="26">
        <f t="shared" si="289"/>
        <v>0.29801058855558232</v>
      </c>
      <c r="W132" t="str">
        <f t="shared" si="305"/>
        <v>51 Skilled agricultural and related trades</v>
      </c>
      <c r="X132" s="26">
        <f t="shared" si="290"/>
        <v>0.64146502778877945</v>
      </c>
      <c r="Y132" s="26">
        <f t="shared" si="290"/>
        <v>-0.57443099307057643</v>
      </c>
      <c r="Z132" s="26">
        <f t="shared" si="290"/>
        <v>0.50352336891866312</v>
      </c>
      <c r="AA132" s="26">
        <f t="shared" si="290"/>
        <v>1.7952419901908572</v>
      </c>
      <c r="AB132" s="26">
        <f t="shared" si="291"/>
        <v>2.2987653591095203</v>
      </c>
      <c r="AH132" t="str">
        <f t="shared" si="306"/>
        <v>51 Skilled agricultural and related trades</v>
      </c>
      <c r="AI132" s="26">
        <f t="shared" si="292"/>
        <v>0.43670839731872313</v>
      </c>
      <c r="AJ132" s="26">
        <f t="shared" si="292"/>
        <v>-0.54936561002670636</v>
      </c>
      <c r="AK132" s="26">
        <f t="shared" si="292"/>
        <v>0.30078106306118646</v>
      </c>
      <c r="AL132" s="26">
        <f t="shared" si="292"/>
        <v>0.6248049490941805</v>
      </c>
      <c r="AM132" s="26">
        <f t="shared" si="293"/>
        <v>0.92558601215536696</v>
      </c>
      <c r="AS132" t="str">
        <f t="shared" si="307"/>
        <v>51 Skilled agricultural and related trades</v>
      </c>
      <c r="AT132" s="26">
        <f t="shared" si="294"/>
        <v>0.23243165250990749</v>
      </c>
      <c r="AU132" s="26">
        <f t="shared" si="294"/>
        <v>-0.78898944731938814</v>
      </c>
      <c r="AV132" s="26">
        <f t="shared" si="294"/>
        <v>0.42089547425776974</v>
      </c>
      <c r="AW132" s="26">
        <f t="shared" si="294"/>
        <v>1.1652242782204087</v>
      </c>
      <c r="AX132" s="26">
        <f t="shared" si="295"/>
        <v>1.5861197524781785</v>
      </c>
      <c r="BD132" t="str">
        <f t="shared" si="308"/>
        <v>51 Skilled agricultural and related trades</v>
      </c>
      <c r="BE132" s="26">
        <f t="shared" si="296"/>
        <v>0.46907617684705105</v>
      </c>
      <c r="BF132" s="26">
        <f t="shared" si="296"/>
        <v>-2.9893801884289375</v>
      </c>
      <c r="BG132" s="26">
        <f t="shared" si="296"/>
        <v>0.30145870868821323</v>
      </c>
      <c r="BH132" s="26">
        <f t="shared" si="296"/>
        <v>0.44787820405230727</v>
      </c>
      <c r="BI132" s="26">
        <f t="shared" si="297"/>
        <v>0.7493369127405205</v>
      </c>
      <c r="BO132" t="str">
        <f t="shared" si="309"/>
        <v>51 Skilled agricultural and related trades</v>
      </c>
      <c r="BP132" s="26">
        <f t="shared" si="298"/>
        <v>0.53029762923095625</v>
      </c>
      <c r="BQ132" s="26">
        <f t="shared" si="298"/>
        <v>-3.1367891791794351</v>
      </c>
      <c r="BR132" s="26">
        <f t="shared" si="298"/>
        <v>-7.0391893440125308E-2</v>
      </c>
      <c r="BS132" s="26">
        <f t="shared" si="298"/>
        <v>0.41535066156976086</v>
      </c>
      <c r="BT132" s="26">
        <f t="shared" si="299"/>
        <v>0.34495876812963555</v>
      </c>
      <c r="BZ132" t="str">
        <f t="shared" si="310"/>
        <v>51 Skilled agricultural and related trades</v>
      </c>
      <c r="CA132" s="67">
        <f t="shared" si="300"/>
        <v>-0.19840636245260868</v>
      </c>
      <c r="CB132" s="67">
        <f t="shared" si="300"/>
        <v>-2.9218208745996765</v>
      </c>
      <c r="CC132" s="67">
        <f t="shared" si="300"/>
        <v>-0.12926632567455254</v>
      </c>
      <c r="CD132" s="67">
        <f t="shared" si="300"/>
        <v>1.4476863137862814</v>
      </c>
      <c r="CE132" s="67">
        <f t="shared" si="301"/>
        <v>1.3184199881117289</v>
      </c>
      <c r="CK132" t="str">
        <f t="shared" si="311"/>
        <v>51 Skilled agricultural and related trades</v>
      </c>
      <c r="CL132" s="67">
        <f t="shared" si="302"/>
        <v>0.49429921420994738</v>
      </c>
      <c r="CM132" s="67">
        <f t="shared" si="302"/>
        <v>-2.9509244133045245</v>
      </c>
      <c r="CN132" s="67">
        <f t="shared" si="302"/>
        <v>0.24634047402744708</v>
      </c>
      <c r="CO132" s="67">
        <f t="shared" si="302"/>
        <v>-1.249188981881457</v>
      </c>
      <c r="CP132" s="67">
        <f t="shared" si="303"/>
        <v>-1.0028485078540099</v>
      </c>
    </row>
    <row r="133" spans="1:94" x14ac:dyDescent="0.3">
      <c r="A133" t="str">
        <f t="shared" si="285"/>
        <v>52 Skilled metal, electrical and electronic trades</v>
      </c>
      <c r="B133" s="26">
        <f t="shared" si="286"/>
        <v>9.9041954180033309E-4</v>
      </c>
      <c r="C133" s="26">
        <f t="shared" si="286"/>
        <v>-7.4535144517710733E-3</v>
      </c>
      <c r="D133" s="26">
        <f t="shared" si="286"/>
        <v>2.4492705836277842E-2</v>
      </c>
      <c r="E133" s="26">
        <f t="shared" si="286"/>
        <v>2.9321206291169591E-2</v>
      </c>
      <c r="F133" s="26">
        <f t="shared" si="287"/>
        <v>5.3813912127447433E-2</v>
      </c>
      <c r="L133" t="str">
        <f t="shared" si="304"/>
        <v>52 Skilled metal, electrical and electronic trades</v>
      </c>
      <c r="M133" s="26">
        <f t="shared" si="288"/>
        <v>0.25007275812791718</v>
      </c>
      <c r="N133" s="26">
        <f t="shared" si="288"/>
        <v>-0.17998127174424838</v>
      </c>
      <c r="O133" s="26">
        <f t="shared" si="288"/>
        <v>0.96567168165200501</v>
      </c>
      <c r="P133" s="26">
        <f t="shared" si="288"/>
        <v>1.1851641966050952</v>
      </c>
      <c r="Q133" s="26">
        <f t="shared" si="289"/>
        <v>2.1508358782571002</v>
      </c>
      <c r="W133" t="str">
        <f t="shared" si="305"/>
        <v>52 Skilled metal, electrical and electronic trades</v>
      </c>
      <c r="X133" s="26">
        <f t="shared" si="290"/>
        <v>0.22845829338802481</v>
      </c>
      <c r="Y133" s="26">
        <f t="shared" si="290"/>
        <v>-0.4317719596298204</v>
      </c>
      <c r="Z133" s="26">
        <f t="shared" si="290"/>
        <v>1.3475035737445813</v>
      </c>
      <c r="AA133" s="26">
        <f t="shared" si="290"/>
        <v>1.7952174029022263</v>
      </c>
      <c r="AB133" s="26">
        <f t="shared" si="291"/>
        <v>3.1427209766468076</v>
      </c>
      <c r="AH133" t="str">
        <f t="shared" si="306"/>
        <v>52 Skilled metal, electrical and electronic trades</v>
      </c>
      <c r="AI133" s="26">
        <f t="shared" si="292"/>
        <v>4.2254146304125495E-2</v>
      </c>
      <c r="AJ133" s="26">
        <f t="shared" si="292"/>
        <v>-6.7296297421935769E-2</v>
      </c>
      <c r="AK133" s="26">
        <f t="shared" si="292"/>
        <v>0.19725490200346085</v>
      </c>
      <c r="AL133" s="26">
        <f t="shared" si="292"/>
        <v>0.72884751022351946</v>
      </c>
      <c r="AM133" s="26">
        <f t="shared" si="293"/>
        <v>0.92610241222698031</v>
      </c>
      <c r="AS133" t="str">
        <f t="shared" si="307"/>
        <v>52 Skilled metal, electrical and electronic trades</v>
      </c>
      <c r="AT133" s="26">
        <f t="shared" si="294"/>
        <v>-0.16074377424596165</v>
      </c>
      <c r="AU133" s="26">
        <f t="shared" si="294"/>
        <v>-0.14575244748760774</v>
      </c>
      <c r="AV133" s="26">
        <f t="shared" si="294"/>
        <v>0.74541735237493612</v>
      </c>
      <c r="AW133" s="26">
        <f t="shared" si="294"/>
        <v>1.9471169379729236</v>
      </c>
      <c r="AX133" s="26">
        <f t="shared" si="295"/>
        <v>2.6925342903478597</v>
      </c>
      <c r="BD133" t="str">
        <f t="shared" si="308"/>
        <v>52 Skilled metal, electrical and electronic trades</v>
      </c>
      <c r="BE133" s="26">
        <f t="shared" si="296"/>
        <v>0.4551477763951155</v>
      </c>
      <c r="BF133" s="26">
        <f t="shared" si="296"/>
        <v>-8.333310187053776</v>
      </c>
      <c r="BG133" s="26">
        <f t="shared" si="296"/>
        <v>3.0745051408433284</v>
      </c>
      <c r="BH133" s="26">
        <f t="shared" si="296"/>
        <v>-0.37647007378583197</v>
      </c>
      <c r="BI133" s="26">
        <f t="shared" si="297"/>
        <v>2.6980350670574964</v>
      </c>
      <c r="BO133" t="str">
        <f t="shared" si="309"/>
        <v>52 Skilled metal, electrical and electronic trades</v>
      </c>
      <c r="BP133" s="26">
        <f t="shared" si="298"/>
        <v>-3.1044820250298422</v>
      </c>
      <c r="BQ133" s="26">
        <f t="shared" si="298"/>
        <v>3.0350036985780093E-3</v>
      </c>
      <c r="BR133" s="26">
        <f t="shared" si="298"/>
        <v>-3.3000213068492954</v>
      </c>
      <c r="BS133" s="26">
        <f t="shared" si="298"/>
        <v>-2.8341857896951481</v>
      </c>
      <c r="BT133" s="26">
        <f t="shared" si="299"/>
        <v>-6.1342070965444435</v>
      </c>
      <c r="BZ133" t="str">
        <f t="shared" si="310"/>
        <v>52 Skilled metal, electrical and electronic trades</v>
      </c>
      <c r="CA133" s="67">
        <f t="shared" si="300"/>
        <v>-1.964934187743415</v>
      </c>
      <c r="CB133" s="67">
        <f t="shared" si="300"/>
        <v>-2.5759551379145549</v>
      </c>
      <c r="CC133" s="67">
        <f t="shared" si="300"/>
        <v>-0.57920358715881193</v>
      </c>
      <c r="CD133" s="67">
        <f t="shared" si="300"/>
        <v>-4.9302766622814049</v>
      </c>
      <c r="CE133" s="67">
        <f t="shared" si="301"/>
        <v>-5.5094802494402169</v>
      </c>
      <c r="CK133" t="str">
        <f t="shared" si="311"/>
        <v>52 Skilled metal, electrical and electronic trades</v>
      </c>
      <c r="CL133" s="67">
        <f t="shared" si="302"/>
        <v>0.33512616298341413</v>
      </c>
      <c r="CM133" s="67">
        <f t="shared" si="302"/>
        <v>-1.923411619971521</v>
      </c>
      <c r="CN133" s="67">
        <f t="shared" si="302"/>
        <v>-1.2872646310229996E-2</v>
      </c>
      <c r="CO133" s="67">
        <f t="shared" si="302"/>
        <v>-0.7402830921767678</v>
      </c>
      <c r="CP133" s="67">
        <f t="shared" si="303"/>
        <v>-0.75315573848699779</v>
      </c>
    </row>
    <row r="134" spans="1:94" x14ac:dyDescent="0.3">
      <c r="A134" t="str">
        <f t="shared" si="285"/>
        <v>53 Skilled construction and building trades</v>
      </c>
      <c r="B134" s="26">
        <f t="shared" si="286"/>
        <v>-1.9131184909465367E-2</v>
      </c>
      <c r="C134" s="26">
        <f t="shared" si="286"/>
        <v>-1.0319675133103764E-2</v>
      </c>
      <c r="D134" s="26">
        <f t="shared" si="286"/>
        <v>2.3431973475662719E-2</v>
      </c>
      <c r="E134" s="26">
        <f t="shared" si="286"/>
        <v>2.043304483453412E-3</v>
      </c>
      <c r="F134" s="26">
        <f t="shared" si="287"/>
        <v>2.5475277959116131E-2</v>
      </c>
      <c r="L134" t="str">
        <f t="shared" si="304"/>
        <v>53 Skilled construction and building trades</v>
      </c>
      <c r="M134" s="26">
        <f t="shared" si="288"/>
        <v>-2.1644106904909699E-2</v>
      </c>
      <c r="N134" s="26">
        <f t="shared" si="288"/>
        <v>-1.6254761057411082E-2</v>
      </c>
      <c r="O134" s="26">
        <f t="shared" si="288"/>
        <v>0.32099310231267653</v>
      </c>
      <c r="P134" s="26">
        <f t="shared" si="288"/>
        <v>0.16322683611711786</v>
      </c>
      <c r="Q134" s="26">
        <f t="shared" si="289"/>
        <v>0.48421993842979438</v>
      </c>
      <c r="W134" t="str">
        <f t="shared" si="305"/>
        <v>53 Skilled construction and building trades</v>
      </c>
      <c r="X134" s="26">
        <f t="shared" si="290"/>
        <v>-0.5220279587495944</v>
      </c>
      <c r="Y134" s="26">
        <f t="shared" si="290"/>
        <v>9.3832254785680025E-2</v>
      </c>
      <c r="Z134" s="26">
        <f t="shared" si="290"/>
        <v>0.93686766147452039</v>
      </c>
      <c r="AA134" s="26">
        <f t="shared" si="290"/>
        <v>0.57687395087083937</v>
      </c>
      <c r="AB134" s="26">
        <f t="shared" si="291"/>
        <v>1.5137416123453598</v>
      </c>
      <c r="AH134" t="str">
        <f t="shared" si="306"/>
        <v>53 Skilled construction and building trades</v>
      </c>
      <c r="AI134" s="26">
        <f t="shared" si="292"/>
        <v>-2.8789614459539647E-2</v>
      </c>
      <c r="AJ134" s="26">
        <f t="shared" si="292"/>
        <v>0.19854710812496945</v>
      </c>
      <c r="AK134" s="26">
        <f t="shared" si="292"/>
        <v>0.5312376060101669</v>
      </c>
      <c r="AL134" s="26">
        <f t="shared" si="292"/>
        <v>0.42639464232829027</v>
      </c>
      <c r="AM134" s="26">
        <f t="shared" si="293"/>
        <v>0.95763224833845717</v>
      </c>
      <c r="AS134" t="str">
        <f t="shared" si="307"/>
        <v>53 Skilled construction and building trades</v>
      </c>
      <c r="AT134" s="26">
        <f t="shared" si="294"/>
        <v>-0.38263213310437205</v>
      </c>
      <c r="AU134" s="26">
        <f t="shared" si="294"/>
        <v>0.35995548912966058</v>
      </c>
      <c r="AV134" s="26">
        <f t="shared" si="294"/>
        <v>0.96086144046209032</v>
      </c>
      <c r="AW134" s="26">
        <f t="shared" si="294"/>
        <v>0.43222308155976474</v>
      </c>
      <c r="AX134" s="26">
        <f t="shared" si="295"/>
        <v>1.3930845220218551</v>
      </c>
      <c r="BD134" t="str">
        <f t="shared" si="308"/>
        <v>53 Skilled construction and building trades</v>
      </c>
      <c r="BE134" s="26">
        <f t="shared" si="296"/>
        <v>-3.5948644549059452</v>
      </c>
      <c r="BF134" s="26">
        <f t="shared" si="296"/>
        <v>-2.5073156687687117</v>
      </c>
      <c r="BG134" s="26">
        <f t="shared" si="296"/>
        <v>2.7378650706682777</v>
      </c>
      <c r="BH134" s="26">
        <f t="shared" si="296"/>
        <v>-3.5620241325476378</v>
      </c>
      <c r="BI134" s="26">
        <f t="shared" si="297"/>
        <v>-0.82415906187936017</v>
      </c>
      <c r="BO134" t="str">
        <f t="shared" si="309"/>
        <v>53 Skilled construction and building trades</v>
      </c>
      <c r="BP134" s="26">
        <f t="shared" si="298"/>
        <v>-3.3282411987731457</v>
      </c>
      <c r="BQ134" s="26">
        <f t="shared" si="298"/>
        <v>2.9036306511718344</v>
      </c>
      <c r="BR134" s="26">
        <f t="shared" si="298"/>
        <v>0.51561262231585658</v>
      </c>
      <c r="BS134" s="26">
        <f t="shared" si="298"/>
        <v>-0.78850332051575478</v>
      </c>
      <c r="BT134" s="26">
        <f t="shared" si="299"/>
        <v>-0.2728906981998982</v>
      </c>
      <c r="BZ134" t="str">
        <f t="shared" si="310"/>
        <v>53 Skilled construction and building trades</v>
      </c>
      <c r="CA134" s="67">
        <f t="shared" si="300"/>
        <v>-3.2724446178083983</v>
      </c>
      <c r="CB134" s="67">
        <f t="shared" si="300"/>
        <v>-0.42015017731583448</v>
      </c>
      <c r="CC134" s="67">
        <f t="shared" si="300"/>
        <v>0.52945860276481937</v>
      </c>
      <c r="CD134" s="67">
        <f t="shared" si="300"/>
        <v>-1.5606031980600328</v>
      </c>
      <c r="CE134" s="67">
        <f t="shared" si="301"/>
        <v>-1.0311445952952134</v>
      </c>
      <c r="CK134" t="str">
        <f t="shared" si="311"/>
        <v>53 Skilled construction and building trades</v>
      </c>
      <c r="CL134" s="67">
        <f t="shared" si="302"/>
        <v>-1.1401614744444286</v>
      </c>
      <c r="CM134" s="67">
        <f t="shared" si="302"/>
        <v>-1.852131231610544</v>
      </c>
      <c r="CN134" s="67">
        <f t="shared" si="302"/>
        <v>-1.2468006558163895</v>
      </c>
      <c r="CO134" s="67">
        <f t="shared" si="302"/>
        <v>-3.0739897435352885</v>
      </c>
      <c r="CP134" s="67">
        <f t="shared" si="303"/>
        <v>-4.3207903993516785</v>
      </c>
    </row>
    <row r="135" spans="1:94" x14ac:dyDescent="0.3">
      <c r="A135" t="str">
        <f t="shared" si="285"/>
        <v>54 Textiles, printing and other skilled trades</v>
      </c>
      <c r="B135" s="26">
        <f t="shared" si="286"/>
        <v>9.0377460799978548E-4</v>
      </c>
      <c r="C135" s="26">
        <f t="shared" si="286"/>
        <v>2.0115598107453558E-4</v>
      </c>
      <c r="D135" s="26">
        <f t="shared" si="286"/>
        <v>8.2812086905282134E-2</v>
      </c>
      <c r="E135" s="26">
        <f t="shared" si="286"/>
        <v>0.12390732217092393</v>
      </c>
      <c r="F135" s="26">
        <f t="shared" si="287"/>
        <v>0.20671940907620606</v>
      </c>
      <c r="L135" t="str">
        <f t="shared" si="304"/>
        <v>54 Textiles, printing and other skilled trades</v>
      </c>
      <c r="M135" s="26">
        <f t="shared" si="288"/>
        <v>0.23828154811867575</v>
      </c>
      <c r="N135" s="26">
        <f t="shared" si="288"/>
        <v>-3.44979871611093E-2</v>
      </c>
      <c r="O135" s="26">
        <f t="shared" si="288"/>
        <v>0.67247273128235197</v>
      </c>
      <c r="P135" s="26">
        <f t="shared" si="288"/>
        <v>1.2248795220811197</v>
      </c>
      <c r="Q135" s="26">
        <f t="shared" si="289"/>
        <v>1.8973522533634717</v>
      </c>
      <c r="W135" t="str">
        <f t="shared" si="305"/>
        <v>54 Textiles, printing and other skilled trades</v>
      </c>
      <c r="X135" s="26">
        <f t="shared" si="290"/>
        <v>-0.25132103535762962</v>
      </c>
      <c r="Y135" s="26">
        <f t="shared" si="290"/>
        <v>0.44109283614985895</v>
      </c>
      <c r="Z135" s="26">
        <f t="shared" si="290"/>
        <v>0.96486453638372183</v>
      </c>
      <c r="AA135" s="26">
        <f t="shared" si="290"/>
        <v>2.184504914080196</v>
      </c>
      <c r="AB135" s="26">
        <f t="shared" si="291"/>
        <v>3.1493694504639178</v>
      </c>
      <c r="AH135" t="str">
        <f t="shared" si="306"/>
        <v>54 Textiles, printing and other skilled trades</v>
      </c>
      <c r="AI135" s="26">
        <f t="shared" si="292"/>
        <v>-4.2373068408690706E-2</v>
      </c>
      <c r="AJ135" s="26">
        <f t="shared" si="292"/>
        <v>0.40067398087688022</v>
      </c>
      <c r="AK135" s="26">
        <f t="shared" si="292"/>
        <v>7.3828638523000478E-2</v>
      </c>
      <c r="AL135" s="26">
        <f t="shared" si="292"/>
        <v>0.70342379082795325</v>
      </c>
      <c r="AM135" s="26">
        <f t="shared" si="293"/>
        <v>0.77725242935095373</v>
      </c>
      <c r="AS135" t="str">
        <f t="shared" si="307"/>
        <v>54 Textiles, printing and other skilled trades</v>
      </c>
      <c r="AT135" s="26">
        <f t="shared" si="294"/>
        <v>-7.6760747872271384E-2</v>
      </c>
      <c r="AU135" s="26">
        <f t="shared" si="294"/>
        <v>0.21810276436770604</v>
      </c>
      <c r="AV135" s="26">
        <f t="shared" si="294"/>
        <v>0.22730998156452209</v>
      </c>
      <c r="AW135" s="26">
        <f t="shared" si="294"/>
        <v>0.66726651843556128</v>
      </c>
      <c r="AX135" s="26">
        <f t="shared" si="295"/>
        <v>0.89457650000008337</v>
      </c>
      <c r="BD135" t="str">
        <f t="shared" si="308"/>
        <v>54 Textiles, printing and other skilled trades</v>
      </c>
      <c r="BE135" s="26">
        <f t="shared" si="296"/>
        <v>-1.6824725885059397</v>
      </c>
      <c r="BF135" s="26">
        <f t="shared" si="296"/>
        <v>-0.98096588679576158</v>
      </c>
      <c r="BG135" s="26">
        <f t="shared" si="296"/>
        <v>2.1188453015548117</v>
      </c>
      <c r="BH135" s="26">
        <f t="shared" si="296"/>
        <v>1.6890603227630194</v>
      </c>
      <c r="BI135" s="26">
        <f t="shared" si="297"/>
        <v>3.8079056243178311</v>
      </c>
      <c r="BO135" t="str">
        <f t="shared" si="309"/>
        <v>54 Textiles, printing and other skilled trades</v>
      </c>
      <c r="BP135" s="26">
        <f t="shared" si="298"/>
        <v>-3.7558373838353738</v>
      </c>
      <c r="BQ135" s="26">
        <f t="shared" si="298"/>
        <v>0.46182017413452314</v>
      </c>
      <c r="BR135" s="26">
        <f t="shared" si="298"/>
        <v>-1.621579005103591</v>
      </c>
      <c r="BS135" s="26">
        <f t="shared" si="298"/>
        <v>-1.8968898725340466</v>
      </c>
      <c r="BT135" s="26">
        <f t="shared" si="299"/>
        <v>-3.5184688776376376</v>
      </c>
      <c r="BZ135" t="str">
        <f t="shared" si="310"/>
        <v>54 Textiles, printing and other skilled trades</v>
      </c>
      <c r="CA135" s="67">
        <f t="shared" si="300"/>
        <v>-2.6019723763821005</v>
      </c>
      <c r="CB135" s="67">
        <f t="shared" si="300"/>
        <v>-0.97875497758669994</v>
      </c>
      <c r="CC135" s="67">
        <f t="shared" si="300"/>
        <v>-0.47571744987947007</v>
      </c>
      <c r="CD135" s="67">
        <f t="shared" si="300"/>
        <v>-2.1076009394580559</v>
      </c>
      <c r="CE135" s="67">
        <f t="shared" si="301"/>
        <v>-2.583318389337526</v>
      </c>
      <c r="CK135" t="str">
        <f t="shared" si="311"/>
        <v>54 Textiles, printing and other skilled trades</v>
      </c>
      <c r="CL135" s="67">
        <f t="shared" si="302"/>
        <v>-1.0024673412068141</v>
      </c>
      <c r="CM135" s="67">
        <f t="shared" si="302"/>
        <v>-1.2523920663945614</v>
      </c>
      <c r="CN135" s="67">
        <f t="shared" si="302"/>
        <v>-1.3670851994596753</v>
      </c>
      <c r="CO135" s="67">
        <f t="shared" si="302"/>
        <v>-0.90422803836530186</v>
      </c>
      <c r="CP135" s="67">
        <f t="shared" si="303"/>
        <v>-2.2713132378249772</v>
      </c>
    </row>
    <row r="136" spans="1:94" x14ac:dyDescent="0.3">
      <c r="A136" t="str">
        <f t="shared" si="285"/>
        <v>61 Caring personal service occupations</v>
      </c>
      <c r="B136" s="26">
        <f t="shared" si="286"/>
        <v>3.0126870786748944E-2</v>
      </c>
      <c r="C136" s="26">
        <f t="shared" si="286"/>
        <v>-1.1045096414161126E-2</v>
      </c>
      <c r="D136" s="26">
        <f t="shared" si="286"/>
        <v>7.9311517681057569E-2</v>
      </c>
      <c r="E136" s="26">
        <f t="shared" si="286"/>
        <v>0.11089465294006748</v>
      </c>
      <c r="F136" s="26">
        <f t="shared" si="287"/>
        <v>0.19020617062112505</v>
      </c>
      <c r="L136" t="str">
        <f t="shared" si="304"/>
        <v>61 Caring personal service occupations</v>
      </c>
      <c r="M136" s="26">
        <f t="shared" si="288"/>
        <v>2.9652836185085096</v>
      </c>
      <c r="N136" s="26">
        <f t="shared" si="288"/>
        <v>-0.8256470020419151</v>
      </c>
      <c r="O136" s="26">
        <f t="shared" si="288"/>
        <v>3.8397959288857901</v>
      </c>
      <c r="P136" s="26">
        <f t="shared" si="288"/>
        <v>5.9490969039504158</v>
      </c>
      <c r="Q136" s="26">
        <f t="shared" si="289"/>
        <v>9.7888928328362059</v>
      </c>
      <c r="W136" t="str">
        <f t="shared" si="305"/>
        <v>61 Caring personal service occupations</v>
      </c>
      <c r="X136" s="26">
        <f t="shared" si="290"/>
        <v>5.1487257083296392</v>
      </c>
      <c r="Y136" s="26">
        <f t="shared" si="290"/>
        <v>3.1480389665440889</v>
      </c>
      <c r="Z136" s="26">
        <f t="shared" si="290"/>
        <v>3.8503920940143637</v>
      </c>
      <c r="AA136" s="26">
        <f t="shared" si="290"/>
        <v>10.565837883456879</v>
      </c>
      <c r="AB136" s="26">
        <f t="shared" si="291"/>
        <v>14.416229977471243</v>
      </c>
      <c r="AH136" t="str">
        <f t="shared" si="306"/>
        <v>61 Caring personal service occupations</v>
      </c>
      <c r="AI136" s="26">
        <f t="shared" si="292"/>
        <v>2.4040006372366598</v>
      </c>
      <c r="AJ136" s="26">
        <f t="shared" si="292"/>
        <v>2.9901659016404558</v>
      </c>
      <c r="AK136" s="26">
        <f t="shared" si="292"/>
        <v>-0.10686322114498381</v>
      </c>
      <c r="AL136" s="26">
        <f t="shared" si="292"/>
        <v>3.4727335145131981</v>
      </c>
      <c r="AM136" s="26">
        <f t="shared" si="293"/>
        <v>3.3658702933682143</v>
      </c>
      <c r="AS136" t="str">
        <f t="shared" si="307"/>
        <v>61 Caring personal service occupations</v>
      </c>
      <c r="AT136" s="26">
        <f t="shared" si="294"/>
        <v>2.2043067594780492</v>
      </c>
      <c r="AU136" s="26">
        <f t="shared" si="294"/>
        <v>1.6892186095478277</v>
      </c>
      <c r="AV136" s="26">
        <f t="shared" si="294"/>
        <v>0.26565526714965237</v>
      </c>
      <c r="AW136" s="26">
        <f t="shared" si="294"/>
        <v>2.9983944124911037</v>
      </c>
      <c r="AX136" s="26">
        <f t="shared" si="295"/>
        <v>3.2640496796407561</v>
      </c>
      <c r="BD136" t="str">
        <f t="shared" si="308"/>
        <v>61 Caring personal service occupations</v>
      </c>
      <c r="BE136" s="26">
        <f t="shared" si="296"/>
        <v>7.8151683175629927</v>
      </c>
      <c r="BF136" s="26">
        <f t="shared" si="296"/>
        <v>-1.6023937401488979</v>
      </c>
      <c r="BG136" s="26">
        <f t="shared" si="296"/>
        <v>11.572945624004333</v>
      </c>
      <c r="BH136" s="26">
        <f t="shared" si="296"/>
        <v>15.308438688836986</v>
      </c>
      <c r="BI136" s="26">
        <f t="shared" si="297"/>
        <v>26.88138431284132</v>
      </c>
      <c r="BO136" t="str">
        <f t="shared" si="309"/>
        <v>61 Caring personal service occupations</v>
      </c>
      <c r="BP136" s="26">
        <f t="shared" si="298"/>
        <v>5.5553391293954348</v>
      </c>
      <c r="BQ136" s="26">
        <f t="shared" si="298"/>
        <v>-9.4506069991922885</v>
      </c>
      <c r="BR136" s="26">
        <f t="shared" si="298"/>
        <v>3.3593376915855373</v>
      </c>
      <c r="BS136" s="26">
        <f t="shared" si="298"/>
        <v>-6.0497906951700173</v>
      </c>
      <c r="BT136" s="26">
        <f t="shared" si="299"/>
        <v>-2.69045300358448</v>
      </c>
      <c r="BZ136" t="str">
        <f t="shared" si="310"/>
        <v>61 Caring personal service occupations</v>
      </c>
      <c r="CA136" s="67">
        <f t="shared" si="300"/>
        <v>-6.329618007147868</v>
      </c>
      <c r="CB136" s="67">
        <f t="shared" si="300"/>
        <v>-2.9431232815591013</v>
      </c>
      <c r="CC136" s="67">
        <f t="shared" si="300"/>
        <v>-2.7902064638811854</v>
      </c>
      <c r="CD136" s="67">
        <f t="shared" si="300"/>
        <v>-1.2813621085569737</v>
      </c>
      <c r="CE136" s="67">
        <f t="shared" si="301"/>
        <v>-4.0715685724381592</v>
      </c>
      <c r="CK136" t="str">
        <f t="shared" si="311"/>
        <v>61 Caring personal service occupations</v>
      </c>
      <c r="CL136" s="67">
        <f t="shared" si="302"/>
        <v>-0.18788136847929282</v>
      </c>
      <c r="CM136" s="67">
        <f t="shared" si="302"/>
        <v>-0.89787419432172033</v>
      </c>
      <c r="CN136" s="67">
        <f t="shared" si="302"/>
        <v>7.9153678508976588E-2</v>
      </c>
      <c r="CO136" s="67">
        <f t="shared" si="302"/>
        <v>-0.24604058332828727</v>
      </c>
      <c r="CP136" s="67">
        <f t="shared" si="303"/>
        <v>-0.16688690481931068</v>
      </c>
    </row>
    <row r="137" spans="1:94" x14ac:dyDescent="0.3">
      <c r="A137" t="str">
        <f t="shared" si="285"/>
        <v>62 Leisure, travel and related personal service occupations</v>
      </c>
      <c r="B137" s="26">
        <f t="shared" si="286"/>
        <v>1.0771516213093954E-2</v>
      </c>
      <c r="C137" s="26">
        <f t="shared" si="286"/>
        <v>-7.487126998069818E-3</v>
      </c>
      <c r="D137" s="26">
        <f t="shared" si="286"/>
        <v>2.9961367439660658E-2</v>
      </c>
      <c r="E137" s="26">
        <f t="shared" si="286"/>
        <v>5.3175596581246196E-2</v>
      </c>
      <c r="F137" s="26">
        <f t="shared" si="287"/>
        <v>8.3136964020906853E-2</v>
      </c>
      <c r="L137" t="str">
        <f t="shared" si="304"/>
        <v>62 Leisure, travel and related personal service occupations</v>
      </c>
      <c r="M137" s="26">
        <f t="shared" si="288"/>
        <v>0.41445000331025694</v>
      </c>
      <c r="N137" s="26">
        <f t="shared" si="288"/>
        <v>-0.17889341788824265</v>
      </c>
      <c r="O137" s="26">
        <f t="shared" si="288"/>
        <v>0.54707081147898551</v>
      </c>
      <c r="P137" s="26">
        <f t="shared" si="288"/>
        <v>0.66657704810360663</v>
      </c>
      <c r="Q137" s="26">
        <f t="shared" si="289"/>
        <v>1.2136478595825921</v>
      </c>
      <c r="W137" t="str">
        <f t="shared" si="305"/>
        <v>62 Leisure, travel and related personal service occupations</v>
      </c>
      <c r="X137" s="26">
        <f t="shared" si="290"/>
        <v>1.5842515525737229</v>
      </c>
      <c r="Y137" s="26">
        <f t="shared" si="290"/>
        <v>1.1709369396196694</v>
      </c>
      <c r="Z137" s="26">
        <f t="shared" si="290"/>
        <v>1.7936514483952823</v>
      </c>
      <c r="AA137" s="26">
        <f t="shared" si="290"/>
        <v>4.3415850819937098</v>
      </c>
      <c r="AB137" s="26">
        <f t="shared" si="291"/>
        <v>6.1352365303889922</v>
      </c>
      <c r="AH137" t="str">
        <f t="shared" si="306"/>
        <v>62 Leisure, travel and related personal service occupations</v>
      </c>
      <c r="AI137" s="26">
        <f t="shared" si="292"/>
        <v>0.93987719034608208</v>
      </c>
      <c r="AJ137" s="26">
        <f t="shared" si="292"/>
        <v>0.65539927802821296</v>
      </c>
      <c r="AK137" s="26">
        <f t="shared" si="292"/>
        <v>0.34829998235364101</v>
      </c>
      <c r="AL137" s="26">
        <f t="shared" si="292"/>
        <v>1.8490444845356704</v>
      </c>
      <c r="AM137" s="26">
        <f t="shared" si="293"/>
        <v>2.1973444668893114</v>
      </c>
      <c r="AS137" t="str">
        <f t="shared" si="307"/>
        <v>62 Leisure, travel and related personal service occupations</v>
      </c>
      <c r="AT137" s="26">
        <f t="shared" si="294"/>
        <v>0.96525916453177318</v>
      </c>
      <c r="AU137" s="26">
        <f t="shared" si="294"/>
        <v>1.5145839334347961</v>
      </c>
      <c r="AV137" s="26">
        <f t="shared" si="294"/>
        <v>0.872388651521943</v>
      </c>
      <c r="AW137" s="26">
        <f t="shared" si="294"/>
        <v>3.0084293392447856</v>
      </c>
      <c r="AX137" s="26">
        <f t="shared" si="295"/>
        <v>3.8808179907667286</v>
      </c>
      <c r="BD137" t="str">
        <f t="shared" si="308"/>
        <v>62 Leisure, travel and related personal service occupations</v>
      </c>
      <c r="BE137" s="26">
        <f t="shared" si="296"/>
        <v>9.1904082986282276E-2</v>
      </c>
      <c r="BF137" s="26">
        <f t="shared" si="296"/>
        <v>0.40088262723070756</v>
      </c>
      <c r="BG137" s="26">
        <f t="shared" si="296"/>
        <v>0.37431456711753341</v>
      </c>
      <c r="BH137" s="26">
        <f t="shared" si="296"/>
        <v>-0.58852325864937427</v>
      </c>
      <c r="BI137" s="26">
        <f t="shared" si="297"/>
        <v>-0.21420869153184086</v>
      </c>
      <c r="BO137" t="str">
        <f t="shared" si="309"/>
        <v>62 Leisure, travel and related personal service occupations</v>
      </c>
      <c r="BP137" s="26">
        <f t="shared" si="298"/>
        <v>1.2915913491257989</v>
      </c>
      <c r="BQ137" s="26">
        <f t="shared" si="298"/>
        <v>-1.1047865860174682</v>
      </c>
      <c r="BR137" s="26">
        <f t="shared" si="298"/>
        <v>-1.2419651053590925</v>
      </c>
      <c r="BS137" s="26">
        <f t="shared" si="298"/>
        <v>-3.8569250927187664</v>
      </c>
      <c r="BT137" s="26">
        <f t="shared" si="299"/>
        <v>-5.0988901980778589</v>
      </c>
      <c r="BZ137" t="str">
        <f t="shared" si="310"/>
        <v>62 Leisure, travel and related personal service occupations</v>
      </c>
      <c r="CA137" s="67">
        <f t="shared" si="300"/>
        <v>1.4683427795857114</v>
      </c>
      <c r="CB137" s="67">
        <f t="shared" si="300"/>
        <v>-1.1142382473756651</v>
      </c>
      <c r="CC137" s="67">
        <f t="shared" si="300"/>
        <v>-0.33459786011982295</v>
      </c>
      <c r="CD137" s="67">
        <f t="shared" si="300"/>
        <v>-3.1553758807617864</v>
      </c>
      <c r="CE137" s="67">
        <f t="shared" si="301"/>
        <v>-3.4899737408816094</v>
      </c>
      <c r="CK137" t="str">
        <f t="shared" si="311"/>
        <v>62 Leisure, travel and related personal service occupations</v>
      </c>
      <c r="CL137" s="67">
        <f t="shared" si="302"/>
        <v>-1.941919796239322E-2</v>
      </c>
      <c r="CM137" s="67">
        <f t="shared" si="302"/>
        <v>-1.4247166711030737</v>
      </c>
      <c r="CN137" s="67">
        <f t="shared" si="302"/>
        <v>-0.526192812848572</v>
      </c>
      <c r="CO137" s="67">
        <f t="shared" si="302"/>
        <v>-0.76422868914538444</v>
      </c>
      <c r="CP137" s="67">
        <f t="shared" si="303"/>
        <v>-1.2904215019939564</v>
      </c>
    </row>
    <row r="138" spans="1:94" x14ac:dyDescent="0.3">
      <c r="A138" t="str">
        <f t="shared" si="285"/>
        <v>63 Community and civil enforcement occupations</v>
      </c>
      <c r="B138" s="26">
        <f t="shared" si="286"/>
        <v>4.2455233847126309E-4</v>
      </c>
      <c r="C138" s="26">
        <f t="shared" si="286"/>
        <v>5.4016692207074259E-5</v>
      </c>
      <c r="D138" s="26">
        <f t="shared" si="286"/>
        <v>3.4104021805303718E-3</v>
      </c>
      <c r="E138" s="26">
        <f t="shared" si="286"/>
        <v>3.9194275202680141E-3</v>
      </c>
      <c r="F138" s="26">
        <f t="shared" si="287"/>
        <v>7.3298297007983858E-3</v>
      </c>
      <c r="L138" t="str">
        <f t="shared" si="304"/>
        <v>63 Community and civil enforcement occupations</v>
      </c>
      <c r="M138" s="26">
        <f t="shared" si="288"/>
        <v>-3.6907565136394399E-3</v>
      </c>
      <c r="N138" s="26">
        <f t="shared" si="288"/>
        <v>2.5845878855335278E-2</v>
      </c>
      <c r="O138" s="26">
        <f t="shared" si="288"/>
        <v>9.1528207220505642E-3</v>
      </c>
      <c r="P138" s="26">
        <f t="shared" si="288"/>
        <v>4.9453133810377387E-2</v>
      </c>
      <c r="Q138" s="26">
        <f t="shared" si="289"/>
        <v>5.8605954532427951E-2</v>
      </c>
      <c r="W138" t="str">
        <f t="shared" si="305"/>
        <v>63 Community and civil enforcement occupations</v>
      </c>
      <c r="X138" s="26">
        <f t="shared" si="290"/>
        <v>-1.7461425470885472E-3</v>
      </c>
      <c r="Y138" s="26">
        <f t="shared" si="290"/>
        <v>9.7281255318393045E-2</v>
      </c>
      <c r="Z138" s="26">
        <f t="shared" si="290"/>
        <v>6.7580703402233433E-2</v>
      </c>
      <c r="AA138" s="26">
        <f t="shared" si="290"/>
        <v>0.17793351380463651</v>
      </c>
      <c r="AB138" s="26">
        <f t="shared" si="291"/>
        <v>0.24551421720686994</v>
      </c>
      <c r="AH138" t="str">
        <f t="shared" si="306"/>
        <v>63 Community and civil enforcement occupations</v>
      </c>
      <c r="AI138" s="26">
        <f t="shared" si="292"/>
        <v>-1.1544849195031182E-2</v>
      </c>
      <c r="AJ138" s="26">
        <f t="shared" si="292"/>
        <v>5.205759549502538E-2</v>
      </c>
      <c r="AK138" s="26">
        <f t="shared" si="292"/>
        <v>-2.1518726996752752E-2</v>
      </c>
      <c r="AL138" s="26">
        <f t="shared" si="292"/>
        <v>3.9953265214347666E-2</v>
      </c>
      <c r="AM138" s="26">
        <f t="shared" si="293"/>
        <v>1.8434538217594915E-2</v>
      </c>
      <c r="AS138" t="str">
        <f t="shared" si="307"/>
        <v>63 Community and civil enforcement occupations</v>
      </c>
      <c r="AT138" s="26">
        <f t="shared" si="294"/>
        <v>-2.312331035826401E-2</v>
      </c>
      <c r="AU138" s="26">
        <f t="shared" si="294"/>
        <v>4.1579368100095271E-2</v>
      </c>
      <c r="AV138" s="26">
        <f t="shared" si="294"/>
        <v>-2.2665286055566169E-2</v>
      </c>
      <c r="AW138" s="26">
        <f t="shared" si="294"/>
        <v>1.9226655009249527E-2</v>
      </c>
      <c r="AX138" s="26">
        <f t="shared" si="295"/>
        <v>-3.4386310463166425E-3</v>
      </c>
      <c r="BD138" t="str">
        <f t="shared" si="308"/>
        <v>63 Community and civil enforcement occupations</v>
      </c>
      <c r="BE138" s="26">
        <f t="shared" si="296"/>
        <v>-0.16369670729769553</v>
      </c>
      <c r="BF138" s="26">
        <f t="shared" si="296"/>
        <v>0.13987749305103508</v>
      </c>
      <c r="BG138" s="26">
        <f t="shared" si="296"/>
        <v>-0.14895280292735086</v>
      </c>
      <c r="BH138" s="26">
        <f t="shared" si="296"/>
        <v>4.7584438107664939E-2</v>
      </c>
      <c r="BI138" s="26">
        <f t="shared" si="297"/>
        <v>-0.10136836481968592</v>
      </c>
      <c r="BO138" t="str">
        <f t="shared" si="309"/>
        <v>63 Community and civil enforcement occupations</v>
      </c>
      <c r="BP138" s="26">
        <f t="shared" si="298"/>
        <v>-0.15449405379271497</v>
      </c>
      <c r="BQ138" s="26">
        <f t="shared" si="298"/>
        <v>0.25715988510868104</v>
      </c>
      <c r="BR138" s="26">
        <f t="shared" si="298"/>
        <v>-0.26302256121756362</v>
      </c>
      <c r="BS138" s="26">
        <f t="shared" si="298"/>
        <v>2.7709753144233851E-3</v>
      </c>
      <c r="BT138" s="26">
        <f t="shared" si="299"/>
        <v>-0.26025158590314024</v>
      </c>
      <c r="BZ138" t="str">
        <f t="shared" si="310"/>
        <v>63 Community and civil enforcement occupations</v>
      </c>
      <c r="CA138" s="67">
        <f t="shared" si="300"/>
        <v>-9.1512593143466936E-2</v>
      </c>
      <c r="CB138" s="67">
        <f t="shared" si="300"/>
        <v>0.15432680767082663</v>
      </c>
      <c r="CC138" s="67">
        <f t="shared" si="300"/>
        <v>-0.18877830817844143</v>
      </c>
      <c r="CD138" s="67">
        <f t="shared" si="300"/>
        <v>-6.6449265620778908E-2</v>
      </c>
      <c r="CE138" s="67">
        <f t="shared" si="301"/>
        <v>-0.25522757379922034</v>
      </c>
      <c r="CK138" t="str">
        <f t="shared" si="311"/>
        <v>63 Community and civil enforcement occupations</v>
      </c>
      <c r="CL138" s="67">
        <f t="shared" si="302"/>
        <v>-6.491565382970349E-2</v>
      </c>
      <c r="CM138" s="67">
        <f t="shared" si="302"/>
        <v>1.9159051722884762E-2</v>
      </c>
      <c r="CN138" s="67">
        <f t="shared" si="302"/>
        <v>-8.7344812547833953E-2</v>
      </c>
      <c r="CO138" s="67">
        <f t="shared" si="302"/>
        <v>-2.6938137211493456E-2</v>
      </c>
      <c r="CP138" s="67">
        <f t="shared" si="303"/>
        <v>-0.1142829497593274</v>
      </c>
    </row>
    <row r="139" spans="1:94" x14ac:dyDescent="0.3">
      <c r="A139" t="str">
        <f t="shared" si="285"/>
        <v>71 Sales occupations</v>
      </c>
      <c r="B139" s="26">
        <f t="shared" si="286"/>
        <v>3.6621021840200496E-2</v>
      </c>
      <c r="C139" s="26">
        <f t="shared" si="286"/>
        <v>-5.9000288931601974E-2</v>
      </c>
      <c r="D139" s="26">
        <f t="shared" si="286"/>
        <v>0.11974286049679878</v>
      </c>
      <c r="E139" s="26">
        <f t="shared" si="286"/>
        <v>0.1697692083705199</v>
      </c>
      <c r="F139" s="26">
        <f t="shared" si="287"/>
        <v>0.28951206886731867</v>
      </c>
      <c r="L139" t="str">
        <f t="shared" si="304"/>
        <v>71 Sales occupations</v>
      </c>
      <c r="M139" s="26">
        <f t="shared" si="288"/>
        <v>0.72885968163418369</v>
      </c>
      <c r="N139" s="26">
        <f t="shared" si="288"/>
        <v>5.7948627987643775E-2</v>
      </c>
      <c r="O139" s="26">
        <f t="shared" si="288"/>
        <v>1.5765729283075567</v>
      </c>
      <c r="P139" s="26">
        <f t="shared" si="288"/>
        <v>3.0097813595870218</v>
      </c>
      <c r="Q139" s="26">
        <f t="shared" si="289"/>
        <v>4.5863542878945784</v>
      </c>
      <c r="W139" t="str">
        <f t="shared" si="305"/>
        <v>71 Sales occupations</v>
      </c>
      <c r="X139" s="26">
        <f t="shared" si="290"/>
        <v>-0.14864758664133149</v>
      </c>
      <c r="Y139" s="26">
        <f t="shared" si="290"/>
        <v>4.1427107992607013</v>
      </c>
      <c r="Z139" s="26">
        <f t="shared" si="290"/>
        <v>0.85763576185249235</v>
      </c>
      <c r="AA139" s="26">
        <f t="shared" si="290"/>
        <v>8.4785362616094666</v>
      </c>
      <c r="AB139" s="26">
        <f t="shared" si="291"/>
        <v>9.336172023461959</v>
      </c>
      <c r="AH139" t="str">
        <f t="shared" si="306"/>
        <v>71 Sales occupations</v>
      </c>
      <c r="AI139" s="26">
        <f t="shared" si="292"/>
        <v>-0.44850049170848205</v>
      </c>
      <c r="AJ139" s="26">
        <f t="shared" si="292"/>
        <v>1.4053984263869657</v>
      </c>
      <c r="AK139" s="26">
        <f t="shared" si="292"/>
        <v>-0.44664132947476531</v>
      </c>
      <c r="AL139" s="26">
        <f t="shared" si="292"/>
        <v>1.8904869899903431</v>
      </c>
      <c r="AM139" s="26">
        <f t="shared" si="293"/>
        <v>1.4438456605155778</v>
      </c>
      <c r="AS139" t="str">
        <f t="shared" si="307"/>
        <v>71 Sales occupations</v>
      </c>
      <c r="AT139" s="26">
        <f t="shared" si="294"/>
        <v>-0.50496091549226474</v>
      </c>
      <c r="AU139" s="26">
        <f t="shared" si="294"/>
        <v>0.9818779106366291</v>
      </c>
      <c r="AV139" s="26">
        <f t="shared" si="294"/>
        <v>-0.45249069541599241</v>
      </c>
      <c r="AW139" s="26">
        <f t="shared" si="294"/>
        <v>1.2529401898655266</v>
      </c>
      <c r="AX139" s="26">
        <f t="shared" si="295"/>
        <v>0.80044949444953417</v>
      </c>
      <c r="BD139" t="str">
        <f t="shared" si="308"/>
        <v>71 Sales occupations</v>
      </c>
      <c r="BE139" s="26">
        <f t="shared" si="296"/>
        <v>-6.6994129616355664</v>
      </c>
      <c r="BF139" s="26">
        <f t="shared" si="296"/>
        <v>0.91158779386802991</v>
      </c>
      <c r="BG139" s="26">
        <f t="shared" si="296"/>
        <v>0.66984397089146341</v>
      </c>
      <c r="BH139" s="26">
        <f t="shared" si="296"/>
        <v>3.2471654527434808</v>
      </c>
      <c r="BI139" s="26">
        <f t="shared" si="297"/>
        <v>3.9170094236349442</v>
      </c>
      <c r="BO139" t="str">
        <f t="shared" si="309"/>
        <v>71 Sales occupations</v>
      </c>
      <c r="BP139" s="26">
        <f t="shared" si="298"/>
        <v>-9.2290523979836649</v>
      </c>
      <c r="BQ139" s="26">
        <f t="shared" si="298"/>
        <v>-1.7268553662023294</v>
      </c>
      <c r="BR139" s="26">
        <f t="shared" si="298"/>
        <v>-5.3283310181858283</v>
      </c>
      <c r="BS139" s="26">
        <f t="shared" si="298"/>
        <v>-9.3403948663826668</v>
      </c>
      <c r="BT139" s="26">
        <f t="shared" si="299"/>
        <v>-14.668725884568495</v>
      </c>
      <c r="BZ139" t="str">
        <f t="shared" si="310"/>
        <v>71 Sales occupations</v>
      </c>
      <c r="CA139" s="67">
        <f t="shared" si="300"/>
        <v>-4.6947310303564223</v>
      </c>
      <c r="CB139" s="67">
        <f t="shared" si="300"/>
        <v>-4.0645281042168264</v>
      </c>
      <c r="CC139" s="67">
        <f t="shared" si="300"/>
        <v>-7.3043857976470896</v>
      </c>
      <c r="CD139" s="67">
        <f t="shared" si="300"/>
        <v>-14.967236636174432</v>
      </c>
      <c r="CE139" s="67">
        <f t="shared" si="301"/>
        <v>-22.27162243382152</v>
      </c>
      <c r="CK139" t="str">
        <f t="shared" si="311"/>
        <v>71 Sales occupations</v>
      </c>
      <c r="CL139" s="67">
        <f t="shared" si="302"/>
        <v>-3.3612449139367175</v>
      </c>
      <c r="CM139" s="67">
        <f t="shared" si="302"/>
        <v>-4.0486215920160813</v>
      </c>
      <c r="CN139" s="67">
        <f t="shared" si="302"/>
        <v>-2.8387201064180152</v>
      </c>
      <c r="CO139" s="67">
        <f t="shared" si="302"/>
        <v>-3.1194819960868809</v>
      </c>
      <c r="CP139" s="67">
        <f t="shared" si="303"/>
        <v>-5.9582021025048961</v>
      </c>
    </row>
    <row r="140" spans="1:94" x14ac:dyDescent="0.3">
      <c r="A140" t="str">
        <f t="shared" si="285"/>
        <v>72 Customer service occupations</v>
      </c>
      <c r="B140" s="26">
        <f t="shared" si="286"/>
        <v>2.5845196785328511E-2</v>
      </c>
      <c r="C140" s="26">
        <f t="shared" si="286"/>
        <v>1.0066320834223319E-4</v>
      </c>
      <c r="D140" s="26">
        <f t="shared" si="286"/>
        <v>0.11400996174155323</v>
      </c>
      <c r="E140" s="26">
        <f t="shared" si="286"/>
        <v>0.13305562501137697</v>
      </c>
      <c r="F140" s="26">
        <f t="shared" si="287"/>
        <v>0.24706558675293019</v>
      </c>
      <c r="L140" t="str">
        <f t="shared" si="304"/>
        <v>72 Customer service occupations</v>
      </c>
      <c r="M140" s="26">
        <f t="shared" si="288"/>
        <v>0.54117904423082819</v>
      </c>
      <c r="N140" s="26">
        <f t="shared" si="288"/>
        <v>-4.3679499703989766E-2</v>
      </c>
      <c r="O140" s="26">
        <f t="shared" si="288"/>
        <v>1.3237397569212483</v>
      </c>
      <c r="P140" s="26">
        <f t="shared" si="288"/>
        <v>1.6122406266844678</v>
      </c>
      <c r="Q140" s="26">
        <f t="shared" si="289"/>
        <v>2.9359803836057159</v>
      </c>
      <c r="W140" t="str">
        <f t="shared" si="305"/>
        <v>72 Customer service occupations</v>
      </c>
      <c r="X140" s="26">
        <f t="shared" si="290"/>
        <v>0.94337668633566452</v>
      </c>
      <c r="Y140" s="26">
        <f t="shared" si="290"/>
        <v>1.2779638478931741</v>
      </c>
      <c r="Z140" s="26">
        <f t="shared" si="290"/>
        <v>2.7205757963544883</v>
      </c>
      <c r="AA140" s="26">
        <f t="shared" si="290"/>
        <v>4.2705684050298096</v>
      </c>
      <c r="AB140" s="26">
        <f t="shared" si="291"/>
        <v>6.9911442013842979</v>
      </c>
      <c r="AH140" t="str">
        <f t="shared" si="306"/>
        <v>72 Customer service occupations</v>
      </c>
      <c r="AI140" s="26">
        <f t="shared" si="292"/>
        <v>0.39156321220876422</v>
      </c>
      <c r="AJ140" s="26">
        <f t="shared" si="292"/>
        <v>0.55802562177434512</v>
      </c>
      <c r="AK140" s="26">
        <f t="shared" si="292"/>
        <v>0.94645412008465035</v>
      </c>
      <c r="AL140" s="26">
        <f t="shared" si="292"/>
        <v>1.491669543146573</v>
      </c>
      <c r="AM140" s="26">
        <f t="shared" si="293"/>
        <v>2.4381236632312233</v>
      </c>
      <c r="AS140" t="str">
        <f t="shared" si="307"/>
        <v>72 Customer service occupations</v>
      </c>
      <c r="AT140" s="26">
        <f t="shared" si="294"/>
        <v>0.28435778160429281</v>
      </c>
      <c r="AU140" s="26">
        <f t="shared" si="294"/>
        <v>0.48460044132604141</v>
      </c>
      <c r="AV140" s="26">
        <f t="shared" si="294"/>
        <v>0.77584543889669444</v>
      </c>
      <c r="AW140" s="26">
        <f t="shared" si="294"/>
        <v>1.0058055257850245</v>
      </c>
      <c r="AX140" s="26">
        <f t="shared" si="295"/>
        <v>1.7816509646817189</v>
      </c>
      <c r="BD140" t="str">
        <f t="shared" si="308"/>
        <v>72 Customer service occupations</v>
      </c>
      <c r="BE140" s="26">
        <f t="shared" si="296"/>
        <v>0.19251999778631834</v>
      </c>
      <c r="BF140" s="26">
        <f t="shared" si="296"/>
        <v>0.38902545907915709</v>
      </c>
      <c r="BG140" s="26">
        <f t="shared" si="296"/>
        <v>3.2257746210056837</v>
      </c>
      <c r="BH140" s="26">
        <f t="shared" si="296"/>
        <v>1.7888752227026643</v>
      </c>
      <c r="BI140" s="26">
        <f t="shared" si="297"/>
        <v>5.014649843708348</v>
      </c>
      <c r="BO140" t="str">
        <f t="shared" si="309"/>
        <v>72 Customer service occupations</v>
      </c>
      <c r="BP140" s="26">
        <f t="shared" si="298"/>
        <v>1.4571573065970256</v>
      </c>
      <c r="BQ140" s="26">
        <f t="shared" si="298"/>
        <v>-1.0499630778363134</v>
      </c>
      <c r="BR140" s="26">
        <f t="shared" si="298"/>
        <v>3.6798679651295441</v>
      </c>
      <c r="BS140" s="26">
        <f t="shared" si="298"/>
        <v>-0.20739522630364959</v>
      </c>
      <c r="BT140" s="26">
        <f t="shared" si="299"/>
        <v>3.4724727388258945</v>
      </c>
      <c r="BZ140" t="str">
        <f t="shared" si="310"/>
        <v>72 Customer service occupations</v>
      </c>
      <c r="CA140" s="67">
        <f t="shared" si="300"/>
        <v>-8.2591217455983745E-2</v>
      </c>
      <c r="CB140" s="67">
        <f t="shared" si="300"/>
        <v>-0.48089054609218618</v>
      </c>
      <c r="CC140" s="67">
        <f t="shared" si="300"/>
        <v>0.50849859152622656</v>
      </c>
      <c r="CD140" s="67">
        <f t="shared" si="300"/>
        <v>-0.55548094952404536</v>
      </c>
      <c r="CE140" s="67">
        <f t="shared" si="301"/>
        <v>-4.6982357997818802E-2</v>
      </c>
      <c r="CK140" t="str">
        <f t="shared" si="311"/>
        <v>72 Customer service occupations</v>
      </c>
      <c r="CL140" s="67">
        <f t="shared" si="302"/>
        <v>0.40621529072040397</v>
      </c>
      <c r="CM140" s="67">
        <f t="shared" si="302"/>
        <v>-0.40793494729017876</v>
      </c>
      <c r="CN140" s="67">
        <f t="shared" si="302"/>
        <v>0.74264330855837724</v>
      </c>
      <c r="CO140" s="67">
        <f t="shared" si="302"/>
        <v>0.20494937674499614</v>
      </c>
      <c r="CP140" s="67">
        <f t="shared" si="303"/>
        <v>0.94759268530337337</v>
      </c>
    </row>
    <row r="141" spans="1:94" x14ac:dyDescent="0.3">
      <c r="A141" t="str">
        <f t="shared" si="285"/>
        <v>81 Process, plant and machine operatives</v>
      </c>
      <c r="B141" s="26">
        <f t="shared" si="286"/>
        <v>3.6607897297403311E-2</v>
      </c>
      <c r="C141" s="26">
        <f t="shared" si="286"/>
        <v>-2.2406882592817867E-2</v>
      </c>
      <c r="D141" s="26">
        <f t="shared" si="286"/>
        <v>0.10953852666612904</v>
      </c>
      <c r="E141" s="26">
        <f t="shared" si="286"/>
        <v>0.19614399407666983</v>
      </c>
      <c r="F141" s="26">
        <f t="shared" si="287"/>
        <v>0.30568252074279889</v>
      </c>
      <c r="L141" t="str">
        <f t="shared" si="304"/>
        <v>81 Process, plant and machine operatives</v>
      </c>
      <c r="M141" s="26">
        <f t="shared" si="288"/>
        <v>0.15348812090421882</v>
      </c>
      <c r="N141" s="26">
        <f t="shared" si="288"/>
        <v>-0.10710083897483502</v>
      </c>
      <c r="O141" s="26">
        <f t="shared" si="288"/>
        <v>0.65908409889193864</v>
      </c>
      <c r="P141" s="26">
        <f t="shared" si="288"/>
        <v>0.92508267996482485</v>
      </c>
      <c r="Q141" s="26">
        <f t="shared" si="289"/>
        <v>1.5841667788567635</v>
      </c>
      <c r="W141" t="str">
        <f t="shared" si="305"/>
        <v>81 Process, plant and machine operatives</v>
      </c>
      <c r="X141" s="26">
        <f t="shared" si="290"/>
        <v>3.4418031336477029E-2</v>
      </c>
      <c r="Y141" s="26">
        <f t="shared" si="290"/>
        <v>0.23906368920353183</v>
      </c>
      <c r="Z141" s="26">
        <f t="shared" si="290"/>
        <v>1.586384540305207</v>
      </c>
      <c r="AA141" s="26">
        <f t="shared" si="290"/>
        <v>3.2068782780485972</v>
      </c>
      <c r="AB141" s="26">
        <f t="shared" si="291"/>
        <v>4.7932628183538046</v>
      </c>
      <c r="AH141" t="str">
        <f t="shared" si="306"/>
        <v>81 Process, plant and machine operatives</v>
      </c>
      <c r="AI141" s="26">
        <f t="shared" si="292"/>
        <v>4.5943957337035712E-3</v>
      </c>
      <c r="AJ141" s="26">
        <f t="shared" si="292"/>
        <v>0.13612110952335232</v>
      </c>
      <c r="AK141" s="26">
        <f t="shared" si="292"/>
        <v>0.53294494986796637</v>
      </c>
      <c r="AL141" s="26">
        <f t="shared" si="292"/>
        <v>0.7294263015446063</v>
      </c>
      <c r="AM141" s="26">
        <f t="shared" si="293"/>
        <v>1.2623712514125727</v>
      </c>
      <c r="AS141" t="str">
        <f t="shared" si="307"/>
        <v>81 Process, plant and machine operatives</v>
      </c>
      <c r="AT141" s="26">
        <f t="shared" si="294"/>
        <v>3.1846959469232328E-2</v>
      </c>
      <c r="AU141" s="26">
        <f t="shared" si="294"/>
        <v>6.6746810466481676E-2</v>
      </c>
      <c r="AV141" s="26">
        <f t="shared" si="294"/>
        <v>1.187824221188134</v>
      </c>
      <c r="AW141" s="26">
        <f t="shared" si="294"/>
        <v>1.4157645473671132</v>
      </c>
      <c r="AX141" s="26">
        <f t="shared" si="295"/>
        <v>2.6035887685552472</v>
      </c>
      <c r="BD141" t="str">
        <f t="shared" si="308"/>
        <v>81 Process, plant and machine operatives</v>
      </c>
      <c r="BE141" s="26">
        <f t="shared" si="296"/>
        <v>0.61907429710699624</v>
      </c>
      <c r="BF141" s="26">
        <f t="shared" si="296"/>
        <v>-2.4622363727814776</v>
      </c>
      <c r="BG141" s="26">
        <f t="shared" si="296"/>
        <v>6.4025497833784133</v>
      </c>
      <c r="BH141" s="26">
        <f t="shared" si="296"/>
        <v>4.2281110591452382</v>
      </c>
      <c r="BI141" s="26">
        <f t="shared" si="297"/>
        <v>10.630660842523652</v>
      </c>
      <c r="BO141" t="str">
        <f t="shared" si="309"/>
        <v>81 Process, plant and machine operatives</v>
      </c>
      <c r="BP141" s="26">
        <f t="shared" si="298"/>
        <v>-0.37604093638027081</v>
      </c>
      <c r="BQ141" s="26">
        <f t="shared" si="298"/>
        <v>-0.96326547821143294</v>
      </c>
      <c r="BR141" s="26">
        <f t="shared" si="298"/>
        <v>5.7306359195145582</v>
      </c>
      <c r="BS141" s="26">
        <f t="shared" si="298"/>
        <v>1.3067673427483975</v>
      </c>
      <c r="BT141" s="26">
        <f t="shared" si="299"/>
        <v>7.0374032622629556</v>
      </c>
      <c r="BZ141" t="str">
        <f t="shared" si="310"/>
        <v>81 Process, plant and machine operatives</v>
      </c>
      <c r="CA141" s="67">
        <f t="shared" si="300"/>
        <v>-1.5382243996721492</v>
      </c>
      <c r="CB141" s="67">
        <f t="shared" si="300"/>
        <v>-3.1913200285105248</v>
      </c>
      <c r="CC141" s="67">
        <f t="shared" si="300"/>
        <v>2.016565887624278</v>
      </c>
      <c r="CD141" s="67">
        <f t="shared" si="300"/>
        <v>-10.627356605976301</v>
      </c>
      <c r="CE141" s="67">
        <f t="shared" si="301"/>
        <v>-8.6107907183520229</v>
      </c>
      <c r="CK141" t="str">
        <f t="shared" si="311"/>
        <v>81 Process, plant and machine operatives</v>
      </c>
      <c r="CL141" s="67">
        <f t="shared" si="302"/>
        <v>-1.5995660847067965</v>
      </c>
      <c r="CM141" s="67">
        <f t="shared" si="302"/>
        <v>-2.3343979782821966</v>
      </c>
      <c r="CN141" s="67">
        <f t="shared" si="302"/>
        <v>-1.9886986026637739</v>
      </c>
      <c r="CO141" s="67">
        <f t="shared" si="302"/>
        <v>-1.6742174701697305</v>
      </c>
      <c r="CP141" s="67">
        <f t="shared" si="303"/>
        <v>-3.6629160728335046</v>
      </c>
    </row>
    <row r="142" spans="1:94" x14ac:dyDescent="0.3">
      <c r="A142" t="str">
        <f t="shared" si="285"/>
        <v>82 Transport and mobile machine drivers and operatives</v>
      </c>
      <c r="B142" s="26">
        <f t="shared" si="286"/>
        <v>9.3538328517717678E-2</v>
      </c>
      <c r="C142" s="26">
        <f t="shared" si="286"/>
        <v>-6.402021673373004E-3</v>
      </c>
      <c r="D142" s="26">
        <f t="shared" si="286"/>
        <v>0.17327836849535333</v>
      </c>
      <c r="E142" s="26">
        <f t="shared" si="286"/>
        <v>0.17453366719563601</v>
      </c>
      <c r="F142" s="26">
        <f t="shared" si="287"/>
        <v>0.34781203569098934</v>
      </c>
      <c r="L142" t="str">
        <f t="shared" si="304"/>
        <v>82 Transport and mobile machine drivers and operatives</v>
      </c>
      <c r="M142" s="26">
        <f t="shared" si="288"/>
        <v>0.47009737806851493</v>
      </c>
      <c r="N142" s="26">
        <f t="shared" si="288"/>
        <v>6.6406248446853056E-3</v>
      </c>
      <c r="O142" s="26">
        <f t="shared" si="288"/>
        <v>0.85098157131424146</v>
      </c>
      <c r="P142" s="26">
        <f t="shared" si="288"/>
        <v>1.0590589859594335</v>
      </c>
      <c r="Q142" s="26">
        <f t="shared" si="289"/>
        <v>1.9100405572736749</v>
      </c>
      <c r="W142" t="str">
        <f t="shared" si="305"/>
        <v>82 Transport and mobile machine drivers and operatives</v>
      </c>
      <c r="X142" s="26">
        <f t="shared" si="290"/>
        <v>1.2287388220726969</v>
      </c>
      <c r="Y142" s="26">
        <f t="shared" si="290"/>
        <v>0.40410663516563972</v>
      </c>
      <c r="Z142" s="26">
        <f t="shared" si="290"/>
        <v>1.6026598845405484</v>
      </c>
      <c r="AA142" s="26">
        <f t="shared" si="290"/>
        <v>2.6138421677235808</v>
      </c>
      <c r="AB142" s="26">
        <f t="shared" si="291"/>
        <v>4.2165020522641292</v>
      </c>
      <c r="AH142" t="str">
        <f t="shared" si="306"/>
        <v>82 Transport and mobile machine drivers and operatives</v>
      </c>
      <c r="AI142" s="26">
        <f t="shared" si="292"/>
        <v>0.62799897108465697</v>
      </c>
      <c r="AJ142" s="26">
        <f t="shared" si="292"/>
        <v>0.17877500819739156</v>
      </c>
      <c r="AK142" s="26">
        <f t="shared" si="292"/>
        <v>0.85982306780085915</v>
      </c>
      <c r="AL142" s="26">
        <f t="shared" si="292"/>
        <v>0.98261821878510958</v>
      </c>
      <c r="AM142" s="26">
        <f t="shared" si="293"/>
        <v>1.8424412865859687</v>
      </c>
      <c r="AS142" t="str">
        <f t="shared" si="307"/>
        <v>82 Transport and mobile machine drivers and operatives</v>
      </c>
      <c r="AT142" s="26">
        <f t="shared" si="294"/>
        <v>0.81871543773685751</v>
      </c>
      <c r="AU142" s="26">
        <f t="shared" si="294"/>
        <v>0.27413397960480035</v>
      </c>
      <c r="AV142" s="26">
        <f t="shared" si="294"/>
        <v>1.210123121668329</v>
      </c>
      <c r="AW142" s="26">
        <f t="shared" si="294"/>
        <v>1.3213168841724716</v>
      </c>
      <c r="AX142" s="26">
        <f t="shared" si="295"/>
        <v>2.5314400058408006</v>
      </c>
      <c r="BD142" t="str">
        <f t="shared" si="308"/>
        <v>82 Transport and mobile machine drivers and operatives</v>
      </c>
      <c r="BE142" s="26">
        <f t="shared" si="296"/>
        <v>4.7298232058463334</v>
      </c>
      <c r="BF142" s="26">
        <f t="shared" si="296"/>
        <v>-4.044035314130749</v>
      </c>
      <c r="BG142" s="26">
        <f t="shared" si="296"/>
        <v>5.9189372293631877</v>
      </c>
      <c r="BH142" s="26">
        <f t="shared" si="296"/>
        <v>4.6888109324840457</v>
      </c>
      <c r="BI142" s="26">
        <f t="shared" si="297"/>
        <v>10.607748161847233</v>
      </c>
      <c r="BO142" t="str">
        <f t="shared" si="309"/>
        <v>82 Transport and mobile machine drivers and operatives</v>
      </c>
      <c r="BP142" s="26">
        <f t="shared" si="298"/>
        <v>4.92799270685002</v>
      </c>
      <c r="BQ142" s="26">
        <f t="shared" si="298"/>
        <v>-1.3111801916495125</v>
      </c>
      <c r="BR142" s="26">
        <f t="shared" si="298"/>
        <v>3.5110371627702435</v>
      </c>
      <c r="BS142" s="26">
        <f t="shared" si="298"/>
        <v>1.3110189423779204</v>
      </c>
      <c r="BT142" s="26">
        <f t="shared" si="299"/>
        <v>4.8220561051481639</v>
      </c>
      <c r="BZ142" t="str">
        <f t="shared" si="310"/>
        <v>82 Transport and mobile machine drivers and operatives</v>
      </c>
      <c r="CA142" s="67">
        <f t="shared" si="300"/>
        <v>1.5553649232774589</v>
      </c>
      <c r="CB142" s="67">
        <f t="shared" si="300"/>
        <v>-6.3072389131205036</v>
      </c>
      <c r="CC142" s="67">
        <f t="shared" si="300"/>
        <v>0.45779794162503862</v>
      </c>
      <c r="CD142" s="67">
        <f t="shared" si="300"/>
        <v>-4.3534038422864683</v>
      </c>
      <c r="CE142" s="67">
        <f t="shared" si="301"/>
        <v>-3.8956059006614296</v>
      </c>
      <c r="CK142" t="str">
        <f t="shared" si="311"/>
        <v>82 Transport and mobile machine drivers and operatives</v>
      </c>
      <c r="CL142" s="67">
        <f t="shared" si="302"/>
        <v>2.5340653869262528</v>
      </c>
      <c r="CM142" s="67">
        <f t="shared" si="302"/>
        <v>-4.070454509500868</v>
      </c>
      <c r="CN142" s="67">
        <f t="shared" si="302"/>
        <v>-1.3834356062902735</v>
      </c>
      <c r="CO142" s="67">
        <f t="shared" si="302"/>
        <v>-3.9120154333095867</v>
      </c>
      <c r="CP142" s="67">
        <f t="shared" si="303"/>
        <v>-5.2954510395998602</v>
      </c>
    </row>
    <row r="143" spans="1:94" x14ac:dyDescent="0.3">
      <c r="A143" t="str">
        <f t="shared" si="285"/>
        <v>91 Elementary trades and related occupations</v>
      </c>
      <c r="B143" s="26">
        <f t="shared" si="286"/>
        <v>-5.2622545300534565E-4</v>
      </c>
      <c r="C143" s="26">
        <f t="shared" si="286"/>
        <v>2.7806947082678678E-4</v>
      </c>
      <c r="D143" s="26">
        <f t="shared" si="286"/>
        <v>4.6524490508166854E-4</v>
      </c>
      <c r="E143" s="26">
        <f t="shared" si="286"/>
        <v>1.1476715558552571E-3</v>
      </c>
      <c r="F143" s="26">
        <f t="shared" si="287"/>
        <v>1.6129164609369256E-3</v>
      </c>
      <c r="L143" t="str">
        <f t="shared" si="304"/>
        <v>91 Elementary trades and related occupations</v>
      </c>
      <c r="M143" s="26">
        <f t="shared" si="288"/>
        <v>2.0641542406434898E-2</v>
      </c>
      <c r="N143" s="26">
        <f t="shared" si="288"/>
        <v>-1.5411619845487834E-2</v>
      </c>
      <c r="O143" s="26">
        <f t="shared" si="288"/>
        <v>0.10976486953112313</v>
      </c>
      <c r="P143" s="26">
        <f t="shared" si="288"/>
        <v>0.20427951217450235</v>
      </c>
      <c r="Q143" s="26">
        <f t="shared" si="289"/>
        <v>0.31404438170562549</v>
      </c>
      <c r="W143" t="str">
        <f t="shared" si="305"/>
        <v>91 Elementary trades and related occupations</v>
      </c>
      <c r="X143" s="26">
        <f t="shared" si="290"/>
        <v>-7.3029044738377458E-2</v>
      </c>
      <c r="Y143" s="26">
        <f t="shared" si="290"/>
        <v>-1.2625242849098939E-2</v>
      </c>
      <c r="Z143" s="26">
        <f t="shared" si="290"/>
        <v>-0.106223058460027</v>
      </c>
      <c r="AA143" s="26">
        <f t="shared" si="290"/>
        <v>0.29834631142994228</v>
      </c>
      <c r="AB143" s="26">
        <f t="shared" si="291"/>
        <v>0.19212325296991528</v>
      </c>
      <c r="AH143" t="str">
        <f t="shared" si="306"/>
        <v>91 Elementary trades and related occupations</v>
      </c>
      <c r="AI143" s="26">
        <f t="shared" si="292"/>
        <v>-2.5469828014909712E-2</v>
      </c>
      <c r="AJ143" s="26">
        <f t="shared" si="292"/>
        <v>-8.3207485152272387E-3</v>
      </c>
      <c r="AK143" s="26">
        <f t="shared" si="292"/>
        <v>2.8442027137048465E-2</v>
      </c>
      <c r="AL143" s="26">
        <f t="shared" si="292"/>
        <v>0.46773610132145538</v>
      </c>
      <c r="AM143" s="26">
        <f t="shared" si="293"/>
        <v>0.49617812845850384</v>
      </c>
      <c r="AS143" t="str">
        <f t="shared" si="307"/>
        <v>91 Elementary trades and related occupations</v>
      </c>
      <c r="AT143" s="26">
        <f t="shared" si="294"/>
        <v>-0.14361398056036689</v>
      </c>
      <c r="AU143" s="26">
        <f t="shared" si="294"/>
        <v>0.25541400147833282</v>
      </c>
      <c r="AV143" s="26">
        <f t="shared" si="294"/>
        <v>-4.4601815034752024E-2</v>
      </c>
      <c r="AW143" s="26">
        <f t="shared" si="294"/>
        <v>0.28789062766208495</v>
      </c>
      <c r="AX143" s="26">
        <f t="shared" si="295"/>
        <v>0.24328881262733293</v>
      </c>
      <c r="BD143" t="str">
        <f t="shared" si="308"/>
        <v>91 Elementary trades and related occupations</v>
      </c>
      <c r="BE143" s="26">
        <f t="shared" si="296"/>
        <v>-0.64289555989589342</v>
      </c>
      <c r="BF143" s="26">
        <f t="shared" si="296"/>
        <v>-0.72540425553144239</v>
      </c>
      <c r="BG143" s="26">
        <f t="shared" si="296"/>
        <v>0.83222225888713286</v>
      </c>
      <c r="BH143" s="26">
        <f t="shared" si="296"/>
        <v>2.2741711211532145</v>
      </c>
      <c r="BI143" s="26">
        <f t="shared" si="297"/>
        <v>3.1063933800403474</v>
      </c>
      <c r="BO143" t="str">
        <f t="shared" si="309"/>
        <v>91 Elementary trades and related occupations</v>
      </c>
      <c r="BP143" s="26">
        <f t="shared" si="298"/>
        <v>-2.1238162089229515</v>
      </c>
      <c r="BQ143" s="26">
        <f t="shared" si="298"/>
        <v>0.14077962602049965</v>
      </c>
      <c r="BR143" s="26">
        <f t="shared" si="298"/>
        <v>-2.1109332892480683</v>
      </c>
      <c r="BS143" s="26">
        <f t="shared" si="298"/>
        <v>-0.15451896933171128</v>
      </c>
      <c r="BT143" s="26">
        <f t="shared" si="299"/>
        <v>-2.2654522585797796</v>
      </c>
      <c r="BZ143" t="str">
        <f t="shared" si="310"/>
        <v>91 Elementary trades and related occupations</v>
      </c>
      <c r="CA143" s="67">
        <f t="shared" si="300"/>
        <v>-2.2515513140056562</v>
      </c>
      <c r="CB143" s="67">
        <f t="shared" si="300"/>
        <v>-2.4608706224235295</v>
      </c>
      <c r="CC143" s="67">
        <f t="shared" si="300"/>
        <v>-2.7269148489261266</v>
      </c>
      <c r="CD143" s="67">
        <f t="shared" si="300"/>
        <v>-2.0582474910453215</v>
      </c>
      <c r="CE143" s="67">
        <f t="shared" si="301"/>
        <v>-4.785162339971448</v>
      </c>
      <c r="CK143" t="str">
        <f t="shared" si="311"/>
        <v>91 Elementary trades and related occupations</v>
      </c>
      <c r="CL143" s="67">
        <f t="shared" si="302"/>
        <v>-1.0547298412334261</v>
      </c>
      <c r="CM143" s="67">
        <f t="shared" si="302"/>
        <v>-1.7938229286221539</v>
      </c>
      <c r="CN143" s="67">
        <f t="shared" si="302"/>
        <v>-1.7929592394050191</v>
      </c>
      <c r="CO143" s="67">
        <f t="shared" si="302"/>
        <v>-1.309088528135252</v>
      </c>
      <c r="CP143" s="67">
        <f t="shared" si="303"/>
        <v>-3.1020477675402711</v>
      </c>
    </row>
    <row r="144" spans="1:94" x14ac:dyDescent="0.3">
      <c r="A144" t="str">
        <f t="shared" si="285"/>
        <v>92 Elementary administration and service occupations</v>
      </c>
      <c r="B144" s="26">
        <f t="shared" si="286"/>
        <v>1.8725015182030486E-2</v>
      </c>
      <c r="C144" s="26">
        <f t="shared" si="286"/>
        <v>6.1698984600532525E-3</v>
      </c>
      <c r="D144" s="26">
        <f t="shared" si="286"/>
        <v>8.4605251802656045E-2</v>
      </c>
      <c r="E144" s="26">
        <f t="shared" si="286"/>
        <v>9.1377721835377956E-2</v>
      </c>
      <c r="F144" s="26">
        <f t="shared" si="287"/>
        <v>0.175982973638034</v>
      </c>
      <c r="L144" t="str">
        <f t="shared" ref="L144" si="312">A144</f>
        <v>92 Elementary administration and service occupations</v>
      </c>
      <c r="M144" s="26">
        <f t="shared" si="288"/>
        <v>1.3275746765601122</v>
      </c>
      <c r="N144" s="26">
        <f t="shared" si="288"/>
        <v>0.10945371196979004</v>
      </c>
      <c r="O144" s="26">
        <f t="shared" si="288"/>
        <v>2.7232454084249067</v>
      </c>
      <c r="P144" s="26">
        <f t="shared" si="288"/>
        <v>3.8558077140947056</v>
      </c>
      <c r="Q144" s="26">
        <f t="shared" si="289"/>
        <v>6.5790531225196123</v>
      </c>
      <c r="W144" t="str">
        <f t="shared" ref="W144" si="313">A144</f>
        <v>92 Elementary administration and service occupations</v>
      </c>
      <c r="X144" s="26">
        <f t="shared" si="290"/>
        <v>2.6442824883701768</v>
      </c>
      <c r="Y144" s="26">
        <f t="shared" si="290"/>
        <v>3.5381769871665121</v>
      </c>
      <c r="Z144" s="26">
        <f t="shared" si="290"/>
        <v>3.8351726706466316</v>
      </c>
      <c r="AA144" s="26">
        <f t="shared" si="290"/>
        <v>9.5992055600599215</v>
      </c>
      <c r="AB144" s="26">
        <f t="shared" si="291"/>
        <v>13.434378230706553</v>
      </c>
      <c r="AH144" t="str">
        <f t="shared" ref="AH144" si="314">L144</f>
        <v>92 Elementary administration and service occupations</v>
      </c>
      <c r="AI144" s="26">
        <f t="shared" si="292"/>
        <v>1.6918588218716799</v>
      </c>
      <c r="AJ144" s="26">
        <f t="shared" si="292"/>
        <v>1.8163437781625564</v>
      </c>
      <c r="AK144" s="26">
        <f t="shared" si="292"/>
        <v>2.0076080496637001</v>
      </c>
      <c r="AL144" s="26">
        <f t="shared" si="292"/>
        <v>5.4442788550859067</v>
      </c>
      <c r="AM144" s="26">
        <f t="shared" si="293"/>
        <v>7.4518869047496068</v>
      </c>
      <c r="AS144" t="str">
        <f t="shared" ref="AS144" si="315">W144</f>
        <v>92 Elementary administration and service occupations</v>
      </c>
      <c r="AT144" s="26">
        <f t="shared" si="294"/>
        <v>0.66464381978054732</v>
      </c>
      <c r="AU144" s="26">
        <f t="shared" si="294"/>
        <v>2.0981674352458715</v>
      </c>
      <c r="AV144" s="26">
        <f t="shared" si="294"/>
        <v>1.367791009567755</v>
      </c>
      <c r="AW144" s="26">
        <f t="shared" si="294"/>
        <v>4.762333766388311</v>
      </c>
      <c r="AX144" s="26">
        <f t="shared" si="295"/>
        <v>6.130124775956066</v>
      </c>
      <c r="BD144" t="str">
        <f t="shared" ref="BD144" si="316">AH144</f>
        <v>92 Elementary administration and service occupations</v>
      </c>
      <c r="BE144" s="26">
        <f t="shared" si="296"/>
        <v>-4.3856722813986551</v>
      </c>
      <c r="BF144" s="26">
        <f t="shared" si="296"/>
        <v>-1.8894614507649408</v>
      </c>
      <c r="BG144" s="26">
        <f t="shared" si="296"/>
        <v>2.6003076891128813</v>
      </c>
      <c r="BH144" s="26">
        <f t="shared" si="296"/>
        <v>-0.10548715359388439</v>
      </c>
      <c r="BI144" s="26">
        <f t="shared" si="297"/>
        <v>2.494820535518997</v>
      </c>
      <c r="BO144" t="str">
        <f t="shared" ref="BO144" si="317">AS144</f>
        <v>92 Elementary administration and service occupations</v>
      </c>
      <c r="BP144" s="26">
        <f t="shared" si="298"/>
        <v>1.7220506011585996</v>
      </c>
      <c r="BQ144" s="26">
        <f t="shared" si="298"/>
        <v>-5.0775745720545871</v>
      </c>
      <c r="BR144" s="26">
        <f t="shared" si="298"/>
        <v>3.2296761541138466</v>
      </c>
      <c r="BS144" s="26">
        <f t="shared" si="298"/>
        <v>-8.0497279659227701</v>
      </c>
      <c r="BT144" s="26">
        <f t="shared" si="299"/>
        <v>-4.8200518118089235</v>
      </c>
      <c r="BZ144" t="str">
        <f t="shared" ref="BZ144" si="318">BD144</f>
        <v>92 Elementary administration and service occupations</v>
      </c>
      <c r="CA144" s="67">
        <f t="shared" si="300"/>
        <v>5.8630142865797836</v>
      </c>
      <c r="CB144" s="67">
        <f t="shared" si="300"/>
        <v>-13.673277075946004</v>
      </c>
      <c r="CC144" s="67">
        <f t="shared" si="300"/>
        <v>-4.5510458214934602E-2</v>
      </c>
      <c r="CD144" s="67">
        <f t="shared" si="300"/>
        <v>-20.573019791173977</v>
      </c>
      <c r="CE144" s="67">
        <f t="shared" si="301"/>
        <v>-20.618530249388911</v>
      </c>
      <c r="CK144" t="str">
        <f t="shared" ref="CK144" si="319">BO144</f>
        <v>92 Elementary administration and service occupations</v>
      </c>
      <c r="CL144" s="67">
        <f t="shared" si="302"/>
        <v>-5.9407360207765905</v>
      </c>
      <c r="CM144" s="67">
        <f t="shared" si="302"/>
        <v>-12.824025934310857</v>
      </c>
      <c r="CN144" s="67">
        <f t="shared" si="302"/>
        <v>-7.839357541656323</v>
      </c>
      <c r="CO144" s="67">
        <f t="shared" si="302"/>
        <v>-9.0073395565637373</v>
      </c>
      <c r="CP144" s="67">
        <f t="shared" si="303"/>
        <v>-16.846697098220062</v>
      </c>
    </row>
    <row r="145" spans="1:94" x14ac:dyDescent="0.3">
      <c r="C145" s="26"/>
      <c r="F145" s="26"/>
      <c r="N145" s="26"/>
      <c r="Q145" s="26"/>
      <c r="Y145" s="26"/>
      <c r="AB145" s="26"/>
      <c r="AJ145" s="26"/>
      <c r="AM145" s="26"/>
      <c r="AU145" s="26"/>
      <c r="AX145" s="26"/>
      <c r="BF145" s="26"/>
      <c r="BI145" s="26"/>
      <c r="BQ145" s="26"/>
      <c r="BT145" s="26"/>
      <c r="CA145" s="68"/>
      <c r="CB145" s="67"/>
      <c r="CC145" s="68"/>
      <c r="CD145" s="68"/>
      <c r="CE145" s="67"/>
      <c r="CL145" s="68"/>
      <c r="CM145" s="67"/>
      <c r="CN145" s="68"/>
      <c r="CO145" s="68"/>
      <c r="CP145" s="67"/>
    </row>
    <row r="146" spans="1:94" x14ac:dyDescent="0.3">
      <c r="A146" s="23" t="str">
        <f t="shared" ref="A146" si="320">A35</f>
        <v>All occupations</v>
      </c>
      <c r="B146" s="28">
        <f>C35-B35</f>
        <v>9.5601649715937285</v>
      </c>
      <c r="C146" s="28">
        <f>D35-C35</f>
        <v>-0.78316250343709015</v>
      </c>
      <c r="D146" s="28">
        <f>E35-D35</f>
        <v>12.35888425881145</v>
      </c>
      <c r="E146" s="28">
        <f>F35-E35</f>
        <v>17.266918010329512</v>
      </c>
      <c r="F146" s="28">
        <f>F35-D35</f>
        <v>29.625802269140962</v>
      </c>
      <c r="L146" s="23" t="str">
        <f t="shared" ref="L146" si="321">L35</f>
        <v>All occupations</v>
      </c>
      <c r="M146" s="28">
        <f>N35-M35</f>
        <v>72.150582104229926</v>
      </c>
      <c r="N146" s="28">
        <f t="shared" ref="N146" si="322">O35-N35</f>
        <v>-0.66481626286861228</v>
      </c>
      <c r="O146" s="28">
        <f>P35-O35</f>
        <v>86.027050467936931</v>
      </c>
      <c r="P146" s="28">
        <f>Q35-P35</f>
        <v>122.69548194332691</v>
      </c>
      <c r="Q146" s="28">
        <f>Q35-O35</f>
        <v>208.72253241126384</v>
      </c>
      <c r="W146" s="23" t="str">
        <f t="shared" ref="W146" si="323">W35</f>
        <v>All occupations</v>
      </c>
      <c r="X146" s="28">
        <f>Y35-X35</f>
        <v>62.997320381305258</v>
      </c>
      <c r="Y146" s="28">
        <f t="shared" ref="Y146" si="324">Z35-Y35</f>
        <v>72.235769162967699</v>
      </c>
      <c r="Z146" s="28">
        <f>AA35-Z35</f>
        <v>27.943210063146239</v>
      </c>
      <c r="AA146" s="28">
        <f>AB35-AA35</f>
        <v>137.34807353246447</v>
      </c>
      <c r="AB146" s="28">
        <f>AB35-Z35</f>
        <v>165.29128359561071</v>
      </c>
      <c r="AH146" s="23" t="str">
        <f t="shared" ref="AH146" si="325">AH35</f>
        <v>All occupations</v>
      </c>
      <c r="AI146" s="28">
        <f>AJ35-AI35</f>
        <v>5.7204175819097145</v>
      </c>
      <c r="AJ146" s="28">
        <f t="shared" ref="AJ146" si="326">AK35-AJ35</f>
        <v>21.077100368831054</v>
      </c>
      <c r="AK146" s="28">
        <f>AL35-AK35</f>
        <v>-4.0329962529391992</v>
      </c>
      <c r="AL146" s="28">
        <f>AM35-AL35</f>
        <v>29.691071786734028</v>
      </c>
      <c r="AM146" s="28">
        <f>AM35-AK35</f>
        <v>25.658075533794829</v>
      </c>
      <c r="AS146" s="23" t="str">
        <f t="shared" ref="AS146" si="327">AS35</f>
        <v>All occupations</v>
      </c>
      <c r="AT146" s="28">
        <f>AU35-AT35</f>
        <v>11.6198344763595</v>
      </c>
      <c r="AU146" s="28">
        <f t="shared" ref="AU146" si="328">AV35-AU35</f>
        <v>21.220996477827981</v>
      </c>
      <c r="AV146" s="28">
        <f>AW35-AV35</f>
        <v>3.9243627837148267</v>
      </c>
      <c r="AW146" s="28">
        <f>AX35-AW35</f>
        <v>36.026687834088278</v>
      </c>
      <c r="AX146" s="28">
        <f>AX35-AV35</f>
        <v>39.951050617803105</v>
      </c>
      <c r="BD146" s="23" t="str">
        <f t="shared" ref="BD146" si="329">BD35</f>
        <v>All occupations</v>
      </c>
      <c r="BE146" s="28">
        <f>BF35-BE35</f>
        <v>7.984320458669913</v>
      </c>
      <c r="BF146" s="28">
        <f t="shared" ref="BF146" si="330">BG35-BF35</f>
        <v>-24.71121693073394</v>
      </c>
      <c r="BG146" s="28">
        <f>BH35-BG35</f>
        <v>48.200168685485096</v>
      </c>
      <c r="BH146" s="28">
        <f>BI35-BH35</f>
        <v>34.422636400719853</v>
      </c>
      <c r="BI146" s="28">
        <f>BI35-BG35</f>
        <v>82.622805086204949</v>
      </c>
      <c r="BO146" s="23" t="str">
        <f t="shared" ref="BO146" si="331">BO35</f>
        <v>All occupations</v>
      </c>
      <c r="BP146" s="28">
        <f>BQ35-BP35</f>
        <v>-3.1973660510822128</v>
      </c>
      <c r="BQ146" s="28">
        <f t="shared" ref="BQ146" si="332">BR35-BQ35</f>
        <v>-19.274801491704807</v>
      </c>
      <c r="BR146" s="28">
        <f>BS35-BR35</f>
        <v>-16.877911321922511</v>
      </c>
      <c r="BS146" s="28">
        <f>BT35-BS35</f>
        <v>-75.661103485526837</v>
      </c>
      <c r="BT146" s="28">
        <f>BT35-BR35</f>
        <v>-92.539014807449348</v>
      </c>
      <c r="BZ146" s="23" t="str">
        <f t="shared" ref="BZ146" si="333">BZ35</f>
        <v>All occupations</v>
      </c>
      <c r="CA146" s="69">
        <f>CB35-CA35</f>
        <v>-9.6955959559837765</v>
      </c>
      <c r="CB146" s="69">
        <f t="shared" ref="CB146" si="334">CC35-CB35</f>
        <v>-57.541878495603498</v>
      </c>
      <c r="CC146" s="69">
        <f>CD35-CC35</f>
        <v>-32.062431235875579</v>
      </c>
      <c r="CD146" s="69">
        <f>CE35-CD35</f>
        <v>-110.23286734566597</v>
      </c>
      <c r="CE146" s="69">
        <f>CE35-CC35</f>
        <v>-142.29529858154154</v>
      </c>
      <c r="CK146" s="23" t="str">
        <f t="shared" ref="CK146" si="335">CK35</f>
        <v>All occupations</v>
      </c>
      <c r="CL146" s="69">
        <f>CM35-CL35</f>
        <v>-5.8156779681955015</v>
      </c>
      <c r="CM146" s="69">
        <f t="shared" ref="CM146" si="336">CN35-CM35</f>
        <v>-44.468990325198206</v>
      </c>
      <c r="CN146" s="69">
        <f>CO35-CN35</f>
        <v>-19.420337446752484</v>
      </c>
      <c r="CO146" s="69">
        <f>CP35-CO35</f>
        <v>-27.525898678574521</v>
      </c>
      <c r="CP146" s="69">
        <f>CP35-CN35</f>
        <v>-46.946236125327005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9"/>
  <dimension ref="A1:AG37"/>
  <sheetViews>
    <sheetView showGridLines="0" zoomScale="85" zoomScaleNormal="85" workbookViewId="0"/>
  </sheetViews>
  <sheetFormatPr defaultColWidth="9.15234375" defaultRowHeight="12.45" x14ac:dyDescent="0.3"/>
  <cols>
    <col min="1" max="1" width="55.69140625" style="90" customWidth="1"/>
    <col min="2" max="4" width="11.69140625" style="90" customWidth="1"/>
    <col min="5" max="5" width="14.69140625" style="90" customWidth="1"/>
    <col min="6" max="8" width="11.69140625" style="90" customWidth="1"/>
    <col min="9" max="9" width="16.53515625" style="90" customWidth="1"/>
    <col min="10" max="11" width="11.69140625" style="90" customWidth="1"/>
    <col min="12" max="12" width="2.69140625" style="90" customWidth="1"/>
    <col min="13" max="22" width="11.69140625" style="90" customWidth="1"/>
    <col min="23" max="23" width="2.69140625" style="90" customWidth="1"/>
    <col min="24" max="32" width="11.69140625" style="90" customWidth="1"/>
    <col min="33" max="33" width="12.84375" style="90" customWidth="1"/>
    <col min="34" max="16384" width="9.15234375" style="90"/>
  </cols>
  <sheetData>
    <row r="1" spans="1:33" ht="15.45" x14ac:dyDescent="0.4">
      <c r="A1" s="18" t="str">
        <f>CONCATENATE("Basic Table 3  Occupation by Qualification in ",A$6,", ",Info!B5)</f>
        <v>Basic Table 3  Occupation by Qualification in 2020, East</v>
      </c>
    </row>
    <row r="2" spans="1:33" x14ac:dyDescent="0.3">
      <c r="A2" s="181" t="s">
        <v>542</v>
      </c>
    </row>
    <row r="3" spans="1:33" x14ac:dyDescent="0.3">
      <c r="AG3" s="91"/>
    </row>
    <row r="4" spans="1:33" x14ac:dyDescent="0.3">
      <c r="A4" s="95"/>
      <c r="B4" s="94" t="s">
        <v>466</v>
      </c>
      <c r="C4" s="94"/>
      <c r="D4" s="94"/>
      <c r="E4" s="94"/>
      <c r="F4" s="94"/>
      <c r="G4" s="94"/>
      <c r="H4" s="94"/>
      <c r="I4" s="94"/>
      <c r="J4" s="94"/>
      <c r="K4" s="94"/>
      <c r="L4" s="95"/>
      <c r="M4" s="94" t="s">
        <v>464</v>
      </c>
      <c r="N4" s="94"/>
      <c r="O4" s="94"/>
      <c r="P4" s="94"/>
      <c r="Q4" s="94"/>
      <c r="R4" s="94"/>
      <c r="S4" s="94"/>
      <c r="T4" s="94"/>
      <c r="U4" s="94"/>
      <c r="V4" s="94"/>
      <c r="W4" s="95"/>
      <c r="X4" s="94" t="s">
        <v>465</v>
      </c>
      <c r="Y4" s="94"/>
      <c r="Z4" s="94"/>
      <c r="AA4" s="94"/>
      <c r="AB4" s="94"/>
      <c r="AC4" s="94"/>
      <c r="AD4" s="94"/>
      <c r="AE4" s="94"/>
      <c r="AF4" s="94"/>
    </row>
    <row r="5" spans="1:33" x14ac:dyDescent="0.3">
      <c r="B5" s="91"/>
      <c r="C5" s="91"/>
      <c r="D5" s="91"/>
      <c r="E5" s="91"/>
      <c r="F5" s="91"/>
      <c r="G5" s="91"/>
      <c r="H5" s="91"/>
      <c r="I5" s="91"/>
      <c r="J5" s="91"/>
      <c r="K5" s="91"/>
      <c r="M5" s="91"/>
      <c r="N5" s="91"/>
      <c r="O5" s="91"/>
      <c r="P5" s="91"/>
      <c r="Q5" s="91"/>
      <c r="R5" s="91"/>
      <c r="S5" s="91"/>
      <c r="T5" s="91"/>
      <c r="U5" s="91"/>
      <c r="V5" s="91"/>
      <c r="X5" s="91"/>
      <c r="Y5" s="91"/>
      <c r="Z5" s="91"/>
      <c r="AA5" s="91"/>
      <c r="AB5" s="91"/>
      <c r="AC5" s="91"/>
      <c r="AD5" s="91"/>
      <c r="AE5" s="91"/>
      <c r="AF5" s="91"/>
      <c r="AG5" s="91"/>
    </row>
    <row r="6" spans="1:33" ht="49.75" x14ac:dyDescent="0.3">
      <c r="A6" s="99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1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1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3">
      <c r="A8" s="10" t="str">
        <f>name!D4</f>
        <v>11 Corporate managers and directors</v>
      </c>
      <c r="B8" s="68">
        <f>'Basic T2'!D8</f>
        <v>3.6048094510627395</v>
      </c>
      <c r="C8" s="68">
        <f>'Basic T2'!O8</f>
        <v>27.658011749627089</v>
      </c>
      <c r="D8" s="68">
        <f>'Basic T2'!Z8</f>
        <v>71.799136780098451</v>
      </c>
      <c r="E8" s="68">
        <f>'Basic T2'!AK8</f>
        <v>13.638266358889565</v>
      </c>
      <c r="F8" s="68">
        <f>'Basic T2'!AV8</f>
        <v>20.965137881834394</v>
      </c>
      <c r="G8" s="68">
        <f>'Basic T2'!BG8</f>
        <v>46.459644332484118</v>
      </c>
      <c r="H8" s="68">
        <f>'Basic T2'!BR8</f>
        <v>40.061581601925873</v>
      </c>
      <c r="I8" s="68">
        <f>'Basic T2'!CC8</f>
        <v>27.641370471428797</v>
      </c>
      <c r="J8" s="68">
        <f>'Basic T2'!CN8</f>
        <v>4.5923158904543309</v>
      </c>
      <c r="K8" s="309">
        <f>SUM(B8:J8)</f>
        <v>256.42027451780535</v>
      </c>
      <c r="L8" s="96"/>
      <c r="M8" s="96">
        <f t="shared" ref="M8:M33" si="0">B8/B$35*100</f>
        <v>7.8791186717652355</v>
      </c>
      <c r="N8" s="96">
        <f t="shared" ref="N8:N33" si="1">C8/C$35*100</f>
        <v>8.9326013517415213</v>
      </c>
      <c r="O8" s="96">
        <f t="shared" ref="O8:O33" si="2">D8/D$35*100</f>
        <v>10.867640989821362</v>
      </c>
      <c r="P8" s="96">
        <f t="shared" ref="P8:P33" si="3">E8/E$35*100</f>
        <v>7.5625772491031045</v>
      </c>
      <c r="Q8" s="96">
        <f t="shared" ref="Q8:Q33" si="4">F8/F$35*100</f>
        <v>11.423517950184133</v>
      </c>
      <c r="R8" s="96">
        <f t="shared" ref="R8:R33" si="5">G8/G$35*100</f>
        <v>7.6589889618026499</v>
      </c>
      <c r="S8" s="96">
        <f t="shared" ref="S8:S33" si="6">H8/H$35*100</f>
        <v>6.1339545355466107</v>
      </c>
      <c r="T8" s="96">
        <f t="shared" ref="T8:T33" si="7">I8/I$35*100</f>
        <v>6.5660352642029558</v>
      </c>
      <c r="U8" s="96">
        <f t="shared" ref="U8:U33" si="8">J8/J$35*100</f>
        <v>4.0429980278570312</v>
      </c>
      <c r="V8" s="96">
        <f t="shared" ref="V8:V33" si="9">K8/K$35*100</f>
        <v>8.0782849467812472</v>
      </c>
      <c r="W8" s="96"/>
      <c r="X8" s="96">
        <f t="shared" ref="X8:X32" si="10">IF($K8&gt;0,B8/$K8*100,0)</f>
        <v>1.4058207596265671</v>
      </c>
      <c r="Y8" s="96">
        <f t="shared" ref="Y8:AG23" si="11">IF($K8&gt;0,C8/$K8*100,0)</f>
        <v>10.78620315871574</v>
      </c>
      <c r="Z8" s="96">
        <f t="shared" si="11"/>
        <v>28.000569344649399</v>
      </c>
      <c r="AA8" s="96">
        <f t="shared" si="11"/>
        <v>5.3187160744352724</v>
      </c>
      <c r="AB8" s="96">
        <f t="shared" si="11"/>
        <v>8.176084329236069</v>
      </c>
      <c r="AC8" s="96">
        <f t="shared" si="11"/>
        <v>18.118553386564621</v>
      </c>
      <c r="AD8" s="96">
        <f t="shared" si="11"/>
        <v>15.62340640858493</v>
      </c>
      <c r="AE8" s="96">
        <f t="shared" si="11"/>
        <v>10.779713313780666</v>
      </c>
      <c r="AF8" s="96">
        <f>IF($K8&gt;0,J8/$K8*100,0)</f>
        <v>1.7909332244067342</v>
      </c>
      <c r="AG8" s="96">
        <f t="shared" si="11"/>
        <v>100</v>
      </c>
    </row>
    <row r="9" spans="1:33" x14ac:dyDescent="0.3">
      <c r="A9" s="10" t="str">
        <f>name!D5</f>
        <v>12 Other managers and proprietors</v>
      </c>
      <c r="B9" s="68">
        <f>'Basic T2'!D9</f>
        <v>1.2351249870149699</v>
      </c>
      <c r="C9" s="68">
        <f>'Basic T2'!O9</f>
        <v>10.340077863742406</v>
      </c>
      <c r="D9" s="68">
        <f>'Basic T2'!Z9</f>
        <v>24.761523352888531</v>
      </c>
      <c r="E9" s="68">
        <f>'Basic T2'!AK9</f>
        <v>7.9087874812888046</v>
      </c>
      <c r="F9" s="68">
        <f>'Basic T2'!AV9</f>
        <v>7.9620684645663982</v>
      </c>
      <c r="G9" s="68">
        <f>'Basic T2'!BG9</f>
        <v>18.82818058482712</v>
      </c>
      <c r="H9" s="68">
        <f>'Basic T2'!BR9</f>
        <v>21.045752294136875</v>
      </c>
      <c r="I9" s="68">
        <f>'Basic T2'!CC9</f>
        <v>12.583463346333987</v>
      </c>
      <c r="J9" s="68">
        <f>'Basic T2'!CN9</f>
        <v>3.790351215182119</v>
      </c>
      <c r="K9" s="309">
        <f>SUM(B9:J9)</f>
        <v>108.4553295899812</v>
      </c>
      <c r="L9" s="96"/>
      <c r="M9" s="96">
        <f t="shared" si="0"/>
        <v>2.6996423747958231</v>
      </c>
      <c r="N9" s="96">
        <f t="shared" si="1"/>
        <v>3.3394950562208559</v>
      </c>
      <c r="O9" s="96">
        <f t="shared" si="2"/>
        <v>3.7479468170271963</v>
      </c>
      <c r="P9" s="96">
        <f t="shared" si="3"/>
        <v>4.3855146028146637</v>
      </c>
      <c r="Q9" s="96">
        <f t="shared" si="4"/>
        <v>4.3383846334909464</v>
      </c>
      <c r="R9" s="96">
        <f t="shared" si="5"/>
        <v>3.1038728199903871</v>
      </c>
      <c r="S9" s="96">
        <f t="shared" si="6"/>
        <v>3.2223812085443346</v>
      </c>
      <c r="T9" s="96">
        <f t="shared" si="7"/>
        <v>2.9891232840005943</v>
      </c>
      <c r="U9" s="96">
        <f t="shared" si="8"/>
        <v>3.3369617538114795</v>
      </c>
      <c r="V9" s="96">
        <f t="shared" si="9"/>
        <v>3.4167854241342637</v>
      </c>
      <c r="W9" s="96"/>
      <c r="X9" s="96">
        <f t="shared" si="10"/>
        <v>1.1388329109177011</v>
      </c>
      <c r="Y9" s="96">
        <f t="shared" si="11"/>
        <v>9.5339508928084928</v>
      </c>
      <c r="Z9" s="96">
        <f t="shared" si="11"/>
        <v>22.831080267332414</v>
      </c>
      <c r="AA9" s="96">
        <f t="shared" si="11"/>
        <v>7.2922073181541425</v>
      </c>
      <c r="AB9" s="96">
        <f t="shared" si="11"/>
        <v>7.3413344412554453</v>
      </c>
      <c r="AC9" s="96">
        <f t="shared" si="11"/>
        <v>17.360309222246293</v>
      </c>
      <c r="AD9" s="96">
        <f t="shared" si="11"/>
        <v>19.404995931229017</v>
      </c>
      <c r="AE9" s="96">
        <f t="shared" si="11"/>
        <v>11.602438897107378</v>
      </c>
      <c r="AF9" s="96">
        <f t="shared" si="11"/>
        <v>3.4948501189491208</v>
      </c>
      <c r="AG9" s="96">
        <f t="shared" si="11"/>
        <v>100</v>
      </c>
    </row>
    <row r="10" spans="1:33" x14ac:dyDescent="0.3">
      <c r="A10" s="10" t="str">
        <f>name!D6</f>
        <v>21 Science, research, engineering and technology professionals</v>
      </c>
      <c r="B10" s="68">
        <f>'Basic T2'!D10</f>
        <v>10.323616832205884</v>
      </c>
      <c r="C10" s="68">
        <f>'Basic T2'!O10</f>
        <v>40.414660443414377</v>
      </c>
      <c r="D10" s="68">
        <f>'Basic T2'!Z10</f>
        <v>75.7176119564554</v>
      </c>
      <c r="E10" s="68">
        <f>'Basic T2'!AK10</f>
        <v>7.7734476815118105</v>
      </c>
      <c r="F10" s="68">
        <f>'Basic T2'!AV10</f>
        <v>18.385571849551265</v>
      </c>
      <c r="G10" s="68">
        <f>'Basic T2'!BG10</f>
        <v>27.107161415701832</v>
      </c>
      <c r="H10" s="68">
        <f>'Basic T2'!BR10</f>
        <v>23.995466080894801</v>
      </c>
      <c r="I10" s="68">
        <f>'Basic T2'!CC10</f>
        <v>12.969878225520642</v>
      </c>
      <c r="J10" s="68">
        <f>'Basic T2'!CN10</f>
        <v>2.5926398575967893</v>
      </c>
      <c r="K10" s="309">
        <f t="shared" ref="K10:K32" si="12">SUM(B10:J10)</f>
        <v>219.28005434285279</v>
      </c>
      <c r="L10" s="96"/>
      <c r="M10" s="96">
        <f t="shared" si="0"/>
        <v>22.564577475462116</v>
      </c>
      <c r="N10" s="96">
        <f t="shared" si="1"/>
        <v>13.052566965949216</v>
      </c>
      <c r="O10" s="96">
        <f t="shared" si="2"/>
        <v>11.46074814060229</v>
      </c>
      <c r="P10" s="96">
        <f t="shared" si="3"/>
        <v>4.3104671104312553</v>
      </c>
      <c r="Q10" s="96">
        <f t="shared" si="4"/>
        <v>10.017959873745037</v>
      </c>
      <c r="R10" s="96">
        <f t="shared" si="5"/>
        <v>4.4686835866175967</v>
      </c>
      <c r="S10" s="96">
        <f t="shared" si="6"/>
        <v>3.6740211472924922</v>
      </c>
      <c r="T10" s="96">
        <f t="shared" si="7"/>
        <v>3.0809137299907761</v>
      </c>
      <c r="U10" s="96">
        <f t="shared" si="8"/>
        <v>2.2825167260369659</v>
      </c>
      <c r="V10" s="96">
        <f t="shared" si="9"/>
        <v>6.9082164639997607</v>
      </c>
      <c r="W10" s="96"/>
      <c r="X10" s="96">
        <f t="shared" si="10"/>
        <v>4.7079598110936764</v>
      </c>
      <c r="Y10" s="96">
        <f t="shared" si="11"/>
        <v>18.430614022114618</v>
      </c>
      <c r="Z10" s="96">
        <f t="shared" si="11"/>
        <v>34.530095399405546</v>
      </c>
      <c r="AA10" s="96">
        <f t="shared" si="11"/>
        <v>3.5449862071621556</v>
      </c>
      <c r="AB10" s="96">
        <f t="shared" si="11"/>
        <v>8.3845162774379443</v>
      </c>
      <c r="AC10" s="96">
        <f t="shared" si="11"/>
        <v>12.361891051576785</v>
      </c>
      <c r="AD10" s="96">
        <f t="shared" si="11"/>
        <v>10.942840265525001</v>
      </c>
      <c r="AE10" s="96">
        <f t="shared" si="11"/>
        <v>5.9147551127663158</v>
      </c>
      <c r="AF10" s="96">
        <f t="shared" si="11"/>
        <v>1.1823418529179572</v>
      </c>
      <c r="AG10" s="96">
        <f t="shared" si="11"/>
        <v>100</v>
      </c>
    </row>
    <row r="11" spans="1:33" x14ac:dyDescent="0.3">
      <c r="A11" s="10" t="str">
        <f>name!D7</f>
        <v>22 Health professionals</v>
      </c>
      <c r="B11" s="68">
        <f>'Basic T2'!D11</f>
        <v>6.5322903368969145</v>
      </c>
      <c r="C11" s="68">
        <f>'Basic T2'!O11</f>
        <v>19.904078700767059</v>
      </c>
      <c r="D11" s="68">
        <f>'Basic T2'!Z11</f>
        <v>46.154196635006116</v>
      </c>
      <c r="E11" s="68">
        <f>'Basic T2'!AK11</f>
        <v>14.68535845839935</v>
      </c>
      <c r="F11" s="68">
        <f>'Basic T2'!AV11</f>
        <v>3.9302103933050905</v>
      </c>
      <c r="G11" s="68">
        <f>'Basic T2'!BG11</f>
        <v>12.056025049283438</v>
      </c>
      <c r="H11" s="68">
        <f>'Basic T2'!BR11</f>
        <v>9.6813388639198941</v>
      </c>
      <c r="I11" s="68">
        <f>'Basic T2'!CC11</f>
        <v>5.6316978744010582</v>
      </c>
      <c r="J11" s="68">
        <f>'Basic T2'!CN11</f>
        <v>0.72051910834402444</v>
      </c>
      <c r="K11" s="309">
        <f t="shared" si="12"/>
        <v>119.29571542032294</v>
      </c>
      <c r="L11" s="96"/>
      <c r="M11" s="96">
        <f t="shared" si="0"/>
        <v>14.27778401647902</v>
      </c>
      <c r="N11" s="96">
        <f t="shared" si="1"/>
        <v>6.4283435091836871</v>
      </c>
      <c r="O11" s="96">
        <f t="shared" si="2"/>
        <v>6.9859786857757804</v>
      </c>
      <c r="P11" s="96">
        <f t="shared" si="3"/>
        <v>8.1432019913605256</v>
      </c>
      <c r="Q11" s="96">
        <f t="shared" si="4"/>
        <v>2.141499341858494</v>
      </c>
      <c r="R11" s="96">
        <f t="shared" si="5"/>
        <v>1.9874659847776108</v>
      </c>
      <c r="S11" s="96">
        <f t="shared" si="6"/>
        <v>1.4823401887770278</v>
      </c>
      <c r="T11" s="96">
        <f t="shared" si="7"/>
        <v>1.3377747271567455</v>
      </c>
      <c r="U11" s="96">
        <f t="shared" si="8"/>
        <v>0.63433296044014087</v>
      </c>
      <c r="V11" s="96">
        <f t="shared" si="9"/>
        <v>3.7583018109926258</v>
      </c>
      <c r="W11" s="96"/>
      <c r="X11" s="96">
        <f t="shared" si="10"/>
        <v>5.4757124460683597</v>
      </c>
      <c r="Y11" s="96">
        <f t="shared" si="11"/>
        <v>16.684655128340214</v>
      </c>
      <c r="Z11" s="96">
        <f t="shared" si="11"/>
        <v>38.68889714302631</v>
      </c>
      <c r="AA11" s="96">
        <f t="shared" si="11"/>
        <v>12.310046850096333</v>
      </c>
      <c r="AB11" s="96">
        <f t="shared" si="11"/>
        <v>3.2945109381820674</v>
      </c>
      <c r="AC11" s="96">
        <f t="shared" si="11"/>
        <v>10.106000040995271</v>
      </c>
      <c r="AD11" s="96">
        <f t="shared" si="11"/>
        <v>8.1154120496356104</v>
      </c>
      <c r="AE11" s="96">
        <f t="shared" si="11"/>
        <v>4.72078804721402</v>
      </c>
      <c r="AF11" s="96">
        <f t="shared" si="11"/>
        <v>0.60397735644182104</v>
      </c>
      <c r="AG11" s="96">
        <f t="shared" si="11"/>
        <v>100</v>
      </c>
    </row>
    <row r="12" spans="1:33" x14ac:dyDescent="0.3">
      <c r="A12" s="10" t="str">
        <f>name!D8</f>
        <v>23 Teaching and other educational professionals</v>
      </c>
      <c r="B12" s="68">
        <f>'Basic T2'!D12</f>
        <v>12.341803796489483</v>
      </c>
      <c r="C12" s="68">
        <f>'Basic T2'!O12</f>
        <v>70.492232652950975</v>
      </c>
      <c r="D12" s="68">
        <f>'Basic T2'!Z12</f>
        <v>46.412990215117794</v>
      </c>
      <c r="E12" s="68">
        <f>'Basic T2'!AK12</f>
        <v>3.4904566895086226</v>
      </c>
      <c r="F12" s="68">
        <f>'Basic T2'!AV12</f>
        <v>1.6446493745941557</v>
      </c>
      <c r="G12" s="68">
        <f>'Basic T2'!BG12</f>
        <v>6.2228142998143916</v>
      </c>
      <c r="H12" s="68">
        <f>'Basic T2'!BR12</f>
        <v>5.4712638777646596</v>
      </c>
      <c r="I12" s="68">
        <f>'Basic T2'!CC12</f>
        <v>4.1934765223742341</v>
      </c>
      <c r="J12" s="68">
        <f>'Basic T2'!CN12</f>
        <v>0.70890948153124</v>
      </c>
      <c r="K12" s="309">
        <f t="shared" si="12"/>
        <v>150.97859691014557</v>
      </c>
      <c r="L12" s="96"/>
      <c r="M12" s="96">
        <f t="shared" si="0"/>
        <v>26.975777237688703</v>
      </c>
      <c r="N12" s="96">
        <f t="shared" si="1"/>
        <v>22.766604424901136</v>
      </c>
      <c r="O12" s="96">
        <f t="shared" si="2"/>
        <v>7.0251501277352872</v>
      </c>
      <c r="P12" s="96">
        <f t="shared" si="3"/>
        <v>1.9354988130035975</v>
      </c>
      <c r="Q12" s="96">
        <f t="shared" si="4"/>
        <v>0.89613918870117981</v>
      </c>
      <c r="R12" s="96">
        <f t="shared" si="5"/>
        <v>1.0258465538941373</v>
      </c>
      <c r="S12" s="96">
        <f t="shared" si="6"/>
        <v>0.83772238978636637</v>
      </c>
      <c r="T12" s="96">
        <f t="shared" si="7"/>
        <v>0.99613420955292908</v>
      </c>
      <c r="U12" s="96">
        <f t="shared" si="8"/>
        <v>0.62411203935633452</v>
      </c>
      <c r="V12" s="96">
        <f t="shared" si="9"/>
        <v>4.7564418570213043</v>
      </c>
      <c r="W12" s="96"/>
      <c r="X12" s="96">
        <f t="shared" si="10"/>
        <v>8.1745386757267777</v>
      </c>
      <c r="Y12" s="96">
        <f t="shared" si="11"/>
        <v>46.690215762770798</v>
      </c>
      <c r="Z12" s="96">
        <f t="shared" si="11"/>
        <v>30.741436975163001</v>
      </c>
      <c r="AA12" s="96">
        <f t="shared" si="11"/>
        <v>2.3118884139491351</v>
      </c>
      <c r="AB12" s="96">
        <f t="shared" si="11"/>
        <v>1.089326174870312</v>
      </c>
      <c r="AC12" s="96">
        <f t="shared" si="11"/>
        <v>4.1216532854109644</v>
      </c>
      <c r="AD12" s="96">
        <f t="shared" si="11"/>
        <v>3.6238672167690527</v>
      </c>
      <c r="AE12" s="96">
        <f t="shared" si="11"/>
        <v>2.7775304633874485</v>
      </c>
      <c r="AF12" s="96">
        <f t="shared" si="11"/>
        <v>0.46954303195249936</v>
      </c>
      <c r="AG12" s="96">
        <f t="shared" si="11"/>
        <v>100</v>
      </c>
    </row>
    <row r="13" spans="1:33" x14ac:dyDescent="0.3">
      <c r="A13" s="10" t="str">
        <f>name!D9</f>
        <v>24 Business, media and public service professionals</v>
      </c>
      <c r="B13" s="68">
        <f>'Basic T2'!D13</f>
        <v>3.4155505503339278</v>
      </c>
      <c r="C13" s="68">
        <f>'Basic T2'!O13</f>
        <v>41.626314029811091</v>
      </c>
      <c r="D13" s="68">
        <f>'Basic T2'!Z13</f>
        <v>82.14406506075602</v>
      </c>
      <c r="E13" s="68">
        <f>'Basic T2'!AK13</f>
        <v>7.8082398335148255</v>
      </c>
      <c r="F13" s="68">
        <f>'Basic T2'!AV13</f>
        <v>13.289509516695169</v>
      </c>
      <c r="G13" s="68">
        <f>'Basic T2'!BG13</f>
        <v>28.376406435269647</v>
      </c>
      <c r="H13" s="68">
        <f>'Basic T2'!BR13</f>
        <v>21.949335971479368</v>
      </c>
      <c r="I13" s="68">
        <f>'Basic T2'!CC13</f>
        <v>13.897911956656017</v>
      </c>
      <c r="J13" s="68">
        <f>'Basic T2'!CN13</f>
        <v>2.7554855294974332</v>
      </c>
      <c r="K13" s="309">
        <f t="shared" si="12"/>
        <v>215.26281888401348</v>
      </c>
      <c r="L13" s="96"/>
      <c r="M13" s="96">
        <f t="shared" si="0"/>
        <v>7.4654509429230007</v>
      </c>
      <c r="N13" s="96">
        <f t="shared" si="1"/>
        <v>13.443890050257174</v>
      </c>
      <c r="O13" s="96">
        <f t="shared" si="2"/>
        <v>12.433467149597684</v>
      </c>
      <c r="P13" s="96">
        <f t="shared" si="3"/>
        <v>4.3297597631967468</v>
      </c>
      <c r="Q13" s="96">
        <f t="shared" si="4"/>
        <v>7.241209257424015</v>
      </c>
      <c r="R13" s="96">
        <f t="shared" si="5"/>
        <v>4.6779218133488323</v>
      </c>
      <c r="S13" s="96">
        <f t="shared" si="6"/>
        <v>3.360731742254027</v>
      </c>
      <c r="T13" s="96">
        <f t="shared" si="7"/>
        <v>3.3013623582996803</v>
      </c>
      <c r="U13" s="96">
        <f t="shared" si="8"/>
        <v>2.4258833293030619</v>
      </c>
      <c r="V13" s="96">
        <f t="shared" si="9"/>
        <v>6.7816571550845692</v>
      </c>
      <c r="W13" s="96"/>
      <c r="X13" s="96">
        <f t="shared" si="10"/>
        <v>1.5866885735498395</v>
      </c>
      <c r="Y13" s="96">
        <f t="shared" si="11"/>
        <v>19.337437949393347</v>
      </c>
      <c r="Z13" s="96">
        <f t="shared" si="11"/>
        <v>38.15989472153867</v>
      </c>
      <c r="AA13" s="96">
        <f t="shared" si="11"/>
        <v>3.6273053906824524</v>
      </c>
      <c r="AB13" s="96">
        <f t="shared" si="11"/>
        <v>6.1736205005545965</v>
      </c>
      <c r="AC13" s="96">
        <f t="shared" si="11"/>
        <v>13.182214458763191</v>
      </c>
      <c r="AD13" s="96">
        <f t="shared" si="11"/>
        <v>10.196529101157022</v>
      </c>
      <c r="AE13" s="96">
        <f t="shared" si="11"/>
        <v>6.4562528859869666</v>
      </c>
      <c r="AF13" s="96">
        <f t="shared" si="11"/>
        <v>1.2800564183739163</v>
      </c>
      <c r="AG13" s="96">
        <f t="shared" si="11"/>
        <v>100</v>
      </c>
    </row>
    <row r="14" spans="1:33" x14ac:dyDescent="0.3">
      <c r="A14" s="10" t="str">
        <f>name!D10</f>
        <v>31 Science, engineering and technology associate professionals</v>
      </c>
      <c r="B14" s="68">
        <f>'Basic T2'!D14</f>
        <v>1.3992835576232088</v>
      </c>
      <c r="C14" s="68">
        <f>'Basic T2'!O14</f>
        <v>7.1722873770363904</v>
      </c>
      <c r="D14" s="68">
        <f>'Basic T2'!Z14</f>
        <v>17.62942199688489</v>
      </c>
      <c r="E14" s="68">
        <f>'Basic T2'!AK14</f>
        <v>3.1868105872526664</v>
      </c>
      <c r="F14" s="68">
        <f>'Basic T2'!AV14</f>
        <v>7.4221426407156148</v>
      </c>
      <c r="G14" s="68">
        <f>'Basic T2'!BG14</f>
        <v>10.800018425661415</v>
      </c>
      <c r="H14" s="68">
        <f>'Basic T2'!BR14</f>
        <v>9.5952141322477829</v>
      </c>
      <c r="I14" s="68">
        <f>'Basic T2'!CC14</f>
        <v>8.0234491055135386</v>
      </c>
      <c r="J14" s="68">
        <f>'Basic T2'!CN14</f>
        <v>1.4333620706357171</v>
      </c>
      <c r="K14" s="309">
        <f t="shared" si="12"/>
        <v>66.661989893571231</v>
      </c>
      <c r="L14" s="96"/>
      <c r="M14" s="96">
        <f t="shared" si="0"/>
        <v>3.0584477087166912</v>
      </c>
      <c r="N14" s="96">
        <f t="shared" si="1"/>
        <v>2.3164059838848585</v>
      </c>
      <c r="O14" s="96">
        <f t="shared" si="2"/>
        <v>2.6684196734425125</v>
      </c>
      <c r="P14" s="96">
        <f t="shared" si="3"/>
        <v>1.7671235192329968</v>
      </c>
      <c r="Q14" s="96">
        <f t="shared" si="4"/>
        <v>4.0441889847291215</v>
      </c>
      <c r="R14" s="96">
        <f t="shared" si="5"/>
        <v>1.7804101408406814</v>
      </c>
      <c r="S14" s="96">
        <f t="shared" si="6"/>
        <v>1.4691533607153646</v>
      </c>
      <c r="T14" s="96">
        <f t="shared" si="7"/>
        <v>1.9059203240951457</v>
      </c>
      <c r="U14" s="96">
        <f t="shared" si="8"/>
        <v>1.2619079704057445</v>
      </c>
      <c r="V14" s="96">
        <f t="shared" si="9"/>
        <v>2.100124689798375</v>
      </c>
      <c r="W14" s="96"/>
      <c r="X14" s="96">
        <f t="shared" si="10"/>
        <v>2.0990725897280083</v>
      </c>
      <c r="Y14" s="96">
        <f t="shared" si="11"/>
        <v>10.759185839617539</v>
      </c>
      <c r="Z14" s="96">
        <f t="shared" si="11"/>
        <v>26.445988223620432</v>
      </c>
      <c r="AA14" s="96">
        <f t="shared" si="11"/>
        <v>4.780551244180602</v>
      </c>
      <c r="AB14" s="96">
        <f t="shared" si="11"/>
        <v>11.133995028599339</v>
      </c>
      <c r="AC14" s="96">
        <f t="shared" si="11"/>
        <v>16.20116417602312</v>
      </c>
      <c r="AD14" s="96">
        <f t="shared" si="11"/>
        <v>14.393830948591482</v>
      </c>
      <c r="AE14" s="96">
        <f t="shared" si="11"/>
        <v>12.036018004147978</v>
      </c>
      <c r="AF14" s="96">
        <f t="shared" si="11"/>
        <v>2.1501939454914893</v>
      </c>
      <c r="AG14" s="96">
        <f t="shared" si="11"/>
        <v>100</v>
      </c>
    </row>
    <row r="15" spans="1:33" x14ac:dyDescent="0.3">
      <c r="A15" s="10" t="str">
        <f>name!D11</f>
        <v>32 Health and social care associate professionals</v>
      </c>
      <c r="B15" s="68">
        <f>'Basic T2'!D15</f>
        <v>0.22192402390677732</v>
      </c>
      <c r="C15" s="68">
        <f>'Basic T2'!O15</f>
        <v>4.8616864909254449</v>
      </c>
      <c r="D15" s="68">
        <f>'Basic T2'!Z15</f>
        <v>16.262486648373788</v>
      </c>
      <c r="E15" s="68">
        <f>'Basic T2'!AK15</f>
        <v>7.7432399124550848</v>
      </c>
      <c r="F15" s="68">
        <f>'Basic T2'!AV15</f>
        <v>2.80899838782807</v>
      </c>
      <c r="G15" s="68">
        <f>'Basic T2'!BG15</f>
        <v>9.6709893796944808</v>
      </c>
      <c r="H15" s="68">
        <f>'Basic T2'!BR15</f>
        <v>7.7249466422043982</v>
      </c>
      <c r="I15" s="68">
        <f>'Basic T2'!CC15</f>
        <v>2.5949520707463209</v>
      </c>
      <c r="J15" s="68">
        <f>'Basic T2'!CN15</f>
        <v>0.4044259381988623</v>
      </c>
      <c r="K15" s="309">
        <f t="shared" si="12"/>
        <v>52.293649494333231</v>
      </c>
      <c r="L15" s="96"/>
      <c r="M15" s="96">
        <f t="shared" si="0"/>
        <v>0.48506467379618812</v>
      </c>
      <c r="N15" s="96">
        <f t="shared" si="1"/>
        <v>1.5701601298643477</v>
      </c>
      <c r="O15" s="96">
        <f t="shared" si="2"/>
        <v>2.4615179850640994</v>
      </c>
      <c r="P15" s="96">
        <f t="shared" si="3"/>
        <v>4.2937165513057067</v>
      </c>
      <c r="Q15" s="96">
        <f t="shared" si="4"/>
        <v>1.5305715462618543</v>
      </c>
      <c r="R15" s="96">
        <f t="shared" si="5"/>
        <v>1.594286869238938</v>
      </c>
      <c r="S15" s="96">
        <f t="shared" si="6"/>
        <v>1.1827908334634327</v>
      </c>
      <c r="T15" s="96">
        <f t="shared" si="7"/>
        <v>0.61641468982330438</v>
      </c>
      <c r="U15" s="96">
        <f t="shared" si="8"/>
        <v>0.35604982530730594</v>
      </c>
      <c r="V15" s="96">
        <f t="shared" si="9"/>
        <v>1.6474633385239326</v>
      </c>
      <c r="W15" s="96"/>
      <c r="X15" s="96">
        <f t="shared" si="10"/>
        <v>0.42438044782249512</v>
      </c>
      <c r="Y15" s="96">
        <f t="shared" si="11"/>
        <v>9.2968965408548865</v>
      </c>
      <c r="Z15" s="96">
        <f t="shared" si="11"/>
        <v>31.098396852443933</v>
      </c>
      <c r="AA15" s="96">
        <f t="shared" si="11"/>
        <v>14.807228004414142</v>
      </c>
      <c r="AB15" s="96">
        <f t="shared" si="11"/>
        <v>5.3715860625341616</v>
      </c>
      <c r="AC15" s="96">
        <f t="shared" si="11"/>
        <v>18.49362106720525</v>
      </c>
      <c r="AD15" s="96">
        <f t="shared" si="11"/>
        <v>14.772246184580229</v>
      </c>
      <c r="AE15" s="96">
        <f t="shared" si="11"/>
        <v>4.9622699808463766</v>
      </c>
      <c r="AF15" s="96">
        <f t="shared" si="11"/>
        <v>0.77337485929852279</v>
      </c>
      <c r="AG15" s="96">
        <f t="shared" si="11"/>
        <v>100</v>
      </c>
    </row>
    <row r="16" spans="1:33" x14ac:dyDescent="0.3">
      <c r="A16" s="10" t="str">
        <f>name!D12</f>
        <v>33 Protective service occupations</v>
      </c>
      <c r="B16" s="68">
        <f>'Basic T2'!D16</f>
        <v>0.13026147676832453</v>
      </c>
      <c r="C16" s="68">
        <f>'Basic T2'!O16</f>
        <v>1.6763225983669552</v>
      </c>
      <c r="D16" s="68">
        <f>'Basic T2'!Z16</f>
        <v>7.97911078423191</v>
      </c>
      <c r="E16" s="68">
        <f>'Basic T2'!AK16</f>
        <v>2.0391927470453699</v>
      </c>
      <c r="F16" s="68">
        <f>'Basic T2'!AV16</f>
        <v>1.6510993863428607</v>
      </c>
      <c r="G16" s="68">
        <f>'Basic T2'!BG16</f>
        <v>5.7490938348596581</v>
      </c>
      <c r="H16" s="68">
        <f>'Basic T2'!BR16</f>
        <v>7.7647870328001201</v>
      </c>
      <c r="I16" s="68">
        <f>'Basic T2'!CC16</f>
        <v>4.3587636666747249</v>
      </c>
      <c r="J16" s="68">
        <f>'Basic T2'!CN16</f>
        <v>0.51579770601550856</v>
      </c>
      <c r="K16" s="309">
        <f t="shared" si="12"/>
        <v>31.86442923310543</v>
      </c>
      <c r="L16" s="96"/>
      <c r="M16" s="96">
        <f t="shared" si="0"/>
        <v>0.2847156410762407</v>
      </c>
      <c r="N16" s="96">
        <f t="shared" si="1"/>
        <v>0.54139544243737681</v>
      </c>
      <c r="O16" s="96">
        <f t="shared" si="2"/>
        <v>1.2077319492938543</v>
      </c>
      <c r="P16" s="96">
        <f t="shared" si="3"/>
        <v>1.1307560850862433</v>
      </c>
      <c r="Q16" s="96">
        <f t="shared" si="4"/>
        <v>0.89965368144649449</v>
      </c>
      <c r="R16" s="96">
        <f t="shared" si="5"/>
        <v>0.94775254641307882</v>
      </c>
      <c r="S16" s="96">
        <f t="shared" si="6"/>
        <v>1.188890920749573</v>
      </c>
      <c r="T16" s="96">
        <f t="shared" si="7"/>
        <v>1.0353971404310567</v>
      </c>
      <c r="U16" s="96">
        <f t="shared" si="8"/>
        <v>0.45409966516645056</v>
      </c>
      <c r="V16" s="96">
        <f t="shared" si="9"/>
        <v>1.0038595407310424</v>
      </c>
      <c r="W16" s="96"/>
      <c r="X16" s="96">
        <f t="shared" si="10"/>
        <v>0.40879902732728024</v>
      </c>
      <c r="Y16" s="96">
        <f t="shared" si="11"/>
        <v>5.2607959367599344</v>
      </c>
      <c r="Z16" s="96">
        <f t="shared" si="11"/>
        <v>25.040808752168211</v>
      </c>
      <c r="AA16" s="96">
        <f t="shared" si="11"/>
        <v>6.3995897498354006</v>
      </c>
      <c r="AB16" s="96">
        <f t="shared" si="11"/>
        <v>5.1816380399102115</v>
      </c>
      <c r="AC16" s="96">
        <f t="shared" si="11"/>
        <v>18.042356236171521</v>
      </c>
      <c r="AD16" s="96">
        <f t="shared" si="11"/>
        <v>24.36819745301737</v>
      </c>
      <c r="AE16" s="96">
        <f t="shared" si="11"/>
        <v>13.679089102108266</v>
      </c>
      <c r="AF16" s="96">
        <f t="shared" si="11"/>
        <v>1.6187257027018156</v>
      </c>
      <c r="AG16" s="96">
        <f t="shared" si="11"/>
        <v>100</v>
      </c>
    </row>
    <row r="17" spans="1:33" x14ac:dyDescent="0.3">
      <c r="A17" s="10" t="str">
        <f>name!D13</f>
        <v>34 Culture, media and sports occupations</v>
      </c>
      <c r="B17" s="68">
        <f>'Basic T2'!D17</f>
        <v>0.95129943667385763</v>
      </c>
      <c r="C17" s="68">
        <f>'Basic T2'!O17</f>
        <v>13.106468086848743</v>
      </c>
      <c r="D17" s="68">
        <f>'Basic T2'!Z17</f>
        <v>29.050386762143528</v>
      </c>
      <c r="E17" s="68">
        <f>'Basic T2'!AK17</f>
        <v>3.6919902598103538</v>
      </c>
      <c r="F17" s="68">
        <f>'Basic T2'!AV17</f>
        <v>3.9858671851394782</v>
      </c>
      <c r="G17" s="68">
        <f>'Basic T2'!BG17</f>
        <v>10.363670848500623</v>
      </c>
      <c r="H17" s="68">
        <f>'Basic T2'!BR17</f>
        <v>5.6796539456635164</v>
      </c>
      <c r="I17" s="68">
        <f>'Basic T2'!CC17</f>
        <v>4.4548837825178511</v>
      </c>
      <c r="J17" s="68">
        <f>'Basic T2'!CN17</f>
        <v>1.4818282318193285</v>
      </c>
      <c r="K17" s="309">
        <f t="shared" si="12"/>
        <v>72.766048539117293</v>
      </c>
      <c r="L17" s="96"/>
      <c r="M17" s="96">
        <f t="shared" si="0"/>
        <v>2.0792780466459915</v>
      </c>
      <c r="N17" s="96">
        <f t="shared" si="1"/>
        <v>4.232945434001441</v>
      </c>
      <c r="O17" s="96">
        <f t="shared" si="2"/>
        <v>4.3971165685928462</v>
      </c>
      <c r="P17" s="96">
        <f t="shared" si="3"/>
        <v>2.047251520685609</v>
      </c>
      <c r="Q17" s="96">
        <f t="shared" si="4"/>
        <v>2.1718257038482567</v>
      </c>
      <c r="R17" s="96">
        <f t="shared" si="5"/>
        <v>1.7084771477022223</v>
      </c>
      <c r="S17" s="96">
        <f t="shared" si="6"/>
        <v>0.86962964733931347</v>
      </c>
      <c r="T17" s="96">
        <f t="shared" si="7"/>
        <v>1.0582298748237886</v>
      </c>
      <c r="U17" s="96">
        <f t="shared" si="8"/>
        <v>1.3045767673172211</v>
      </c>
      <c r="V17" s="96">
        <f t="shared" si="9"/>
        <v>2.2924274441859209</v>
      </c>
      <c r="W17" s="96"/>
      <c r="X17" s="96">
        <f t="shared" si="10"/>
        <v>1.3073396945039026</v>
      </c>
      <c r="Y17" s="96">
        <f t="shared" si="11"/>
        <v>18.011790319771201</v>
      </c>
      <c r="Z17" s="96">
        <f t="shared" si="11"/>
        <v>39.922996157372395</v>
      </c>
      <c r="AA17" s="96">
        <f t="shared" si="11"/>
        <v>5.0737814323195352</v>
      </c>
      <c r="AB17" s="96">
        <f t="shared" si="11"/>
        <v>5.4776468767529281</v>
      </c>
      <c r="AC17" s="96">
        <f t="shared" si="11"/>
        <v>14.242453804440627</v>
      </c>
      <c r="AD17" s="96">
        <f t="shared" si="11"/>
        <v>7.805362610297947</v>
      </c>
      <c r="AE17" s="96">
        <f t="shared" si="11"/>
        <v>6.1222010428709925</v>
      </c>
      <c r="AF17" s="96">
        <f t="shared" si="11"/>
        <v>2.0364280616704549</v>
      </c>
      <c r="AG17" s="96">
        <f t="shared" si="11"/>
        <v>100</v>
      </c>
    </row>
    <row r="18" spans="1:33" x14ac:dyDescent="0.3">
      <c r="A18" s="10" t="str">
        <f>name!D14</f>
        <v>35 Business and public service associate professionals</v>
      </c>
      <c r="B18" s="68">
        <f>'Basic T2'!D18</f>
        <v>2.3236140081150225</v>
      </c>
      <c r="C18" s="68">
        <f>'Basic T2'!O18</f>
        <v>23.461283973310287</v>
      </c>
      <c r="D18" s="68">
        <f>'Basic T2'!Z18</f>
        <v>54.717474751803181</v>
      </c>
      <c r="E18" s="68">
        <f>'Basic T2'!AK18</f>
        <v>14.976590704227821</v>
      </c>
      <c r="F18" s="68">
        <f>'Basic T2'!AV18</f>
        <v>13.280890673245711</v>
      </c>
      <c r="G18" s="68">
        <f>'Basic T2'!BG18</f>
        <v>35.694597325302986</v>
      </c>
      <c r="H18" s="68">
        <f>'Basic T2'!BR18</f>
        <v>33.420164227229407</v>
      </c>
      <c r="I18" s="68">
        <f>'Basic T2'!CC18</f>
        <v>19.937274742290672</v>
      </c>
      <c r="J18" s="68">
        <f>'Basic T2'!CN18</f>
        <v>3.488559318380553</v>
      </c>
      <c r="K18" s="309">
        <f t="shared" si="12"/>
        <v>201.30044972390564</v>
      </c>
      <c r="L18" s="96"/>
      <c r="M18" s="96">
        <f t="shared" si="0"/>
        <v>5.0787789939678811</v>
      </c>
      <c r="N18" s="96">
        <f t="shared" si="1"/>
        <v>7.5772003725614434</v>
      </c>
      <c r="O18" s="96">
        <f t="shared" si="2"/>
        <v>8.2821312085334018</v>
      </c>
      <c r="P18" s="96">
        <f t="shared" si="3"/>
        <v>8.304693657423492</v>
      </c>
      <c r="Q18" s="96">
        <f t="shared" si="4"/>
        <v>7.2365130081835067</v>
      </c>
      <c r="R18" s="96">
        <f t="shared" si="5"/>
        <v>5.8843439470615628</v>
      </c>
      <c r="S18" s="96">
        <f t="shared" si="6"/>
        <v>5.1170662700563874</v>
      </c>
      <c r="T18" s="96">
        <f t="shared" si="7"/>
        <v>4.7359753441058929</v>
      </c>
      <c r="U18" s="96">
        <f t="shared" si="8"/>
        <v>3.071269220306069</v>
      </c>
      <c r="V18" s="96">
        <f t="shared" si="9"/>
        <v>6.3417855543712252</v>
      </c>
      <c r="W18" s="96"/>
      <c r="X18" s="96">
        <f t="shared" si="10"/>
        <v>1.1543014490538812</v>
      </c>
      <c r="Y18" s="96">
        <f t="shared" si="11"/>
        <v>11.654859194546606</v>
      </c>
      <c r="Z18" s="96">
        <f t="shared" si="11"/>
        <v>27.18199329750685</v>
      </c>
      <c r="AA18" s="96">
        <f t="shared" si="11"/>
        <v>7.4399191481037521</v>
      </c>
      <c r="AB18" s="96">
        <f t="shared" si="11"/>
        <v>6.597546449330423</v>
      </c>
      <c r="AC18" s="96">
        <f t="shared" si="11"/>
        <v>17.732000785025587</v>
      </c>
      <c r="AD18" s="96">
        <f t="shared" si="11"/>
        <v>16.602130930689402</v>
      </c>
      <c r="AE18" s="96">
        <f t="shared" si="11"/>
        <v>9.9042375561682618</v>
      </c>
      <c r="AF18" s="96">
        <f t="shared" si="11"/>
        <v>1.7330111895752338</v>
      </c>
      <c r="AG18" s="96">
        <f t="shared" si="11"/>
        <v>100</v>
      </c>
    </row>
    <row r="19" spans="1:33" x14ac:dyDescent="0.3">
      <c r="A19" s="10" t="str">
        <f>name!D15</f>
        <v>41 Administrative occupations</v>
      </c>
      <c r="B19" s="68">
        <f>'Basic T2'!D19</f>
        <v>1.3034166574946533</v>
      </c>
      <c r="C19" s="68">
        <f>'Basic T2'!O19</f>
        <v>15.115023149260534</v>
      </c>
      <c r="D19" s="68">
        <f>'Basic T2'!Z19</f>
        <v>52.241190284984533</v>
      </c>
      <c r="E19" s="68">
        <f>'Basic T2'!AK19</f>
        <v>21.181612216291242</v>
      </c>
      <c r="F19" s="68">
        <f>'Basic T2'!AV19</f>
        <v>18.301882492778784</v>
      </c>
      <c r="G19" s="68">
        <f>'Basic T2'!BG19</f>
        <v>51.364349121008757</v>
      </c>
      <c r="H19" s="68">
        <f>'Basic T2'!BR19</f>
        <v>63.393458380975083</v>
      </c>
      <c r="I19" s="68">
        <f>'Basic T2'!CC19</f>
        <v>32.007050911869413</v>
      </c>
      <c r="J19" s="68">
        <f>'Basic T2'!CN19</f>
        <v>6.8477546947783621</v>
      </c>
      <c r="K19" s="309">
        <f t="shared" si="12"/>
        <v>261.75573790944139</v>
      </c>
      <c r="L19" s="96"/>
      <c r="M19" s="96">
        <f t="shared" si="0"/>
        <v>2.8489091205995107</v>
      </c>
      <c r="N19" s="96">
        <f t="shared" si="1"/>
        <v>4.8816407136174371</v>
      </c>
      <c r="O19" s="96">
        <f t="shared" si="2"/>
        <v>7.9073165271747845</v>
      </c>
      <c r="P19" s="96">
        <f t="shared" si="3"/>
        <v>11.745450222992353</v>
      </c>
      <c r="Q19" s="96">
        <f t="shared" si="4"/>
        <v>9.9723590828168653</v>
      </c>
      <c r="R19" s="96">
        <f t="shared" si="5"/>
        <v>8.4675418548764725</v>
      </c>
      <c r="S19" s="96">
        <f t="shared" si="6"/>
        <v>9.7063714414428937</v>
      </c>
      <c r="T19" s="96">
        <f t="shared" si="7"/>
        <v>7.6030754411291941</v>
      </c>
      <c r="U19" s="96">
        <f t="shared" si="8"/>
        <v>6.0286485918325274</v>
      </c>
      <c r="V19" s="96">
        <f t="shared" si="9"/>
        <v>8.2463738144880114</v>
      </c>
      <c r="W19" s="96"/>
      <c r="X19" s="96">
        <f t="shared" si="10"/>
        <v>0.4979515130803327</v>
      </c>
      <c r="Y19" s="96">
        <f t="shared" si="11"/>
        <v>5.7744763381232236</v>
      </c>
      <c r="Z19" s="96">
        <f t="shared" si="11"/>
        <v>19.95799240246577</v>
      </c>
      <c r="AA19" s="96">
        <f t="shared" si="11"/>
        <v>8.0921290915958295</v>
      </c>
      <c r="AB19" s="96">
        <f t="shared" si="11"/>
        <v>6.9919699330948824</v>
      </c>
      <c r="AC19" s="96">
        <f t="shared" si="11"/>
        <v>19.623007897071997</v>
      </c>
      <c r="AD19" s="96">
        <f t="shared" si="11"/>
        <v>24.218555393390105</v>
      </c>
      <c r="AE19" s="96">
        <f t="shared" si="11"/>
        <v>12.22783162940358</v>
      </c>
      <c r="AF19" s="96">
        <f t="shared" si="11"/>
        <v>2.6160858017742683</v>
      </c>
      <c r="AG19" s="96">
        <f t="shared" si="11"/>
        <v>100</v>
      </c>
    </row>
    <row r="20" spans="1:33" x14ac:dyDescent="0.3">
      <c r="A20" s="10" t="str">
        <f>name!D16</f>
        <v>42 Secretarial and related occupations</v>
      </c>
      <c r="B20" s="68">
        <f>'Basic T2'!D20</f>
        <v>0.13584952569224615</v>
      </c>
      <c r="C20" s="68">
        <f>'Basic T2'!O20</f>
        <v>2.859257953832584</v>
      </c>
      <c r="D20" s="68">
        <f>'Basic T2'!Z20</f>
        <v>10.447507531900134</v>
      </c>
      <c r="E20" s="68">
        <f>'Basic T2'!AK20</f>
        <v>5.3914544747458821</v>
      </c>
      <c r="F20" s="68">
        <f>'Basic T2'!AV20</f>
        <v>4.1334812401332446</v>
      </c>
      <c r="G20" s="68">
        <f>'Basic T2'!BG20</f>
        <v>12.62308671036627</v>
      </c>
      <c r="H20" s="68">
        <f>'Basic T2'!BR20</f>
        <v>15.915230110772669</v>
      </c>
      <c r="I20" s="68">
        <f>'Basic T2'!CC20</f>
        <v>14.241970831475157</v>
      </c>
      <c r="J20" s="68">
        <f>'Basic T2'!CN20</f>
        <v>3.2069031516965381</v>
      </c>
      <c r="K20" s="309">
        <f t="shared" si="12"/>
        <v>68.954741530614726</v>
      </c>
      <c r="L20" s="96"/>
      <c r="M20" s="96">
        <f t="shared" si="0"/>
        <v>0.29692957393813668</v>
      </c>
      <c r="N20" s="96">
        <f t="shared" si="1"/>
        <v>0.92344351049482076</v>
      </c>
      <c r="O20" s="96">
        <f t="shared" si="2"/>
        <v>1.581352731898257</v>
      </c>
      <c r="P20" s="96">
        <f t="shared" si="3"/>
        <v>2.9896241851671914</v>
      </c>
      <c r="Q20" s="96">
        <f t="shared" si="4"/>
        <v>2.2522578868572629</v>
      </c>
      <c r="R20" s="96">
        <f t="shared" si="5"/>
        <v>2.0809475226863765</v>
      </c>
      <c r="S20" s="96">
        <f t="shared" si="6"/>
        <v>2.4368308493728805</v>
      </c>
      <c r="T20" s="96">
        <f t="shared" si="7"/>
        <v>3.3830913994613536</v>
      </c>
      <c r="U20" s="96">
        <f t="shared" si="8"/>
        <v>2.8233038464945159</v>
      </c>
      <c r="V20" s="96">
        <f t="shared" si="9"/>
        <v>2.172355721728537</v>
      </c>
      <c r="W20" s="96"/>
      <c r="X20" s="96">
        <f t="shared" si="10"/>
        <v>0.19701259503950322</v>
      </c>
      <c r="Y20" s="96">
        <f t="shared" si="11"/>
        <v>4.1465719258234364</v>
      </c>
      <c r="Z20" s="96">
        <f t="shared" si="11"/>
        <v>15.151253271338302</v>
      </c>
      <c r="AA20" s="96">
        <f t="shared" si="11"/>
        <v>7.8188306635188649</v>
      </c>
      <c r="AB20" s="96">
        <f t="shared" si="11"/>
        <v>5.9944844232329544</v>
      </c>
      <c r="AC20" s="96">
        <f t="shared" si="11"/>
        <v>18.30633605487715</v>
      </c>
      <c r="AD20" s="96">
        <f t="shared" si="11"/>
        <v>23.0806899677908</v>
      </c>
      <c r="AE20" s="96">
        <f t="shared" si="11"/>
        <v>20.654084861085249</v>
      </c>
      <c r="AF20" s="96">
        <f t="shared" si="11"/>
        <v>4.650736237293744</v>
      </c>
      <c r="AG20" s="96">
        <f t="shared" si="11"/>
        <v>100</v>
      </c>
    </row>
    <row r="21" spans="1:33" x14ac:dyDescent="0.3">
      <c r="A21" s="10" t="str">
        <f>name!D17</f>
        <v>51 Skilled agricultural and related trades</v>
      </c>
      <c r="B21" s="68">
        <f>'Basic T2'!D21</f>
        <v>9.2339276643038981E-2</v>
      </c>
      <c r="C21" s="68">
        <f>'Basic T2'!O21</f>
        <v>0.33138723104367102</v>
      </c>
      <c r="D21" s="68">
        <f>'Basic T2'!Z21</f>
        <v>4.2117242709387526</v>
      </c>
      <c r="E21" s="68">
        <f>'Basic T2'!AK21</f>
        <v>1.6752286233303719</v>
      </c>
      <c r="F21" s="68">
        <f>'Basic T2'!AV21</f>
        <v>2.5900785163916886</v>
      </c>
      <c r="G21" s="68">
        <f>'Basic T2'!BG21</f>
        <v>3.5728215344385874</v>
      </c>
      <c r="H21" s="68">
        <f>'Basic T2'!BR21</f>
        <v>7.362298329096947</v>
      </c>
      <c r="I21" s="68">
        <f>'Basic T2'!CC21</f>
        <v>5.4748059128580344</v>
      </c>
      <c r="J21" s="68">
        <f>'Basic T2'!CN21</f>
        <v>2.3907757472946676</v>
      </c>
      <c r="K21" s="309">
        <f t="shared" si="12"/>
        <v>27.701459442035759</v>
      </c>
      <c r="L21" s="96"/>
      <c r="M21" s="96">
        <f t="shared" si="0"/>
        <v>0.2018281766657522</v>
      </c>
      <c r="N21" s="96">
        <f t="shared" si="1"/>
        <v>0.1070268555370936</v>
      </c>
      <c r="O21" s="96">
        <f t="shared" si="2"/>
        <v>0.63749383874718946</v>
      </c>
      <c r="P21" s="96">
        <f t="shared" si="3"/>
        <v>0.9289337471831064</v>
      </c>
      <c r="Q21" s="96">
        <f t="shared" si="4"/>
        <v>1.4112861356387074</v>
      </c>
      <c r="R21" s="96">
        <f t="shared" si="5"/>
        <v>0.58898859618740507</v>
      </c>
      <c r="S21" s="96">
        <f t="shared" si="6"/>
        <v>1.127264611680745</v>
      </c>
      <c r="T21" s="96">
        <f t="shared" si="7"/>
        <v>1.3005060196146834</v>
      </c>
      <c r="U21" s="96">
        <f t="shared" si="8"/>
        <v>2.1047989428280562</v>
      </c>
      <c r="V21" s="96">
        <f t="shared" si="9"/>
        <v>0.87270900569498389</v>
      </c>
      <c r="W21" s="96"/>
      <c r="X21" s="96">
        <f t="shared" si="10"/>
        <v>0.33333722664055071</v>
      </c>
      <c r="Y21" s="96">
        <f t="shared" si="11"/>
        <v>1.196280765412689</v>
      </c>
      <c r="Z21" s="96">
        <f t="shared" si="11"/>
        <v>15.203979702772067</v>
      </c>
      <c r="AA21" s="96">
        <f t="shared" si="11"/>
        <v>6.0474381389028391</v>
      </c>
      <c r="AB21" s="96">
        <f t="shared" si="11"/>
        <v>9.3499713320568123</v>
      </c>
      <c r="AC21" s="96">
        <f t="shared" si="11"/>
        <v>12.897593146363207</v>
      </c>
      <c r="AD21" s="96">
        <f t="shared" si="11"/>
        <v>26.577294039334909</v>
      </c>
      <c r="AE21" s="96">
        <f t="shared" si="11"/>
        <v>19.763600991181914</v>
      </c>
      <c r="AF21" s="96">
        <f t="shared" si="11"/>
        <v>8.6305046573350204</v>
      </c>
      <c r="AG21" s="96">
        <f t="shared" si="11"/>
        <v>100</v>
      </c>
    </row>
    <row r="22" spans="1:33" x14ac:dyDescent="0.3">
      <c r="A22" s="10" t="str">
        <f>name!D18</f>
        <v>52 Skilled metal, electrical and electronic trades</v>
      </c>
      <c r="B22" s="68">
        <f>'Basic T2'!D22</f>
        <v>8.2986779962875873E-2</v>
      </c>
      <c r="C22" s="68">
        <f>'Basic T2'!O22</f>
        <v>1.6427625826652141</v>
      </c>
      <c r="D22" s="68">
        <f>'Basic T2'!Z22</f>
        <v>5.3467162369815773</v>
      </c>
      <c r="E22" s="68">
        <f>'Basic T2'!AK22</f>
        <v>2.0802261753089084</v>
      </c>
      <c r="F22" s="68">
        <f>'Basic T2'!AV22</f>
        <v>8.0146576430492065</v>
      </c>
      <c r="G22" s="68">
        <f>'Basic T2'!BG22</f>
        <v>39.017479064227125</v>
      </c>
      <c r="H22" s="68">
        <f>'Basic T2'!BR22</f>
        <v>27.741149298938613</v>
      </c>
      <c r="I22" s="68">
        <f>'Basic T2'!CC22</f>
        <v>12.66569711894835</v>
      </c>
      <c r="J22" s="68">
        <f>'Basic T2'!CN22</f>
        <v>3.8337243818709599</v>
      </c>
      <c r="K22" s="309">
        <f t="shared" si="12"/>
        <v>100.42539928195283</v>
      </c>
      <c r="L22" s="96"/>
      <c r="M22" s="96">
        <f t="shared" si="0"/>
        <v>0.1813861998509802</v>
      </c>
      <c r="N22" s="96">
        <f t="shared" si="1"/>
        <v>0.53055669363881641</v>
      </c>
      <c r="O22" s="96">
        <f t="shared" si="2"/>
        <v>0.80928817732068492</v>
      </c>
      <c r="P22" s="96">
        <f t="shared" si="3"/>
        <v>1.1535095980968078</v>
      </c>
      <c r="Q22" s="96">
        <f t="shared" si="4"/>
        <v>4.3670395093982659</v>
      </c>
      <c r="R22" s="96">
        <f t="shared" si="5"/>
        <v>6.4321293407177347</v>
      </c>
      <c r="S22" s="96">
        <f t="shared" si="6"/>
        <v>4.2475344646732562</v>
      </c>
      <c r="T22" s="96">
        <f t="shared" si="7"/>
        <v>3.0086574041142282</v>
      </c>
      <c r="U22" s="96">
        <f t="shared" si="8"/>
        <v>3.3751467636339525</v>
      </c>
      <c r="V22" s="96">
        <f t="shared" si="9"/>
        <v>3.1638098540354034</v>
      </c>
      <c r="W22" s="96"/>
      <c r="X22" s="96">
        <f t="shared" si="10"/>
        <v>8.2635250201877161E-2</v>
      </c>
      <c r="Y22" s="96">
        <f t="shared" si="11"/>
        <v>1.6358038846856049</v>
      </c>
      <c r="Z22" s="96">
        <f t="shared" si="11"/>
        <v>5.3240676912523073</v>
      </c>
      <c r="AA22" s="96">
        <f t="shared" si="11"/>
        <v>2.071414393353316</v>
      </c>
      <c r="AB22" s="96">
        <f t="shared" si="11"/>
        <v>7.9807077695029873</v>
      </c>
      <c r="AC22" s="96">
        <f t="shared" si="11"/>
        <v>38.852202075574766</v>
      </c>
      <c r="AD22" s="96">
        <f t="shared" si="11"/>
        <v>27.623638538944697</v>
      </c>
      <c r="AE22" s="96">
        <f t="shared" si="11"/>
        <v>12.612045567663943</v>
      </c>
      <c r="AF22" s="96">
        <f t="shared" si="11"/>
        <v>3.8174848288204992</v>
      </c>
      <c r="AG22" s="96">
        <f t="shared" si="11"/>
        <v>100</v>
      </c>
    </row>
    <row r="23" spans="1:33" x14ac:dyDescent="0.3">
      <c r="A23" s="10" t="str">
        <f>name!D19</f>
        <v>53 Skilled construction and building trades</v>
      </c>
      <c r="B23" s="68">
        <f>'Basic T2'!D23</f>
        <v>2.7130976697204351E-2</v>
      </c>
      <c r="C23" s="68">
        <f>'Basic T2'!O23</f>
        <v>0.75245749662613559</v>
      </c>
      <c r="D23" s="68">
        <f>'Basic T2'!Z23</f>
        <v>2.9366163339697025</v>
      </c>
      <c r="E23" s="68">
        <f>'Basic T2'!AK23</f>
        <v>2.0394557006546585</v>
      </c>
      <c r="F23" s="68">
        <f>'Basic T2'!AV23</f>
        <v>2.9156649664981789</v>
      </c>
      <c r="G23" s="68">
        <f>'Basic T2'!BG23</f>
        <v>25.34532098683303</v>
      </c>
      <c r="H23" s="68">
        <f>'Basic T2'!BR23</f>
        <v>29.497040546041202</v>
      </c>
      <c r="I23" s="68">
        <f>'Basic T2'!CC23</f>
        <v>13.816253201230335</v>
      </c>
      <c r="J23" s="68">
        <f>'Basic T2'!CN23</f>
        <v>5.1966651148364251</v>
      </c>
      <c r="K23" s="309">
        <f t="shared" si="12"/>
        <v>82.526605323386875</v>
      </c>
      <c r="L23" s="96"/>
      <c r="M23" s="96">
        <f t="shared" si="0"/>
        <v>5.9300827957813128E-2</v>
      </c>
      <c r="N23" s="96">
        <f t="shared" si="1"/>
        <v>0.24301829474713721</v>
      </c>
      <c r="O23" s="96">
        <f t="shared" si="2"/>
        <v>0.44449130551767502</v>
      </c>
      <c r="P23" s="96">
        <f t="shared" si="3"/>
        <v>1.1309018959195885</v>
      </c>
      <c r="Q23" s="96">
        <f t="shared" si="4"/>
        <v>1.5886922027054502</v>
      </c>
      <c r="R23" s="96">
        <f t="shared" si="5"/>
        <v>4.1782397704618841</v>
      </c>
      <c r="S23" s="96">
        <f t="shared" si="6"/>
        <v>4.5163844862753422</v>
      </c>
      <c r="T23" s="96">
        <f t="shared" si="7"/>
        <v>3.2819648299350801</v>
      </c>
      <c r="U23" s="96">
        <f t="shared" si="8"/>
        <v>4.575056967311216</v>
      </c>
      <c r="V23" s="96">
        <f t="shared" si="9"/>
        <v>2.5999248099493815</v>
      </c>
      <c r="W23" s="96"/>
      <c r="X23" s="96">
        <f t="shared" si="10"/>
        <v>3.2875430403188792E-2</v>
      </c>
      <c r="Y23" s="96">
        <f t="shared" si="11"/>
        <v>0.91177565547204187</v>
      </c>
      <c r="Z23" s="96">
        <f t="shared" si="11"/>
        <v>3.5583874102931343</v>
      </c>
      <c r="AA23" s="96">
        <f t="shared" si="11"/>
        <v>2.4712705589462862</v>
      </c>
      <c r="AB23" s="96">
        <f t="shared" si="11"/>
        <v>3.533000000512466</v>
      </c>
      <c r="AC23" s="96">
        <f t="shared" si="11"/>
        <v>30.711697018816459</v>
      </c>
      <c r="AD23" s="96">
        <f t="shared" si="11"/>
        <v>35.742461998109306</v>
      </c>
      <c r="AE23" s="96">
        <f t="shared" si="11"/>
        <v>16.741574607473893</v>
      </c>
      <c r="AF23" s="96">
        <f t="shared" si="11"/>
        <v>6.2969573199732274</v>
      </c>
      <c r="AG23" s="96">
        <f t="shared" si="11"/>
        <v>100</v>
      </c>
    </row>
    <row r="24" spans="1:33" x14ac:dyDescent="0.3">
      <c r="A24" s="10" t="str">
        <f>name!D20</f>
        <v>54 Textiles, printing and other skilled trades</v>
      </c>
      <c r="B24" s="68">
        <f>'Basic T2'!D24</f>
        <v>0.19912183256623855</v>
      </c>
      <c r="C24" s="68">
        <f>'Basic T2'!O24</f>
        <v>1.8748259479597165</v>
      </c>
      <c r="D24" s="68">
        <f>'Basic T2'!Z24</f>
        <v>5.3849567412245927</v>
      </c>
      <c r="E24" s="68">
        <f>'Basic T2'!AK24</f>
        <v>2.2489843005908194</v>
      </c>
      <c r="F24" s="68">
        <f>'Basic T2'!AV24</f>
        <v>2.4734845242703316</v>
      </c>
      <c r="G24" s="68">
        <f>'Basic T2'!BG24</f>
        <v>14.390901756978971</v>
      </c>
      <c r="H24" s="68">
        <f>'Basic T2'!BR24</f>
        <v>15.921779183639231</v>
      </c>
      <c r="I24" s="68">
        <f>'Basic T2'!CC24</f>
        <v>13.897530819086874</v>
      </c>
      <c r="J24" s="68">
        <f>'Basic T2'!CN24</f>
        <v>4.4215449525469133</v>
      </c>
      <c r="K24" s="309">
        <f t="shared" si="12"/>
        <v>60.813130058863692</v>
      </c>
      <c r="L24" s="96"/>
      <c r="M24" s="96">
        <f t="shared" si="0"/>
        <v>0.43522537605038453</v>
      </c>
      <c r="N24" s="96">
        <f t="shared" si="1"/>
        <v>0.6055053034407234</v>
      </c>
      <c r="O24" s="96">
        <f t="shared" si="2"/>
        <v>0.81507632589767476</v>
      </c>
      <c r="P24" s="96">
        <f t="shared" si="3"/>
        <v>1.2470879404809483</v>
      </c>
      <c r="Q24" s="96">
        <f t="shared" si="4"/>
        <v>1.3477562142335158</v>
      </c>
      <c r="R24" s="96">
        <f t="shared" si="5"/>
        <v>2.3723762695708746</v>
      </c>
      <c r="S24" s="96">
        <f t="shared" si="6"/>
        <v>2.4378335984808075</v>
      </c>
      <c r="T24" s="96">
        <f t="shared" si="7"/>
        <v>3.301271821445797</v>
      </c>
      <c r="U24" s="96">
        <f t="shared" si="8"/>
        <v>3.8926541530791399</v>
      </c>
      <c r="V24" s="96">
        <f t="shared" si="9"/>
        <v>1.9158617392676418</v>
      </c>
      <c r="W24" s="96"/>
      <c r="X24" s="96">
        <f t="shared" si="10"/>
        <v>0.3274323034737725</v>
      </c>
      <c r="Y24" s="96">
        <f t="shared" ref="Y24:AG32" si="13">IF($K24&gt;0,C24/$K24*100,0)</f>
        <v>3.0829295353569046</v>
      </c>
      <c r="Z24" s="96">
        <f t="shared" si="13"/>
        <v>8.8549244809669503</v>
      </c>
      <c r="AA24" s="96">
        <f t="shared" si="13"/>
        <v>3.6981886944709621</v>
      </c>
      <c r="AB24" s="96">
        <f t="shared" si="13"/>
        <v>4.0673527606228088</v>
      </c>
      <c r="AC24" s="96">
        <f t="shared" si="13"/>
        <v>23.664135924346251</v>
      </c>
      <c r="AD24" s="96">
        <f t="shared" si="13"/>
        <v>26.18148279529083</v>
      </c>
      <c r="AE24" s="96">
        <f t="shared" si="13"/>
        <v>22.852845768068253</v>
      </c>
      <c r="AF24" s="96">
        <f t="shared" si="13"/>
        <v>7.2707077374032645</v>
      </c>
      <c r="AG24" s="96">
        <f t="shared" si="13"/>
        <v>100</v>
      </c>
    </row>
    <row r="25" spans="1:33" x14ac:dyDescent="0.3">
      <c r="A25" s="10" t="str">
        <f>name!D21</f>
        <v>61 Caring personal service occupations</v>
      </c>
      <c r="B25" s="68">
        <f>'Basic T2'!D25</f>
        <v>0.15086729544285943</v>
      </c>
      <c r="C25" s="68">
        <f>'Basic T2'!O25</f>
        <v>8.2142467200081857</v>
      </c>
      <c r="D25" s="68">
        <f>'Basic T2'!Z25</f>
        <v>29.483903744604984</v>
      </c>
      <c r="E25" s="68">
        <f>'Basic T2'!AK25</f>
        <v>24.755803208836621</v>
      </c>
      <c r="F25" s="68">
        <f>'Basic T2'!AV25</f>
        <v>14.178751529234212</v>
      </c>
      <c r="G25" s="68">
        <f>'Basic T2'!BG25</f>
        <v>77.106740000547887</v>
      </c>
      <c r="H25" s="68">
        <f>'Basic T2'!BR25</f>
        <v>57.604267990996874</v>
      </c>
      <c r="I25" s="68">
        <f>'Basic T2'!CC25</f>
        <v>10.343575548906736</v>
      </c>
      <c r="J25" s="68">
        <f>'Basic T2'!CN25</f>
        <v>1.8179342827087002</v>
      </c>
      <c r="K25" s="309">
        <f t="shared" si="12"/>
        <v>223.65609032128705</v>
      </c>
      <c r="L25" s="96"/>
      <c r="M25" s="96">
        <f t="shared" si="0"/>
        <v>0.32975427428823262</v>
      </c>
      <c r="N25" s="96">
        <f t="shared" si="1"/>
        <v>2.6529235730646037</v>
      </c>
      <c r="O25" s="96">
        <f t="shared" si="2"/>
        <v>4.4627344456268165</v>
      </c>
      <c r="P25" s="96">
        <f t="shared" si="3"/>
        <v>13.727380680491772</v>
      </c>
      <c r="Q25" s="96">
        <f t="shared" si="4"/>
        <v>7.7257408712656499</v>
      </c>
      <c r="R25" s="96">
        <f t="shared" si="5"/>
        <v>12.711239593624477</v>
      </c>
      <c r="S25" s="96">
        <f t="shared" si="6"/>
        <v>8.8199703252163051</v>
      </c>
      <c r="T25" s="96">
        <f t="shared" si="7"/>
        <v>2.4570518991549282</v>
      </c>
      <c r="U25" s="96">
        <f t="shared" si="8"/>
        <v>1.6004789076123016</v>
      </c>
      <c r="V25" s="96">
        <f t="shared" si="9"/>
        <v>7.0460794533348885</v>
      </c>
      <c r="W25" s="96"/>
      <c r="X25" s="96">
        <f t="shared" si="10"/>
        <v>6.7455035642505934E-2</v>
      </c>
      <c r="Y25" s="96">
        <f t="shared" si="13"/>
        <v>3.6727131857702751</v>
      </c>
      <c r="Z25" s="96">
        <f t="shared" si="13"/>
        <v>13.182696568759065</v>
      </c>
      <c r="AA25" s="96">
        <f t="shared" si="13"/>
        <v>11.068691746008055</v>
      </c>
      <c r="AB25" s="96">
        <f t="shared" si="13"/>
        <v>6.3395329449182958</v>
      </c>
      <c r="AC25" s="96">
        <f t="shared" si="13"/>
        <v>34.475582529311993</v>
      </c>
      <c r="AD25" s="96">
        <f t="shared" si="13"/>
        <v>25.755734131025466</v>
      </c>
      <c r="AE25" s="96">
        <f t="shared" si="13"/>
        <v>4.6247681134226903</v>
      </c>
      <c r="AF25" s="96">
        <f t="shared" si="13"/>
        <v>0.81282574514165762</v>
      </c>
      <c r="AG25" s="96">
        <f t="shared" si="13"/>
        <v>100</v>
      </c>
    </row>
    <row r="26" spans="1:33" x14ac:dyDescent="0.3">
      <c r="A26" s="10" t="str">
        <f>name!D22</f>
        <v>62 Leisure, travel and related personal service occupations</v>
      </c>
      <c r="B26" s="68">
        <f>'Basic T2'!D26</f>
        <v>7.0870917368295858E-2</v>
      </c>
      <c r="C26" s="68">
        <f>'Basic T2'!O26</f>
        <v>1.4207825732204116</v>
      </c>
      <c r="D26" s="68">
        <f>'Basic T2'!Z26</f>
        <v>8.6693184731400255</v>
      </c>
      <c r="E26" s="68">
        <f>'Basic T2'!AK26</f>
        <v>4.9202395070344913</v>
      </c>
      <c r="F26" s="68">
        <f>'Basic T2'!AV26</f>
        <v>6.3083263903620272</v>
      </c>
      <c r="G26" s="68">
        <f>'Basic T2'!BG26</f>
        <v>17.661963615722669</v>
      </c>
      <c r="H26" s="68">
        <f>'Basic T2'!BR26</f>
        <v>18.27411787799743</v>
      </c>
      <c r="I26" s="68">
        <f>'Basic T2'!CC26</f>
        <v>11.979368209538839</v>
      </c>
      <c r="J26" s="68">
        <f>'Basic T2'!CN26</f>
        <v>3.1361405421588255</v>
      </c>
      <c r="K26" s="309">
        <f t="shared" si="12"/>
        <v>72.441128106543005</v>
      </c>
      <c r="L26" s="96"/>
      <c r="M26" s="96">
        <f t="shared" si="0"/>
        <v>0.15490426772961552</v>
      </c>
      <c r="N26" s="96">
        <f t="shared" si="1"/>
        <v>0.45886466637467388</v>
      </c>
      <c r="O26" s="96">
        <f t="shared" si="2"/>
        <v>1.3122029737079925</v>
      </c>
      <c r="P26" s="96">
        <f t="shared" si="3"/>
        <v>2.7283300074120969</v>
      </c>
      <c r="Q26" s="96">
        <f t="shared" si="4"/>
        <v>3.437291000044477</v>
      </c>
      <c r="R26" s="96">
        <f t="shared" si="5"/>
        <v>2.9116190259338377</v>
      </c>
      <c r="S26" s="96">
        <f t="shared" si="6"/>
        <v>2.7980075613257145</v>
      </c>
      <c r="T26" s="96">
        <f t="shared" si="7"/>
        <v>2.8456242496372153</v>
      </c>
      <c r="U26" s="96">
        <f t="shared" si="8"/>
        <v>2.7610056297273142</v>
      </c>
      <c r="V26" s="96">
        <f t="shared" si="9"/>
        <v>2.2821911247517326</v>
      </c>
      <c r="W26" s="96"/>
      <c r="X26" s="96">
        <f t="shared" si="10"/>
        <v>9.7832431963320948E-2</v>
      </c>
      <c r="Y26" s="96">
        <f t="shared" si="13"/>
        <v>1.961292721906251</v>
      </c>
      <c r="Z26" s="96">
        <f t="shared" si="13"/>
        <v>11.967398492731366</v>
      </c>
      <c r="AA26" s="96">
        <f t="shared" si="13"/>
        <v>6.7920525751587331</v>
      </c>
      <c r="AB26" s="96">
        <f t="shared" si="13"/>
        <v>8.7082111436531449</v>
      </c>
      <c r="AC26" s="96">
        <f t="shared" si="13"/>
        <v>24.381127237204652</v>
      </c>
      <c r="AD26" s="96">
        <f t="shared" si="13"/>
        <v>25.226164135821733</v>
      </c>
      <c r="AE26" s="96">
        <f t="shared" si="13"/>
        <v>16.536694723914497</v>
      </c>
      <c r="AF26" s="96">
        <f t="shared" si="13"/>
        <v>4.3292265376463179</v>
      </c>
      <c r="AG26" s="96">
        <f t="shared" si="13"/>
        <v>100</v>
      </c>
    </row>
    <row r="27" spans="1:33" x14ac:dyDescent="0.3">
      <c r="A27" s="10" t="str">
        <f>name!D23</f>
        <v>63 Community and civil enforcement occupations</v>
      </c>
      <c r="B27" s="68">
        <f>'Basic T2'!D27</f>
        <v>7.678357702063791E-3</v>
      </c>
      <c r="C27" s="68">
        <f>'Basic T2'!O27</f>
        <v>0.11782391823149377</v>
      </c>
      <c r="D27" s="68">
        <f>'Basic T2'!Z27</f>
        <v>0.534506826066796</v>
      </c>
      <c r="E27" s="68">
        <f>'Basic T2'!AK27</f>
        <v>0.16486491414108079</v>
      </c>
      <c r="F27" s="68">
        <f>'Basic T2'!AV27</f>
        <v>0.14495383122289429</v>
      </c>
      <c r="G27" s="68">
        <f>'Basic T2'!BG27</f>
        <v>0.52363456486071225</v>
      </c>
      <c r="H27" s="68">
        <f>'Basic T2'!BR27</f>
        <v>0.92883117463422538</v>
      </c>
      <c r="I27" s="68">
        <f>'Basic T2'!CC27</f>
        <v>0.8161327768704093</v>
      </c>
      <c r="J27" s="68">
        <f>'Basic T2'!CN27</f>
        <v>0.17663460489827676</v>
      </c>
      <c r="K27" s="309">
        <f t="shared" si="12"/>
        <v>3.4150609686279525</v>
      </c>
      <c r="L27" s="96"/>
      <c r="M27" s="96">
        <f t="shared" si="0"/>
        <v>1.6782771006380797E-2</v>
      </c>
      <c r="N27" s="96">
        <f t="shared" si="1"/>
        <v>3.8053136313253404E-2</v>
      </c>
      <c r="O27" s="96">
        <f t="shared" si="2"/>
        <v>8.0903873678784141E-2</v>
      </c>
      <c r="P27" s="96">
        <f t="shared" si="3"/>
        <v>9.1419511545614784E-2</v>
      </c>
      <c r="Q27" s="96">
        <f t="shared" si="4"/>
        <v>7.898267601461674E-2</v>
      </c>
      <c r="R27" s="96">
        <f t="shared" si="5"/>
        <v>8.6322472113339432E-2</v>
      </c>
      <c r="S27" s="96">
        <f t="shared" si="6"/>
        <v>0.14221625728652715</v>
      </c>
      <c r="T27" s="96">
        <f t="shared" si="7"/>
        <v>0.19386725411252714</v>
      </c>
      <c r="U27" s="96">
        <f t="shared" si="8"/>
        <v>0.15550614903026358</v>
      </c>
      <c r="V27" s="96">
        <f t="shared" si="9"/>
        <v>0.10758835535562038</v>
      </c>
      <c r="W27" s="96"/>
      <c r="X27" s="96">
        <f t="shared" si="10"/>
        <v>0.22483808554518064</v>
      </c>
      <c r="Y27" s="96">
        <f t="shared" si="13"/>
        <v>3.4501263466119356</v>
      </c>
      <c r="Z27" s="96">
        <f t="shared" si="13"/>
        <v>15.651457791734286</v>
      </c>
      <c r="AA27" s="96">
        <f t="shared" si="13"/>
        <v>4.8275833332286755</v>
      </c>
      <c r="AB27" s="96">
        <f t="shared" si="13"/>
        <v>4.2445459262512513</v>
      </c>
      <c r="AC27" s="96">
        <f t="shared" si="13"/>
        <v>15.333095651029902</v>
      </c>
      <c r="AD27" s="96">
        <f t="shared" si="13"/>
        <v>27.198084695026576</v>
      </c>
      <c r="AE27" s="96">
        <f t="shared" si="13"/>
        <v>23.898044115982557</v>
      </c>
      <c r="AF27" s="96">
        <f t="shared" si="13"/>
        <v>5.172224054589635</v>
      </c>
      <c r="AG27" s="96">
        <f t="shared" si="13"/>
        <v>100</v>
      </c>
    </row>
    <row r="28" spans="1:33" x14ac:dyDescent="0.3">
      <c r="A28" s="10" t="str">
        <f>name!D24</f>
        <v>71 Sales occupations</v>
      </c>
      <c r="B28" s="68">
        <f>'Basic T2'!D28</f>
        <v>0.44245913970853795</v>
      </c>
      <c r="C28" s="68">
        <f>'Basic T2'!O28</f>
        <v>5.923338323028994</v>
      </c>
      <c r="D28" s="68">
        <f>'Basic T2'!Z28</f>
        <v>26.592760573235427</v>
      </c>
      <c r="E28" s="68">
        <f>'Basic T2'!AK28</f>
        <v>8.5401064304209697</v>
      </c>
      <c r="F28" s="68">
        <f>'Basic T2'!AV28</f>
        <v>6.9471758442137848</v>
      </c>
      <c r="G28" s="68">
        <f>'Basic T2'!BG28</f>
        <v>49.278899496044701</v>
      </c>
      <c r="H28" s="68">
        <f>'Basic T2'!BR28</f>
        <v>51.476437653169555</v>
      </c>
      <c r="I28" s="68">
        <f>'Basic T2'!CC28</f>
        <v>34.991738367784357</v>
      </c>
      <c r="J28" s="68">
        <f>'Basic T2'!CN28</f>
        <v>10.502497112523244</v>
      </c>
      <c r="K28" s="309">
        <f t="shared" si="12"/>
        <v>194.69541294012959</v>
      </c>
      <c r="L28" s="96"/>
      <c r="M28" s="96">
        <f t="shared" si="0"/>
        <v>0.96709357775983296</v>
      </c>
      <c r="N28" s="96">
        <f t="shared" si="1"/>
        <v>1.9130377262864726</v>
      </c>
      <c r="O28" s="96">
        <f t="shared" si="2"/>
        <v>4.0251260363105787</v>
      </c>
      <c r="P28" s="96">
        <f t="shared" si="3"/>
        <v>4.735588299573239</v>
      </c>
      <c r="Q28" s="96">
        <f t="shared" si="4"/>
        <v>3.7853883149619372</v>
      </c>
      <c r="R28" s="96">
        <f t="shared" si="5"/>
        <v>8.1237502506254806</v>
      </c>
      <c r="S28" s="96">
        <f t="shared" si="6"/>
        <v>7.881718983387878</v>
      </c>
      <c r="T28" s="96">
        <f t="shared" si="7"/>
        <v>8.3120693424416672</v>
      </c>
      <c r="U28" s="96">
        <f t="shared" si="8"/>
        <v>9.2462226306702942</v>
      </c>
      <c r="V28" s="96">
        <f t="shared" si="9"/>
        <v>6.1336999444339764</v>
      </c>
      <c r="W28" s="96"/>
      <c r="X28" s="96">
        <f t="shared" si="10"/>
        <v>0.22725709508348699</v>
      </c>
      <c r="Y28" s="96">
        <f t="shared" si="13"/>
        <v>3.0423615192467159</v>
      </c>
      <c r="Z28" s="96">
        <f t="shared" si="13"/>
        <v>13.658647716273068</v>
      </c>
      <c r="AA28" s="96">
        <f t="shared" si="13"/>
        <v>4.3863932392937892</v>
      </c>
      <c r="AB28" s="96">
        <f t="shared" si="13"/>
        <v>3.5682277971027991</v>
      </c>
      <c r="AC28" s="96">
        <f t="shared" si="13"/>
        <v>25.310765544948076</v>
      </c>
      <c r="AD28" s="96">
        <f t="shared" si="13"/>
        <v>26.439471210859484</v>
      </c>
      <c r="AE28" s="96">
        <f t="shared" si="13"/>
        <v>17.972554072727227</v>
      </c>
      <c r="AF28" s="96">
        <f t="shared" si="13"/>
        <v>5.3943218044653403</v>
      </c>
      <c r="AG28" s="96">
        <f t="shared" si="13"/>
        <v>100</v>
      </c>
    </row>
    <row r="29" spans="1:33" x14ac:dyDescent="0.3">
      <c r="A29" s="10" t="str">
        <f>name!D25</f>
        <v>72 Customer service occupations</v>
      </c>
      <c r="B29" s="68">
        <f>'Basic T2'!D29</f>
        <v>0.16311733947438969</v>
      </c>
      <c r="C29" s="68">
        <f>'Basic T2'!O29</f>
        <v>1.90294509900764</v>
      </c>
      <c r="D29" s="68">
        <f>'Basic T2'!Z29</f>
        <v>8.4880269857557131</v>
      </c>
      <c r="E29" s="68">
        <f>'Basic T2'!AK29</f>
        <v>2.912626996680229</v>
      </c>
      <c r="F29" s="68">
        <f>'Basic T2'!AV29</f>
        <v>3.1381019575791442</v>
      </c>
      <c r="G29" s="68">
        <f>'Basic T2'!BG29</f>
        <v>11.510443866440717</v>
      </c>
      <c r="H29" s="68">
        <f>'Basic T2'!BR29</f>
        <v>13.404079667325293</v>
      </c>
      <c r="I29" s="68">
        <f>'Basic T2'!CC29</f>
        <v>6.3953478725867923</v>
      </c>
      <c r="J29" s="68">
        <f>'Basic T2'!CN29</f>
        <v>1.9459649672518924</v>
      </c>
      <c r="K29" s="309">
        <f t="shared" si="12"/>
        <v>49.860654752101809</v>
      </c>
      <c r="L29" s="96"/>
      <c r="M29" s="96">
        <f t="shared" si="0"/>
        <v>0.35652949000187356</v>
      </c>
      <c r="N29" s="96">
        <f t="shared" si="1"/>
        <v>0.61458683717258655</v>
      </c>
      <c r="O29" s="96">
        <f t="shared" si="2"/>
        <v>1.2847623819716647</v>
      </c>
      <c r="P29" s="96">
        <f t="shared" si="3"/>
        <v>1.6150855307104335</v>
      </c>
      <c r="Q29" s="96">
        <f t="shared" si="4"/>
        <v>1.709894027120832</v>
      </c>
      <c r="R29" s="96">
        <f t="shared" si="5"/>
        <v>1.897525557613428</v>
      </c>
      <c r="S29" s="96">
        <f t="shared" si="6"/>
        <v>2.0523407210229947</v>
      </c>
      <c r="T29" s="96">
        <f t="shared" si="7"/>
        <v>1.5191750243228674</v>
      </c>
      <c r="U29" s="96">
        <f t="shared" si="8"/>
        <v>1.7131949788628142</v>
      </c>
      <c r="V29" s="96">
        <f t="shared" si="9"/>
        <v>1.5708140765311911</v>
      </c>
      <c r="W29" s="96"/>
      <c r="X29" s="96">
        <f t="shared" si="10"/>
        <v>0.32714640488653773</v>
      </c>
      <c r="Y29" s="96">
        <f t="shared" si="13"/>
        <v>3.8165264946253519</v>
      </c>
      <c r="Z29" s="96">
        <f t="shared" si="13"/>
        <v>17.023496839254626</v>
      </c>
      <c r="AA29" s="96">
        <f t="shared" si="13"/>
        <v>5.8415337928498641</v>
      </c>
      <c r="AB29" s="96">
        <f t="shared" si="13"/>
        <v>6.2937439814643863</v>
      </c>
      <c r="AC29" s="96">
        <f t="shared" si="13"/>
        <v>23.085224058265119</v>
      </c>
      <c r="AD29" s="96">
        <f t="shared" si="13"/>
        <v>26.883079923374375</v>
      </c>
      <c r="AE29" s="96">
        <f t="shared" si="13"/>
        <v>12.826441819473308</v>
      </c>
      <c r="AF29" s="96">
        <f t="shared" si="13"/>
        <v>3.902806685806433</v>
      </c>
      <c r="AG29" s="96">
        <f t="shared" si="13"/>
        <v>100</v>
      </c>
    </row>
    <row r="30" spans="1:33" x14ac:dyDescent="0.3">
      <c r="A30" s="10" t="str">
        <f>name!D26</f>
        <v>81 Process, plant and machine operatives</v>
      </c>
      <c r="B30" s="68">
        <f>'Basic T2'!D30</f>
        <v>0.13799181167173888</v>
      </c>
      <c r="C30" s="68">
        <f>'Basic T2'!O30</f>
        <v>0.77540920441460703</v>
      </c>
      <c r="D30" s="68">
        <f>'Basic T2'!Z30</f>
        <v>2.9175661122356549</v>
      </c>
      <c r="E30" s="68">
        <f>'Basic T2'!AK30</f>
        <v>1.20923423981106</v>
      </c>
      <c r="F30" s="68">
        <f>'Basic T2'!AV30</f>
        <v>2.4955913553021078</v>
      </c>
      <c r="G30" s="68">
        <f>'Basic T2'!BG30</f>
        <v>13.984828249420941</v>
      </c>
      <c r="H30" s="68">
        <f>'Basic T2'!BR30</f>
        <v>22.776618718430697</v>
      </c>
      <c r="I30" s="68">
        <f>'Basic T2'!CC30</f>
        <v>17.008397163502487</v>
      </c>
      <c r="J30" s="68">
        <f>'Basic T2'!CN30</f>
        <v>4.8773594564544354</v>
      </c>
      <c r="K30" s="309">
        <f t="shared" si="12"/>
        <v>66.182996311243727</v>
      </c>
      <c r="L30" s="96"/>
      <c r="M30" s="96">
        <f t="shared" si="0"/>
        <v>0.30161201990107261</v>
      </c>
      <c r="N30" s="96">
        <f t="shared" si="1"/>
        <v>0.25043091926519717</v>
      </c>
      <c r="O30" s="96">
        <f t="shared" si="2"/>
        <v>0.4416078311492268</v>
      </c>
      <c r="P30" s="96">
        <f t="shared" si="3"/>
        <v>0.67053444405496965</v>
      </c>
      <c r="Q30" s="96">
        <f t="shared" si="4"/>
        <v>1.3598018197781374</v>
      </c>
      <c r="R30" s="96">
        <f t="shared" si="5"/>
        <v>2.3054340327812386</v>
      </c>
      <c r="S30" s="96">
        <f t="shared" si="6"/>
        <v>3.4873996009587778</v>
      </c>
      <c r="T30" s="96">
        <f t="shared" si="7"/>
        <v>4.0402387312366201</v>
      </c>
      <c r="U30" s="96">
        <f t="shared" si="8"/>
        <v>4.29394561131644</v>
      </c>
      <c r="V30" s="96">
        <f t="shared" si="9"/>
        <v>2.0850344374655689</v>
      </c>
      <c r="W30" s="96"/>
      <c r="X30" s="96">
        <f t="shared" si="10"/>
        <v>0.20850039944216858</v>
      </c>
      <c r="Y30" s="96">
        <f t="shared" si="13"/>
        <v>1.1716139305147688</v>
      </c>
      <c r="Z30" s="96">
        <f t="shared" si="13"/>
        <v>4.4083318599161005</v>
      </c>
      <c r="AA30" s="96">
        <f t="shared" si="13"/>
        <v>1.8271071229901767</v>
      </c>
      <c r="AB30" s="96">
        <f t="shared" si="13"/>
        <v>3.770743989235398</v>
      </c>
      <c r="AC30" s="96">
        <f t="shared" si="13"/>
        <v>21.130545652018295</v>
      </c>
      <c r="AD30" s="96">
        <f t="shared" si="13"/>
        <v>34.414607962621382</v>
      </c>
      <c r="AE30" s="96">
        <f t="shared" si="13"/>
        <v>25.699043729473694</v>
      </c>
      <c r="AF30" s="96">
        <f t="shared" si="13"/>
        <v>7.3695053537880222</v>
      </c>
      <c r="AG30" s="96">
        <f t="shared" si="13"/>
        <v>100</v>
      </c>
    </row>
    <row r="31" spans="1:33" x14ac:dyDescent="0.3">
      <c r="A31" s="10" t="str">
        <f>name!D27</f>
        <v>82 Transport and mobile machine drivers and operatives</v>
      </c>
      <c r="B31" s="68">
        <f>'Basic T2'!D31</f>
        <v>0.27038928716562832</v>
      </c>
      <c r="C31" s="68">
        <f>'Basic T2'!O31</f>
        <v>1.7551418349681731</v>
      </c>
      <c r="D31" s="68">
        <f>'Basic T2'!Z31</f>
        <v>5.7916401383203926</v>
      </c>
      <c r="E31" s="68">
        <f>'Basic T2'!AK31</f>
        <v>2.7702398202935083</v>
      </c>
      <c r="F31" s="68">
        <f>'Basic T2'!AV31</f>
        <v>4.231892386537127</v>
      </c>
      <c r="G31" s="68">
        <f>'Basic T2'!BG31</f>
        <v>21.077424320423781</v>
      </c>
      <c r="H31" s="68">
        <f>'Basic T2'!BR31</f>
        <v>37.940640955891141</v>
      </c>
      <c r="I31" s="68">
        <f>'Basic T2'!CC31</f>
        <v>30.413835681165313</v>
      </c>
      <c r="J31" s="68">
        <f>'Basic T2'!CN31</f>
        <v>11.182001816438166</v>
      </c>
      <c r="K31" s="309">
        <f t="shared" si="12"/>
        <v>115.43320624120324</v>
      </c>
      <c r="L31" s="96"/>
      <c r="M31" s="96">
        <f t="shared" si="0"/>
        <v>0.5909963647382025</v>
      </c>
      <c r="N31" s="96">
        <f t="shared" si="1"/>
        <v>0.56685138720234229</v>
      </c>
      <c r="O31" s="96">
        <f t="shared" si="2"/>
        <v>0.87663262524002528</v>
      </c>
      <c r="P31" s="96">
        <f t="shared" si="3"/>
        <v>1.5361301860669139</v>
      </c>
      <c r="Q31" s="96">
        <f t="shared" si="4"/>
        <v>2.3058803101286611</v>
      </c>
      <c r="R31" s="96">
        <f t="shared" si="5"/>
        <v>3.4746662944314659</v>
      </c>
      <c r="S31" s="96">
        <f t="shared" si="6"/>
        <v>5.809210654372821</v>
      </c>
      <c r="T31" s="96">
        <f t="shared" si="7"/>
        <v>7.2246170937371428</v>
      </c>
      <c r="U31" s="96">
        <f t="shared" si="8"/>
        <v>9.8444471960922986</v>
      </c>
      <c r="V31" s="96">
        <f t="shared" si="9"/>
        <v>3.63661701123503</v>
      </c>
      <c r="W31" s="96"/>
      <c r="X31" s="96">
        <f t="shared" si="10"/>
        <v>0.23423873941492787</v>
      </c>
      <c r="Y31" s="96">
        <f t="shared" si="13"/>
        <v>1.5204826168483268</v>
      </c>
      <c r="Z31" s="96">
        <f t="shared" si="13"/>
        <v>5.0173085604314602</v>
      </c>
      <c r="AA31" s="96">
        <f t="shared" si="13"/>
        <v>2.3998638784276327</v>
      </c>
      <c r="AB31" s="96">
        <f t="shared" si="13"/>
        <v>3.666096199125219</v>
      </c>
      <c r="AC31" s="96">
        <f t="shared" si="13"/>
        <v>18.259411660438062</v>
      </c>
      <c r="AD31" s="96">
        <f t="shared" si="13"/>
        <v>32.868047411428861</v>
      </c>
      <c r="AE31" s="96">
        <f t="shared" si="13"/>
        <v>26.347562085050413</v>
      </c>
      <c r="AF31" s="96">
        <f t="shared" si="13"/>
        <v>9.686988848835087</v>
      </c>
      <c r="AG31" s="96">
        <f t="shared" si="13"/>
        <v>100</v>
      </c>
    </row>
    <row r="32" spans="1:33" x14ac:dyDescent="0.3">
      <c r="A32" s="10" t="str">
        <f>name!D28</f>
        <v>91 Elementary trades and related occupations</v>
      </c>
      <c r="B32" s="68">
        <f>'Basic T2'!D32</f>
        <v>2.0828565258778457E-3</v>
      </c>
      <c r="C32" s="68">
        <f>'Basic T2'!O32</f>
        <v>0.42966326128307081</v>
      </c>
      <c r="D32" s="68">
        <f>'Basic T2'!Z32</f>
        <v>1.7590007413417508</v>
      </c>
      <c r="E32" s="68">
        <f>'Basic T2'!AK32</f>
        <v>1.3538111967896715</v>
      </c>
      <c r="F32" s="68">
        <f>'Basic T2'!AV32</f>
        <v>1.6378787828585293</v>
      </c>
      <c r="G32" s="68">
        <f>'Basic T2'!BG32</f>
        <v>7.1754059133005219</v>
      </c>
      <c r="H32" s="68">
        <f>'Basic T2'!BR32</f>
        <v>12.166527329900912</v>
      </c>
      <c r="I32" s="68">
        <f>'Basic T2'!CC32</f>
        <v>14.295687929495818</v>
      </c>
      <c r="J32" s="68">
        <f>'Basic T2'!CN32</f>
        <v>5.1646714807957537</v>
      </c>
      <c r="K32" s="309">
        <f t="shared" si="12"/>
        <v>43.984729492291905</v>
      </c>
      <c r="L32" s="96"/>
      <c r="M32" s="96">
        <f t="shared" si="0"/>
        <v>4.5525495775689418E-3</v>
      </c>
      <c r="N32" s="96">
        <f t="shared" si="1"/>
        <v>0.13876668588017999</v>
      </c>
      <c r="O32" s="96">
        <f t="shared" si="2"/>
        <v>0.26624538142122162</v>
      </c>
      <c r="P32" s="96">
        <f t="shared" si="3"/>
        <v>0.75070404749421715</v>
      </c>
      <c r="Q32" s="96">
        <f t="shared" si="4"/>
        <v>0.89245001781848732</v>
      </c>
      <c r="R32" s="96">
        <f t="shared" si="5"/>
        <v>1.1828836719698526</v>
      </c>
      <c r="S32" s="96">
        <f t="shared" si="6"/>
        <v>1.8628551972473766</v>
      </c>
      <c r="T32" s="96">
        <f t="shared" si="7"/>
        <v>3.3958515612723921</v>
      </c>
      <c r="U32" s="96">
        <f t="shared" si="8"/>
        <v>4.5468903075221361</v>
      </c>
      <c r="V32" s="96">
        <f t="shared" si="9"/>
        <v>1.3856984546717424</v>
      </c>
      <c r="W32" s="96"/>
      <c r="X32" s="96">
        <f t="shared" si="10"/>
        <v>4.7354082881033875E-3</v>
      </c>
      <c r="Y32" s="96">
        <f t="shared" si="13"/>
        <v>0.9768464333931326</v>
      </c>
      <c r="Z32" s="96">
        <f t="shared" si="13"/>
        <v>3.9991168790750584</v>
      </c>
      <c r="AA32" s="96">
        <f t="shared" si="13"/>
        <v>3.0779118398964349</v>
      </c>
      <c r="AB32" s="96">
        <f t="shared" si="13"/>
        <v>3.7237441306659824</v>
      </c>
      <c r="AC32" s="96">
        <f t="shared" si="13"/>
        <v>16.313402392432526</v>
      </c>
      <c r="AD32" s="96">
        <f t="shared" si="13"/>
        <v>27.660798350557169</v>
      </c>
      <c r="AE32" s="96">
        <f t="shared" si="13"/>
        <v>32.501479705589787</v>
      </c>
      <c r="AF32" s="96">
        <f t="shared" si="13"/>
        <v>11.741964860101813</v>
      </c>
      <c r="AG32" s="96">
        <f t="shared" si="13"/>
        <v>100</v>
      </c>
    </row>
    <row r="33" spans="1:33" x14ac:dyDescent="0.3">
      <c r="A33" s="10" t="str">
        <f>name!D29</f>
        <v>92 Elementary administration and service occupations</v>
      </c>
      <c r="B33" s="68">
        <f>'Basic T2'!D33</f>
        <v>0.18554932802829693</v>
      </c>
      <c r="C33" s="68">
        <f>'Basic T2'!O33</f>
        <v>5.8014904101974967</v>
      </c>
      <c r="D33" s="68">
        <f>'Basic T2'!Z33</f>
        <v>23.235175971667861</v>
      </c>
      <c r="E33" s="68">
        <f>'Basic T2'!AK33</f>
        <v>12.152601547016019</v>
      </c>
      <c r="F33" s="68">
        <f>'Basic T2'!AV33</f>
        <v>10.688040708542054</v>
      </c>
      <c r="G33" s="68">
        <f>'Basic T2'!BG33</f>
        <v>50.64093592899102</v>
      </c>
      <c r="H33" s="68">
        <f>'Basic T2'!BR33</f>
        <v>92.319829909137709</v>
      </c>
      <c r="I33" s="68">
        <f>'Basic T2'!CC33</f>
        <v>86.340539468223653</v>
      </c>
      <c r="J33" s="68">
        <f>'Basic T2'!CN33</f>
        <v>26.40212749771786</v>
      </c>
      <c r="K33" s="309">
        <f>SUM(B33:J33)</f>
        <v>307.76629076952196</v>
      </c>
      <c r="L33" s="96"/>
      <c r="M33" s="96">
        <f t="shared" si="0"/>
        <v>0.40555962661777933</v>
      </c>
      <c r="N33" s="96">
        <f t="shared" si="1"/>
        <v>1.8736849759615981</v>
      </c>
      <c r="O33" s="96">
        <f t="shared" si="2"/>
        <v>3.5169162488510883</v>
      </c>
      <c r="P33" s="96">
        <f t="shared" si="3"/>
        <v>6.7387588391668194</v>
      </c>
      <c r="Q33" s="96">
        <f t="shared" si="4"/>
        <v>5.8237167613440892</v>
      </c>
      <c r="R33" s="96">
        <f t="shared" si="5"/>
        <v>8.3482853747184365</v>
      </c>
      <c r="S33" s="96">
        <f t="shared" si="6"/>
        <v>14.135379002730733</v>
      </c>
      <c r="T33" s="96">
        <f t="shared" si="7"/>
        <v>20.509656981901429</v>
      </c>
      <c r="U33" s="96">
        <f t="shared" si="8"/>
        <v>23.243991038678903</v>
      </c>
      <c r="V33" s="96">
        <f t="shared" si="9"/>
        <v>9.6958939714320085</v>
      </c>
      <c r="W33" s="96"/>
      <c r="X33" s="96">
        <f>IF($K33&gt;0,B33/$K33*100,0)</f>
        <v>6.0289035412019805E-2</v>
      </c>
      <c r="Y33" s="96">
        <f t="shared" ref="Y33" si="14">IF($K33&gt;0,C33/$K33*100,0)</f>
        <v>1.8850311370006663</v>
      </c>
      <c r="Z33" s="96">
        <f t="shared" ref="Z33" si="15">IF($K33&gt;0,D33/$K33*100,0)</f>
        <v>7.5496169231438248</v>
      </c>
      <c r="AA33" s="96">
        <f t="shared" ref="AA33" si="16">IF($K33&gt;0,E33/$K33*100,0)</f>
        <v>3.9486460705720301</v>
      </c>
      <c r="AB33" s="96">
        <f t="shared" ref="AB33" si="17">IF($K33&gt;0,F33/$K33*100,0)</f>
        <v>3.4727782181142266</v>
      </c>
      <c r="AC33" s="96">
        <f t="shared" ref="AC33" si="18">IF($K33&gt;0,G33/$K33*100,0)</f>
        <v>16.454347811247032</v>
      </c>
      <c r="AD33" s="96">
        <f t="shared" ref="AD33" si="19">IF($K33&gt;0,H33/$K33*100,0)</f>
        <v>29.996732156178073</v>
      </c>
      <c r="AE33" s="96">
        <f t="shared" ref="AE33" si="20">IF($K33&gt;0,I33/$K33*100,0)</f>
        <v>28.05392989997134</v>
      </c>
      <c r="AF33" s="96">
        <f>IF($K33&gt;0,J33/$K33*100,0)</f>
        <v>8.5786287483607868</v>
      </c>
      <c r="AG33" s="96">
        <f t="shared" ref="AG33" si="21">IF($K33&gt;0,K33/$K33*100,0)</f>
        <v>100</v>
      </c>
    </row>
    <row r="34" spans="1:33" x14ac:dyDescent="0.3">
      <c r="B34" s="309"/>
      <c r="C34" s="309"/>
      <c r="D34" s="309"/>
      <c r="E34" s="68"/>
      <c r="F34" s="68"/>
      <c r="G34" s="68"/>
      <c r="H34" s="68"/>
      <c r="I34" s="68"/>
      <c r="J34" s="68"/>
      <c r="K34" s="309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</row>
    <row r="35" spans="1:33" x14ac:dyDescent="0.3">
      <c r="A35" s="107" t="str">
        <f>name!D3</f>
        <v>All occupations</v>
      </c>
      <c r="B35" s="310">
        <f>SUM(B8:B33)</f>
        <v>45.751429839235044</v>
      </c>
      <c r="C35" s="310">
        <f t="shared" ref="C35:K35" si="22">SUM(C8:C33)</f>
        <v>309.62997967254876</v>
      </c>
      <c r="D35" s="310">
        <f t="shared" si="22"/>
        <v>660.66901591012765</v>
      </c>
      <c r="E35" s="310">
        <f t="shared" si="22"/>
        <v>180.33887006584979</v>
      </c>
      <c r="F35" s="310">
        <f t="shared" si="22"/>
        <v>183.52610792279154</v>
      </c>
      <c r="G35" s="310">
        <f t="shared" si="22"/>
        <v>606.6028370610054</v>
      </c>
      <c r="H35" s="310">
        <f t="shared" si="22"/>
        <v>653.11181179721439</v>
      </c>
      <c r="I35" s="310">
        <f t="shared" si="22"/>
        <v>420.97505357800043</v>
      </c>
      <c r="J35" s="310">
        <f t="shared" si="22"/>
        <v>113.58689415162695</v>
      </c>
      <c r="K35" s="310">
        <f t="shared" si="22"/>
        <v>3174.1919999984002</v>
      </c>
      <c r="L35" s="310"/>
      <c r="M35" s="97">
        <f>B35/B$35*100</f>
        <v>100</v>
      </c>
      <c r="N35" s="97">
        <f>C35/C$35*100</f>
        <v>100</v>
      </c>
      <c r="O35" s="97">
        <f>D35/D$35*100</f>
        <v>100</v>
      </c>
      <c r="P35" s="97">
        <f t="shared" ref="P35:U35" si="23">E35/E$35*100</f>
        <v>100</v>
      </c>
      <c r="Q35" s="97">
        <f t="shared" si="23"/>
        <v>100</v>
      </c>
      <c r="R35" s="97">
        <f t="shared" si="23"/>
        <v>100</v>
      </c>
      <c r="S35" s="97">
        <f t="shared" si="23"/>
        <v>100</v>
      </c>
      <c r="T35" s="97">
        <f t="shared" si="23"/>
        <v>100</v>
      </c>
      <c r="U35" s="97">
        <f t="shared" si="23"/>
        <v>100</v>
      </c>
      <c r="V35" s="97">
        <f>K35/K$35*100</f>
        <v>100</v>
      </c>
      <c r="W35" s="97"/>
      <c r="X35" s="97">
        <f>IF($K35&gt;0,B35/$K35*100,0)</f>
        <v>1.4413567244595824</v>
      </c>
      <c r="Y35" s="97">
        <f t="shared" ref="Y35:AG35" si="24">IF($K35&gt;0,C35/$K35*100,0)</f>
        <v>9.7546077764894132</v>
      </c>
      <c r="Z35" s="97">
        <f t="shared" si="24"/>
        <v>20.813769800644089</v>
      </c>
      <c r="AA35" s="97">
        <f t="shared" si="24"/>
        <v>5.6814102633344383</v>
      </c>
      <c r="AB35" s="97">
        <f t="shared" si="24"/>
        <v>5.7818212610605793</v>
      </c>
      <c r="AC35" s="97">
        <f t="shared" si="24"/>
        <v>19.110464554800437</v>
      </c>
      <c r="AD35" s="97">
        <f t="shared" si="24"/>
        <v>20.575687034607345</v>
      </c>
      <c r="AE35" s="97">
        <f t="shared" si="24"/>
        <v>13.262431937898295</v>
      </c>
      <c r="AF35" s="97">
        <f t="shared" si="24"/>
        <v>3.5784506467058135</v>
      </c>
      <c r="AG35" s="97">
        <f t="shared" si="24"/>
        <v>100</v>
      </c>
    </row>
    <row r="37" spans="1:33" x14ac:dyDescent="0.3">
      <c r="A37" s="90" t="str">
        <f ca="1">CELL("filename")</f>
        <v>https://educationgovuk.sharepoint.com/sites/UnitforFutureSkills/Shared Documents/Research Projects/R007 Skills Imperative 2035 revised projections/Projections/Regional_national/Main tables/[EE_MainTables.Main.xlsm]RD T1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5234375" defaultRowHeight="12.45" x14ac:dyDescent="0.3"/>
  <cols>
    <col min="1" max="1" width="33.69140625" style="90" customWidth="1"/>
    <col min="2" max="2" width="5.69140625" style="90" customWidth="1"/>
    <col min="3" max="3" width="11.69140625" style="90" customWidth="1"/>
    <col min="4" max="4" width="7.84375" style="90" customWidth="1"/>
    <col min="5" max="5" width="9.84375" style="90" customWidth="1"/>
    <col min="6" max="6" width="10" style="90" customWidth="1"/>
    <col min="7" max="7" width="2.69140625" style="90" customWidth="1"/>
    <col min="8" max="8" width="5.69140625" style="90" customWidth="1"/>
    <col min="9" max="9" width="10.69140625" style="90" customWidth="1"/>
    <col min="10" max="12" width="8.69140625" style="90" customWidth="1"/>
    <col min="13" max="13" width="2.69140625" style="90" customWidth="1"/>
    <col min="14" max="14" width="5.69140625" style="90" customWidth="1"/>
    <col min="15" max="15" width="10.69140625" style="90" customWidth="1"/>
    <col min="16" max="18" width="8.69140625" style="90" customWidth="1"/>
    <col min="19" max="19" width="2.69140625" style="90" customWidth="1"/>
    <col min="20" max="20" width="5.69140625" style="90" customWidth="1"/>
    <col min="21" max="21" width="10.69140625" style="90" customWidth="1"/>
    <col min="22" max="24" width="8.69140625" style="90" customWidth="1"/>
    <col min="25" max="25" width="33.69140625" style="90" customWidth="1"/>
    <col min="26" max="26" width="5.69140625" style="90" customWidth="1"/>
    <col min="27" max="27" width="11.69140625" style="90" customWidth="1"/>
    <col min="28" max="28" width="7.4609375" style="90" customWidth="1"/>
    <col min="29" max="30" width="8.69140625" style="90" customWidth="1"/>
    <col min="31" max="31" width="2.69140625" style="90" customWidth="1"/>
    <col min="32" max="32" width="5.69140625" style="90" customWidth="1"/>
    <col min="33" max="33" width="10.69140625" style="90" customWidth="1"/>
    <col min="34" max="36" width="8.69140625" style="90" customWidth="1"/>
    <col min="37" max="37" width="2.69140625" style="90" customWidth="1"/>
    <col min="38" max="38" width="5.69140625" style="90" customWidth="1"/>
    <col min="39" max="39" width="10.69140625" style="90" customWidth="1"/>
    <col min="40" max="42" width="8.69140625" style="90" customWidth="1"/>
    <col min="43" max="43" width="2.69140625" style="90" customWidth="1"/>
    <col min="44" max="44" width="5.69140625" style="90" customWidth="1"/>
    <col min="45" max="45" width="10.69140625" style="90" customWidth="1"/>
    <col min="46" max="48" width="8.69140625" style="90" customWidth="1"/>
    <col min="49" max="49" width="33.69140625" style="90" customWidth="1"/>
    <col min="50" max="50" width="5.69140625" style="90" customWidth="1"/>
    <col min="51" max="51" width="11.69140625" style="90" customWidth="1"/>
    <col min="52" max="52" width="7.4609375" style="90" customWidth="1"/>
    <col min="53" max="54" width="8.69140625" style="90" customWidth="1"/>
    <col min="55" max="55" width="2.69140625" style="90" customWidth="1"/>
    <col min="56" max="56" width="5.69140625" style="90" customWidth="1"/>
    <col min="57" max="57" width="10.69140625" style="90" customWidth="1"/>
    <col min="58" max="60" width="8.69140625" style="90" customWidth="1"/>
    <col min="61" max="61" width="2.69140625" style="90" customWidth="1"/>
    <col min="62" max="62" width="5.69140625" style="90" customWidth="1"/>
    <col min="63" max="63" width="10.69140625" style="90" customWidth="1"/>
    <col min="64" max="66" width="8.69140625" style="90" customWidth="1"/>
    <col min="67" max="67" width="2.69140625" style="90" customWidth="1"/>
    <col min="68" max="68" width="5.69140625" style="90" customWidth="1"/>
    <col min="69" max="69" width="10.69140625" style="90" customWidth="1"/>
    <col min="70" max="72" width="8.69140625" style="90" customWidth="1"/>
    <col min="73" max="73" width="33.69140625" style="90" customWidth="1"/>
    <col min="74" max="74" width="5.69140625" style="90" customWidth="1"/>
    <col min="75" max="75" width="11.69140625" style="90" customWidth="1"/>
    <col min="76" max="76" width="7.4609375" style="90" customWidth="1"/>
    <col min="77" max="78" width="8.69140625" style="90" customWidth="1"/>
    <col min="79" max="79" width="2.69140625" style="90" customWidth="1"/>
    <col min="80" max="80" width="5.69140625" style="90" customWidth="1"/>
    <col min="81" max="81" width="10.69140625" style="90" customWidth="1"/>
    <col min="82" max="84" width="8.69140625" style="90" customWidth="1"/>
    <col min="85" max="85" width="2.69140625" style="90" customWidth="1"/>
    <col min="86" max="86" width="5.69140625" style="90" customWidth="1"/>
    <col min="87" max="87" width="10.69140625" style="90" customWidth="1"/>
    <col min="88" max="90" width="8.69140625" style="90" customWidth="1"/>
    <col min="91" max="91" width="2.69140625" style="90" customWidth="1"/>
    <col min="92" max="92" width="5.69140625" style="90" customWidth="1"/>
    <col min="93" max="93" width="10.69140625" style="90" customWidth="1"/>
    <col min="94" max="96" width="8.69140625" style="90" customWidth="1"/>
    <col min="97" max="97" width="33.69140625" style="90" customWidth="1"/>
    <col min="98" max="98" width="5.69140625" style="90" customWidth="1"/>
    <col min="99" max="99" width="11.69140625" style="90" customWidth="1"/>
    <col min="100" max="100" width="7.4609375" style="90" customWidth="1"/>
    <col min="101" max="102" width="8.69140625" style="90" customWidth="1"/>
    <col min="103" max="103" width="2.69140625" style="90" customWidth="1"/>
    <col min="104" max="104" width="5.69140625" style="90" customWidth="1"/>
    <col min="105" max="105" width="10.69140625" style="90" customWidth="1"/>
    <col min="106" max="108" width="8.69140625" style="90" customWidth="1"/>
    <col min="109" max="109" width="2.69140625" style="90" customWidth="1"/>
    <col min="110" max="110" width="5.69140625" style="90" customWidth="1"/>
    <col min="111" max="111" width="10.69140625" style="90" customWidth="1"/>
    <col min="112" max="114" width="8.69140625" style="90" customWidth="1"/>
    <col min="115" max="115" width="2.69140625" style="90" customWidth="1"/>
    <col min="116" max="116" width="5.69140625" style="90" customWidth="1"/>
    <col min="117" max="117" width="10.69140625" style="90" customWidth="1"/>
    <col min="118" max="120" width="8.69140625" style="90" customWidth="1"/>
    <col min="121" max="16384" width="9.15234375" style="90"/>
  </cols>
  <sheetData>
    <row r="1" spans="1:120" ht="15.45" x14ac:dyDescent="0.4">
      <c r="A1" s="18" t="str">
        <f>CONCATENATE("Basic Table 5  Replacement Demand, ",A100,"-",A101,", by Industry and Qualification for ",name!$H$3)</f>
        <v>Basic Table 5  Replacement Demand, 2015-2025, by Industry and Qualification for M</v>
      </c>
      <c r="Y1" s="18" t="str">
        <f>CONCATENATE("Basic Table 5  Replacement Demand, ",A100,"-",A101,", by Industry and Qualification for ",name!$H$4)</f>
        <v>Basic Table 5  Replacement Demand, 2015-2025, by Industry and Qualification for F</v>
      </c>
      <c r="AW1" s="18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8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8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45" x14ac:dyDescent="0.4">
      <c r="A2" s="18"/>
      <c r="Y2" s="18"/>
      <c r="AW2" s="18"/>
      <c r="BU2" s="18"/>
      <c r="CS2" s="18"/>
    </row>
    <row r="3" spans="1:120" x14ac:dyDescent="0.3"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115" t="s">
        <v>35</v>
      </c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115" t="str">
        <f>$X$3</f>
        <v>thousands</v>
      </c>
      <c r="AX3" s="91"/>
      <c r="AY3" s="91"/>
      <c r="AZ3" s="91"/>
      <c r="BA3" s="91"/>
      <c r="BB3" s="91"/>
      <c r="BC3" s="91"/>
      <c r="BD3" s="91"/>
      <c r="BE3" s="91"/>
      <c r="BF3" s="91"/>
      <c r="BG3" s="91"/>
      <c r="BH3" s="91"/>
      <c r="BI3" s="91"/>
      <c r="BJ3" s="91"/>
      <c r="BK3" s="91"/>
      <c r="BL3" s="91"/>
      <c r="BM3" s="91"/>
      <c r="BN3" s="91"/>
      <c r="BO3" s="91"/>
      <c r="BP3" s="91"/>
      <c r="BQ3" s="91"/>
      <c r="BR3" s="91"/>
      <c r="BS3" s="91"/>
      <c r="BT3" s="115" t="str">
        <f>$X$3</f>
        <v>thousands</v>
      </c>
      <c r="BV3" s="91"/>
      <c r="BW3" s="91"/>
      <c r="BX3" s="91"/>
      <c r="BY3" s="91"/>
      <c r="BZ3" s="91"/>
      <c r="CA3" s="91"/>
      <c r="CB3" s="91"/>
      <c r="CC3" s="91"/>
      <c r="CD3" s="91"/>
      <c r="CE3" s="91"/>
      <c r="CF3" s="91"/>
      <c r="CG3" s="91"/>
      <c r="CH3" s="91"/>
      <c r="CI3" s="91"/>
      <c r="CJ3" s="91"/>
      <c r="CK3" s="91"/>
      <c r="CL3" s="91"/>
      <c r="CM3" s="91"/>
      <c r="CN3" s="91"/>
      <c r="CO3" s="91"/>
      <c r="CP3" s="91"/>
      <c r="CQ3" s="91"/>
      <c r="CR3" s="115" t="str">
        <f>$X$3</f>
        <v>thousands</v>
      </c>
      <c r="CT3" s="91"/>
      <c r="CU3" s="91"/>
      <c r="CV3" s="91"/>
      <c r="CW3" s="91"/>
      <c r="CX3" s="91"/>
      <c r="CY3" s="91"/>
      <c r="CZ3" s="91"/>
      <c r="DA3" s="91"/>
      <c r="DB3" s="91"/>
      <c r="DC3" s="91"/>
      <c r="DD3" s="91"/>
      <c r="DE3" s="91"/>
      <c r="DF3" s="91"/>
      <c r="DG3" s="91"/>
      <c r="DH3" s="91"/>
      <c r="DI3" s="91"/>
      <c r="DJ3" s="91"/>
      <c r="DK3" s="91"/>
      <c r="DL3" s="91"/>
      <c r="DM3" s="91"/>
      <c r="DN3" s="91"/>
      <c r="DO3" s="91"/>
      <c r="DP3" s="115" t="str">
        <f>$X$3</f>
        <v>thousands</v>
      </c>
    </row>
    <row r="4" spans="1:120" x14ac:dyDescent="0.3">
      <c r="A4" s="95"/>
      <c r="B4" s="383" t="str">
        <f>name!F3</f>
        <v>All qualifications</v>
      </c>
      <c r="C4" s="383"/>
      <c r="D4" s="383"/>
      <c r="E4" s="383"/>
      <c r="F4" s="383"/>
      <c r="G4" s="102"/>
      <c r="H4" s="383" t="str">
        <f>name!F4</f>
        <v>RQF8 Doctorate</v>
      </c>
      <c r="I4" s="383"/>
      <c r="J4" s="383"/>
      <c r="K4" s="383"/>
      <c r="L4" s="383"/>
      <c r="N4" s="382" t="str">
        <f>name!F5</f>
        <v>RQF7 Other higher degree</v>
      </c>
      <c r="O4" s="382"/>
      <c r="P4" s="382"/>
      <c r="Q4" s="382"/>
      <c r="R4" s="382"/>
      <c r="S4" s="110"/>
      <c r="T4" s="382" t="str">
        <f>name!F6</f>
        <v>RQF6 First degree</v>
      </c>
      <c r="U4" s="382"/>
      <c r="V4" s="382"/>
      <c r="W4" s="382"/>
      <c r="X4" s="382"/>
      <c r="Y4" s="95"/>
      <c r="Z4" s="383" t="str">
        <f>$B$4</f>
        <v>All qualifications</v>
      </c>
      <c r="AA4" s="383"/>
      <c r="AB4" s="383"/>
      <c r="AC4" s="383"/>
      <c r="AD4" s="383"/>
      <c r="AE4" s="102"/>
      <c r="AF4" s="383" t="str">
        <f>$H$4</f>
        <v>RQF8 Doctorate</v>
      </c>
      <c r="AG4" s="383"/>
      <c r="AH4" s="383"/>
      <c r="AI4" s="383"/>
      <c r="AJ4" s="383"/>
      <c r="AL4" s="382" t="str">
        <f>$N$4</f>
        <v>RQF7 Other higher degree</v>
      </c>
      <c r="AM4" s="382"/>
      <c r="AN4" s="382"/>
      <c r="AO4" s="382"/>
      <c r="AP4" s="382"/>
      <c r="AQ4" s="110"/>
      <c r="AR4" s="382" t="str">
        <f>$T$4</f>
        <v>RQF6 First degree</v>
      </c>
      <c r="AS4" s="382"/>
      <c r="AT4" s="382"/>
      <c r="AU4" s="382"/>
      <c r="AV4" s="382"/>
      <c r="AW4" s="95"/>
      <c r="AX4" s="383" t="str">
        <f>$B$4</f>
        <v>All qualifications</v>
      </c>
      <c r="AY4" s="383"/>
      <c r="AZ4" s="383"/>
      <c r="BA4" s="383"/>
      <c r="BB4" s="383"/>
      <c r="BC4" s="102"/>
      <c r="BD4" s="383" t="str">
        <f>$H$4</f>
        <v>RQF8 Doctorate</v>
      </c>
      <c r="BE4" s="383"/>
      <c r="BF4" s="383"/>
      <c r="BG4" s="383"/>
      <c r="BH4" s="383"/>
      <c r="BJ4" s="382" t="str">
        <f>$N$4</f>
        <v>RQF7 Other higher degree</v>
      </c>
      <c r="BK4" s="382"/>
      <c r="BL4" s="382"/>
      <c r="BM4" s="382"/>
      <c r="BN4" s="382"/>
      <c r="BO4" s="110"/>
      <c r="BP4" s="382" t="str">
        <f>$T$4</f>
        <v>RQF6 First degree</v>
      </c>
      <c r="BQ4" s="382"/>
      <c r="BR4" s="382"/>
      <c r="BS4" s="382"/>
      <c r="BT4" s="382"/>
      <c r="BU4" s="95"/>
      <c r="BV4" s="383" t="str">
        <f>$B$4</f>
        <v>All qualifications</v>
      </c>
      <c r="BW4" s="383"/>
      <c r="BX4" s="383"/>
      <c r="BY4" s="383"/>
      <c r="BZ4" s="383"/>
      <c r="CA4" s="102"/>
      <c r="CB4" s="383" t="str">
        <f>$H$4</f>
        <v>RQF8 Doctorate</v>
      </c>
      <c r="CC4" s="383"/>
      <c r="CD4" s="383"/>
      <c r="CE4" s="383"/>
      <c r="CF4" s="383"/>
      <c r="CH4" s="382" t="str">
        <f>$N$4</f>
        <v>RQF7 Other higher degree</v>
      </c>
      <c r="CI4" s="382"/>
      <c r="CJ4" s="382"/>
      <c r="CK4" s="382"/>
      <c r="CL4" s="382"/>
      <c r="CM4" s="110"/>
      <c r="CN4" s="382" t="str">
        <f>$T$4</f>
        <v>RQF6 First degree</v>
      </c>
      <c r="CO4" s="382"/>
      <c r="CP4" s="382"/>
      <c r="CQ4" s="382"/>
      <c r="CR4" s="382"/>
      <c r="CS4" s="95"/>
      <c r="CT4" s="383" t="str">
        <f>$B$4</f>
        <v>All qualifications</v>
      </c>
      <c r="CU4" s="383"/>
      <c r="CV4" s="383"/>
      <c r="CW4" s="383"/>
      <c r="CX4" s="383"/>
      <c r="CY4" s="102"/>
      <c r="CZ4" s="383" t="str">
        <f>$H$4</f>
        <v>RQF8 Doctorate</v>
      </c>
      <c r="DA4" s="383"/>
      <c r="DB4" s="383"/>
      <c r="DC4" s="383"/>
      <c r="DD4" s="383"/>
      <c r="DF4" s="382" t="str">
        <f>$N$4</f>
        <v>RQF7 Other higher degree</v>
      </c>
      <c r="DG4" s="382"/>
      <c r="DH4" s="382"/>
      <c r="DI4" s="382"/>
      <c r="DJ4" s="382"/>
      <c r="DK4" s="110"/>
      <c r="DL4" s="382" t="str">
        <f>$T$4</f>
        <v>RQF6 First degree</v>
      </c>
      <c r="DM4" s="382"/>
      <c r="DN4" s="382"/>
      <c r="DO4" s="382"/>
      <c r="DP4" s="382"/>
    </row>
    <row r="6" spans="1:120" s="101" customFormat="1" ht="37.299999999999997" x14ac:dyDescent="0.3">
      <c r="A6" s="100"/>
      <c r="B6" s="105" t="s">
        <v>42</v>
      </c>
      <c r="C6" s="114" t="str">
        <f>CONCATENATE($A$100," Level")</f>
        <v>2015 Level</v>
      </c>
      <c r="D6" s="104" t="s">
        <v>40</v>
      </c>
      <c r="E6" s="114" t="s">
        <v>43</v>
      </c>
      <c r="F6" s="114" t="s">
        <v>44</v>
      </c>
      <c r="G6" s="103"/>
      <c r="H6" s="104" t="str">
        <f>B6</f>
        <v>RD p.a%</v>
      </c>
      <c r="I6" s="104" t="str">
        <f>C6</f>
        <v>2015 Level</v>
      </c>
      <c r="J6" s="104" t="str">
        <f>D6</f>
        <v>Net Change</v>
      </c>
      <c r="K6" s="104" t="str">
        <f>E6</f>
        <v>Replace-ment Demand</v>
      </c>
      <c r="L6" s="104" t="str">
        <f>F6</f>
        <v>Total Require-ment</v>
      </c>
      <c r="M6" s="103"/>
      <c r="N6" s="105" t="str">
        <f>H6</f>
        <v>RD p.a%</v>
      </c>
      <c r="O6" s="105" t="str">
        <f>I6</f>
        <v>2015 Level</v>
      </c>
      <c r="P6" s="105" t="str">
        <f>J6</f>
        <v>Net Change</v>
      </c>
      <c r="Q6" s="105" t="str">
        <f>K6</f>
        <v>Replace-ment Demand</v>
      </c>
      <c r="R6" s="105" t="str">
        <f>L6</f>
        <v>Total Require-ment</v>
      </c>
      <c r="S6" s="103"/>
      <c r="T6" s="105" t="str">
        <f>N6</f>
        <v>RD p.a%</v>
      </c>
      <c r="U6" s="105" t="str">
        <f>O6</f>
        <v>2015 Level</v>
      </c>
      <c r="V6" s="105" t="str">
        <f>P6</f>
        <v>Net Change</v>
      </c>
      <c r="W6" s="105" t="str">
        <f>Q6</f>
        <v>Replace-ment Demand</v>
      </c>
      <c r="X6" s="105" t="str">
        <f>R6</f>
        <v>Total Require-ment</v>
      </c>
      <c r="Y6" s="100"/>
      <c r="Z6" s="105" t="s">
        <v>42</v>
      </c>
      <c r="AA6" s="114" t="str">
        <f>CONCATENATE($A$100," Level")</f>
        <v>2015 Level</v>
      </c>
      <c r="AB6" s="104" t="s">
        <v>40</v>
      </c>
      <c r="AC6" s="114" t="s">
        <v>43</v>
      </c>
      <c r="AD6" s="114" t="s">
        <v>44</v>
      </c>
      <c r="AE6" s="103"/>
      <c r="AF6" s="104" t="str">
        <f>Z6</f>
        <v>RD p.a%</v>
      </c>
      <c r="AG6" s="104" t="str">
        <f>AA6</f>
        <v>2015 Level</v>
      </c>
      <c r="AH6" s="104" t="str">
        <f>AB6</f>
        <v>Net Change</v>
      </c>
      <c r="AI6" s="104" t="str">
        <f>AC6</f>
        <v>Replace-ment Demand</v>
      </c>
      <c r="AJ6" s="104" t="str">
        <f>AD6</f>
        <v>Total Require-ment</v>
      </c>
      <c r="AK6" s="103"/>
      <c r="AL6" s="105" t="str">
        <f>AF6</f>
        <v>RD p.a%</v>
      </c>
      <c r="AM6" s="105" t="str">
        <f>AG6</f>
        <v>2015 Level</v>
      </c>
      <c r="AN6" s="105" t="str">
        <f>AH6</f>
        <v>Net Change</v>
      </c>
      <c r="AO6" s="105" t="str">
        <f>AI6</f>
        <v>Replace-ment Demand</v>
      </c>
      <c r="AP6" s="105" t="str">
        <f>AJ6</f>
        <v>Total Require-ment</v>
      </c>
      <c r="AQ6" s="103"/>
      <c r="AR6" s="105" t="str">
        <f>AL6</f>
        <v>RD p.a%</v>
      </c>
      <c r="AS6" s="105" t="str">
        <f>AM6</f>
        <v>2015 Level</v>
      </c>
      <c r="AT6" s="105" t="str">
        <f>AN6</f>
        <v>Net Change</v>
      </c>
      <c r="AU6" s="105" t="str">
        <f>AO6</f>
        <v>Replace-ment Demand</v>
      </c>
      <c r="AV6" s="105" t="str">
        <f>AP6</f>
        <v>Total Require-ment</v>
      </c>
      <c r="AW6" s="100"/>
      <c r="AX6" s="105" t="s">
        <v>42</v>
      </c>
      <c r="AY6" s="114" t="str">
        <f>CONCATENATE($A$100," Level")</f>
        <v>2015 Level</v>
      </c>
      <c r="AZ6" s="104" t="s">
        <v>40</v>
      </c>
      <c r="BA6" s="114" t="s">
        <v>43</v>
      </c>
      <c r="BB6" s="114" t="s">
        <v>44</v>
      </c>
      <c r="BC6" s="103"/>
      <c r="BD6" s="104" t="str">
        <f>AX6</f>
        <v>RD p.a%</v>
      </c>
      <c r="BE6" s="104" t="str">
        <f>AY6</f>
        <v>2015 Level</v>
      </c>
      <c r="BF6" s="104" t="str">
        <f>AZ6</f>
        <v>Net Change</v>
      </c>
      <c r="BG6" s="104" t="str">
        <f>BA6</f>
        <v>Replace-ment Demand</v>
      </c>
      <c r="BH6" s="104" t="str">
        <f>BB6</f>
        <v>Total Require-ment</v>
      </c>
      <c r="BI6" s="103"/>
      <c r="BJ6" s="105" t="str">
        <f>BD6</f>
        <v>RD p.a%</v>
      </c>
      <c r="BK6" s="105" t="str">
        <f>BE6</f>
        <v>2015 Level</v>
      </c>
      <c r="BL6" s="105" t="str">
        <f>BF6</f>
        <v>Net Change</v>
      </c>
      <c r="BM6" s="105" t="str">
        <f>BG6</f>
        <v>Replace-ment Demand</v>
      </c>
      <c r="BN6" s="105" t="str">
        <f>BH6</f>
        <v>Total Require-ment</v>
      </c>
      <c r="BO6" s="103"/>
      <c r="BP6" s="105" t="str">
        <f>BJ6</f>
        <v>RD p.a%</v>
      </c>
      <c r="BQ6" s="105" t="str">
        <f>BK6</f>
        <v>2015 Level</v>
      </c>
      <c r="BR6" s="105" t="str">
        <f>BL6</f>
        <v>Net Change</v>
      </c>
      <c r="BS6" s="105" t="str">
        <f>BM6</f>
        <v>Replace-ment Demand</v>
      </c>
      <c r="BT6" s="105" t="str">
        <f>BN6</f>
        <v>Total Require-ment</v>
      </c>
      <c r="BU6" s="100"/>
      <c r="BV6" s="105" t="s">
        <v>42</v>
      </c>
      <c r="BW6" s="114" t="str">
        <f>CONCATENATE($A$100," Level")</f>
        <v>2015 Level</v>
      </c>
      <c r="BX6" s="104" t="s">
        <v>40</v>
      </c>
      <c r="BY6" s="114" t="s">
        <v>43</v>
      </c>
      <c r="BZ6" s="114" t="s">
        <v>44</v>
      </c>
      <c r="CA6" s="103"/>
      <c r="CB6" s="104" t="str">
        <f>BV6</f>
        <v>RD p.a%</v>
      </c>
      <c r="CC6" s="104" t="str">
        <f>BW6</f>
        <v>2015 Level</v>
      </c>
      <c r="CD6" s="104" t="str">
        <f>BX6</f>
        <v>Net Change</v>
      </c>
      <c r="CE6" s="104" t="str">
        <f>BY6</f>
        <v>Replace-ment Demand</v>
      </c>
      <c r="CF6" s="104" t="str">
        <f>BZ6</f>
        <v>Total Require-ment</v>
      </c>
      <c r="CG6" s="103"/>
      <c r="CH6" s="105" t="str">
        <f>CB6</f>
        <v>RD p.a%</v>
      </c>
      <c r="CI6" s="105" t="str">
        <f>CC6</f>
        <v>2015 Level</v>
      </c>
      <c r="CJ6" s="105" t="str">
        <f>CD6</f>
        <v>Net Change</v>
      </c>
      <c r="CK6" s="105" t="str">
        <f>CE6</f>
        <v>Replace-ment Demand</v>
      </c>
      <c r="CL6" s="105" t="str">
        <f>CF6</f>
        <v>Total Require-ment</v>
      </c>
      <c r="CM6" s="103"/>
      <c r="CN6" s="105" t="str">
        <f>CH6</f>
        <v>RD p.a%</v>
      </c>
      <c r="CO6" s="105" t="str">
        <f>CI6</f>
        <v>2015 Level</v>
      </c>
      <c r="CP6" s="105" t="str">
        <f>CJ6</f>
        <v>Net Change</v>
      </c>
      <c r="CQ6" s="105" t="str">
        <f>CK6</f>
        <v>Replace-ment Demand</v>
      </c>
      <c r="CR6" s="105" t="str">
        <f>CL6</f>
        <v>Total Require-ment</v>
      </c>
      <c r="CS6" s="100"/>
      <c r="CT6" s="105" t="s">
        <v>42</v>
      </c>
      <c r="CU6" s="114" t="str">
        <f>CONCATENATE($A$100," Level")</f>
        <v>2015 Level</v>
      </c>
      <c r="CV6" s="104" t="s">
        <v>40</v>
      </c>
      <c r="CW6" s="114" t="s">
        <v>43</v>
      </c>
      <c r="CX6" s="114" t="s">
        <v>44</v>
      </c>
      <c r="CY6" s="103"/>
      <c r="CZ6" s="104" t="str">
        <f>CT6</f>
        <v>RD p.a%</v>
      </c>
      <c r="DA6" s="104" t="str">
        <f>CU6</f>
        <v>2015 Level</v>
      </c>
      <c r="DB6" s="104" t="str">
        <f>CV6</f>
        <v>Net Change</v>
      </c>
      <c r="DC6" s="104" t="str">
        <f>CW6</f>
        <v>Replace-ment Demand</v>
      </c>
      <c r="DD6" s="104" t="str">
        <f>CX6</f>
        <v>Total Require-ment</v>
      </c>
      <c r="DE6" s="103"/>
      <c r="DF6" s="105" t="str">
        <f>CZ6</f>
        <v>RD p.a%</v>
      </c>
      <c r="DG6" s="105" t="str">
        <f>DA6</f>
        <v>2015 Level</v>
      </c>
      <c r="DH6" s="105" t="str">
        <f>DB6</f>
        <v>Net Change</v>
      </c>
      <c r="DI6" s="105" t="str">
        <f>DC6</f>
        <v>Replace-ment Demand</v>
      </c>
      <c r="DJ6" s="105" t="str">
        <f>DD6</f>
        <v>Total Require-ment</v>
      </c>
      <c r="DK6" s="103"/>
      <c r="DL6" s="105" t="str">
        <f>DF6</f>
        <v>RD p.a%</v>
      </c>
      <c r="DM6" s="105" t="str">
        <f>DG6</f>
        <v>2015 Level</v>
      </c>
      <c r="DN6" s="105" t="str">
        <f>DH6</f>
        <v>Net Change</v>
      </c>
      <c r="DO6" s="105" t="str">
        <f>DI6</f>
        <v>Replace-ment Demand</v>
      </c>
      <c r="DP6" s="105" t="str">
        <f>DJ6</f>
        <v>Total Require-ment</v>
      </c>
    </row>
    <row r="8" spans="1:120" x14ac:dyDescent="0.3">
      <c r="A8" s="90" t="str">
        <f>name!B4</f>
        <v>Agriculture</v>
      </c>
      <c r="B8" s="39">
        <f>IF(C8&gt;0,((1+(E8/C8))^(1/($A$101-$A$100))-1)*100,0)</f>
        <v>3.6286528043839583</v>
      </c>
      <c r="C8" s="11">
        <v>55.936999999999848</v>
      </c>
      <c r="D8" s="93">
        <v>-6.9799999999999773</v>
      </c>
      <c r="E8" s="93">
        <v>23.953969842292668</v>
      </c>
      <c r="F8" s="93">
        <f>SUM(D8:E8)</f>
        <v>16.973969842292689</v>
      </c>
      <c r="G8" s="93"/>
      <c r="H8" s="39">
        <f>IF(I8&gt;0,((1+(K8/I8))^(1/($A$101-$A$100))-1)*100,0)</f>
        <v>3.5263839839017708</v>
      </c>
      <c r="I8" s="93">
        <v>17.246149343314809</v>
      </c>
      <c r="J8" s="93">
        <v>-6.8895887133768028</v>
      </c>
      <c r="K8" s="93">
        <v>7.1433335785126539</v>
      </c>
      <c r="L8" s="93">
        <f>SUM(J8:K8)</f>
        <v>0.25374486513585115</v>
      </c>
      <c r="N8" s="39">
        <f>IF(O8&gt;0,((1+(Q8/O8))^(1/($A$101-$A$100))-1)*100,0)</f>
        <v>3.688575763403712</v>
      </c>
      <c r="O8" s="93">
        <v>26.89476620234856</v>
      </c>
      <c r="P8" s="93">
        <v>-1.7755328024279793</v>
      </c>
      <c r="Q8" s="93">
        <v>11.739873371498375</v>
      </c>
      <c r="R8" s="93">
        <f>SUM(P8:Q8)</f>
        <v>9.9643405690703943</v>
      </c>
      <c r="S8" s="106"/>
      <c r="T8" s="39">
        <f>IF(U8&gt;0,((1+(W8/U8))^(1/($A$101-$A$100))-1)*100,0)</f>
        <v>3.6405249613346236</v>
      </c>
      <c r="U8" s="93">
        <v>11.79608445433648</v>
      </c>
      <c r="V8" s="93">
        <v>1.6851215158048036</v>
      </c>
      <c r="W8" s="93">
        <v>5.0707628922816417</v>
      </c>
      <c r="X8" s="93">
        <f>SUM(V8:W8)</f>
        <v>6.7558844080864455</v>
      </c>
      <c r="Y8" s="90" t="str">
        <f t="shared" ref="Y8:Y48" si="0">A8</f>
        <v>Agriculture</v>
      </c>
      <c r="Z8" s="39">
        <f>IF(AA8&gt;0,((1+(AC8/AA8))^(1/($A$101-$A$100))-1)*100,0)</f>
        <v>3.2278133961415545</v>
      </c>
      <c r="AA8" s="11">
        <v>4.3826960714462242</v>
      </c>
      <c r="AB8" s="93">
        <v>3.8928451595904385</v>
      </c>
      <c r="AC8" s="93">
        <v>1.6388586204918438</v>
      </c>
      <c r="AD8" s="93">
        <f>SUM(AB8:AC8)</f>
        <v>5.5317037800822826</v>
      </c>
      <c r="AE8" s="93"/>
      <c r="AF8" s="39">
        <f>IF(AG8&gt;0,((1+(AI8/AG8))^(1/($A$101-$A$100))-1)*100,0)</f>
        <v>3.7281488295962228</v>
      </c>
      <c r="AG8" s="93">
        <v>0.36786575366769064</v>
      </c>
      <c r="AH8" s="93">
        <v>0.72586367094203585</v>
      </c>
      <c r="AI8" s="93">
        <v>0.16259790102888269</v>
      </c>
      <c r="AJ8" s="93">
        <f>SUM(AH8:AI8)</f>
        <v>0.88846157197091857</v>
      </c>
      <c r="AL8" s="39">
        <f>IF(AM8&gt;0,((1+(AO8/AM8))^(1/($A$101-$A$100))-1)*100,0)</f>
        <v>3.4098436752145078</v>
      </c>
      <c r="AM8" s="93">
        <v>1.6324139933768864</v>
      </c>
      <c r="AN8" s="93">
        <v>2.2923856880061342</v>
      </c>
      <c r="AO8" s="93">
        <v>0.65028751093123516</v>
      </c>
      <c r="AP8" s="93">
        <f>SUM(AN8:AO8)</f>
        <v>2.9426731989373693</v>
      </c>
      <c r="AQ8" s="106"/>
      <c r="AR8" s="39">
        <f>IF(AS8&gt;0,((1+(AU8/AS8))^(1/($A$101-$A$100))-1)*100,0)</f>
        <v>3.0212804601292831</v>
      </c>
      <c r="AS8" s="93">
        <v>2.382416324401647</v>
      </c>
      <c r="AT8" s="93">
        <v>0.87459580064226849</v>
      </c>
      <c r="AU8" s="93">
        <v>0.82597320853172596</v>
      </c>
      <c r="AV8" s="93">
        <f>SUM(AT8:AU8)</f>
        <v>1.7005690091739945</v>
      </c>
      <c r="AW8" s="90" t="str">
        <f>Y8</f>
        <v>Agriculture</v>
      </c>
      <c r="AX8" s="39">
        <f>IF(AY8&gt;0,((1+(BA8/AY8))^(1/($A$101-$A$100))-1)*100,0)</f>
        <v>2.6560490695816119</v>
      </c>
      <c r="AY8" s="11">
        <v>1.9992749386487922</v>
      </c>
      <c r="AZ8" s="93">
        <v>0.50024802314102146</v>
      </c>
      <c r="BA8" s="93">
        <v>0.59919667769333007</v>
      </c>
      <c r="BB8" s="93">
        <f>SUM(AZ8:BA8)</f>
        <v>1.0994447008343515</v>
      </c>
      <c r="BC8" s="93"/>
      <c r="BD8" s="39">
        <f>IF(BE8&gt;0,((1+(BG8/BE8))^(1/($A$101-$A$100))-1)*100,0)</f>
        <v>2.5886964610706498</v>
      </c>
      <c r="BE8" s="93">
        <v>0.35374225719986674</v>
      </c>
      <c r="BF8" s="93">
        <v>0.49967527486298247</v>
      </c>
      <c r="BG8" s="93">
        <v>0.1030114256045692</v>
      </c>
      <c r="BH8" s="93">
        <f>SUM(BF8:BG8)</f>
        <v>0.60268670046755168</v>
      </c>
      <c r="BJ8" s="39">
        <f>IF(BK8&gt;0,((1+(BM8/BK8))^(1/($A$101-$A$100))-1)*100,0)</f>
        <v>2.6156756899814892</v>
      </c>
      <c r="BK8" s="93">
        <v>0.79083739900797367</v>
      </c>
      <c r="BL8" s="93">
        <v>8.9741026511377109E-2</v>
      </c>
      <c r="BM8" s="93">
        <v>0.2329842080987119</v>
      </c>
      <c r="BN8" s="93">
        <f>SUM(BL8:BM8)</f>
        <v>0.32272523461008901</v>
      </c>
      <c r="BO8" s="106"/>
      <c r="BP8" s="39">
        <f>IF(BQ8&gt;0,((1+(BS8/BQ8))^(1/($A$101-$A$100))-1)*100,0)</f>
        <v>2.7209488084197098</v>
      </c>
      <c r="BQ8" s="93">
        <v>0.85469528244095183</v>
      </c>
      <c r="BR8" s="93">
        <v>-8.91682782333382E-2</v>
      </c>
      <c r="BS8" s="93">
        <v>0.26320104399004901</v>
      </c>
      <c r="BT8" s="93">
        <f>SUM(BR8:BS8)</f>
        <v>0.17403276575671081</v>
      </c>
      <c r="BU8" s="90" t="str">
        <f>AW8</f>
        <v>Agriculture</v>
      </c>
      <c r="BV8" s="39">
        <f>IF(BW8&gt;0,((1+(BY8/BW8))^(1/($A$101-$A$100))-1)*100,0)</f>
        <v>4.0147443282656514</v>
      </c>
      <c r="BW8" s="11">
        <v>39.351032099647234</v>
      </c>
      <c r="BX8" s="93">
        <v>-10.192568070379561</v>
      </c>
      <c r="BY8" s="93">
        <v>18.980742173027217</v>
      </c>
      <c r="BZ8" s="93">
        <f>SUM(BX8:BY8)</f>
        <v>8.7881741026476554</v>
      </c>
      <c r="CA8" s="93"/>
      <c r="CB8" s="39">
        <f>IF(CC8&gt;0,((1+(CE8/CC8))^(1/($A$101-$A$100))-1)*100,0)</f>
        <v>3.9264502862225381</v>
      </c>
      <c r="CC8" s="93">
        <v>12.261822191887621</v>
      </c>
      <c r="CD8" s="93">
        <v>-6.5032966118226403</v>
      </c>
      <c r="CE8" s="93">
        <v>5.7607158890505197</v>
      </c>
      <c r="CF8" s="93">
        <f>SUM(CD8:CE8)</f>
        <v>-0.74258072277212062</v>
      </c>
      <c r="CH8" s="39">
        <f>IF(CI8&gt;0,((1+(CK8/CI8))^(1/($A$101-$A$100))-1)*100,0)</f>
        <v>3.9924360846625317</v>
      </c>
      <c r="CI8" s="93">
        <v>20.383214444648981</v>
      </c>
      <c r="CJ8" s="93">
        <v>-4.2877513599355161</v>
      </c>
      <c r="CK8" s="93">
        <v>9.7669852444241734</v>
      </c>
      <c r="CL8" s="93">
        <f>SUM(CJ8:CK8)</f>
        <v>5.4792338844886572</v>
      </c>
      <c r="CM8" s="106"/>
      <c r="CN8" s="39">
        <f>IF(CO8&gt;0,((1+(CQ8/CO8))^(1/($A$101-$A$100))-1)*100,0)</f>
        <v>4.2410858263209894</v>
      </c>
      <c r="CO8" s="93">
        <v>6.7059954631106375</v>
      </c>
      <c r="CP8" s="93">
        <v>0.59847990137859675</v>
      </c>
      <c r="CQ8" s="93">
        <v>3.4530410395525251</v>
      </c>
      <c r="CR8" s="93">
        <f>SUM(CP8:CQ8)</f>
        <v>4.0515209409311215</v>
      </c>
      <c r="CS8" s="90" t="str">
        <f>BU8</f>
        <v>Agriculture</v>
      </c>
      <c r="CT8" s="39">
        <f>IF(CU8&gt;0,((1+(CW8/CU8))^(1/($A$101-$A$100))-1)*100,0)</f>
        <v>2.4032187492160517</v>
      </c>
      <c r="CU8" s="11">
        <v>10.203996890257596</v>
      </c>
      <c r="CV8" s="93">
        <v>-1.1805251123518785</v>
      </c>
      <c r="CW8" s="93">
        <v>2.7351723710802771</v>
      </c>
      <c r="CX8" s="93">
        <f>SUM(CV8:CW8)</f>
        <v>1.5546472587283986</v>
      </c>
      <c r="CY8" s="93"/>
      <c r="CZ8" s="39">
        <f>IF(DA8&gt;0,((1+(DC8/DA8))^(1/($A$101-$A$100))-1)*100,0)</f>
        <v>2.3545977595102796</v>
      </c>
      <c r="DA8" s="93">
        <v>4.2627191405596321</v>
      </c>
      <c r="DB8" s="93">
        <v>-1.6118310473591806</v>
      </c>
      <c r="DC8" s="93">
        <v>1.1170083628286818</v>
      </c>
      <c r="DD8" s="93">
        <f>SUM(DB8:DC8)</f>
        <v>-0.49482268453049882</v>
      </c>
      <c r="DF8" s="39">
        <f>IF(DG8&gt;0,((1+(DI8/DG8))^(1/($A$101-$A$100))-1)*100,0)</f>
        <v>2.3908685473913449</v>
      </c>
      <c r="DG8" s="93">
        <v>4.088300365314721</v>
      </c>
      <c r="DH8" s="93">
        <v>0.13009184299002535</v>
      </c>
      <c r="DI8" s="93">
        <v>1.0896164080442534</v>
      </c>
      <c r="DJ8" s="93">
        <f>SUM(DH8:DI8)</f>
        <v>1.2197082510342787</v>
      </c>
      <c r="DK8" s="106"/>
      <c r="DL8" s="39">
        <f>IF(DM8&gt;0,((1+(DO8/DM8))^(1/($A$101-$A$100))-1)*100,0)</f>
        <v>2.5412252196502561</v>
      </c>
      <c r="DM8" s="93">
        <v>1.8529773843832451</v>
      </c>
      <c r="DN8" s="93">
        <v>0.30121409201727667</v>
      </c>
      <c r="DO8" s="93">
        <v>0.52854760020734193</v>
      </c>
      <c r="DP8" s="93">
        <f>SUM(DN8:DO8)</f>
        <v>0.8297616922246186</v>
      </c>
    </row>
    <row r="9" spans="1:120" x14ac:dyDescent="0.3">
      <c r="A9" s="90" t="str">
        <f>name!B5</f>
        <v>Mining and quarrying</v>
      </c>
      <c r="B9" s="39">
        <f t="shared" ref="B9:B50" si="1">IF(C9&gt;0,((1+(E9/C9))^(1/($A$101-$A$100))-1)*100,0)</f>
        <v>2.5879456250919697</v>
      </c>
      <c r="C9" s="11">
        <v>2.8879999999999906</v>
      </c>
      <c r="D9" s="93">
        <v>0.31300000000000278</v>
      </c>
      <c r="E9" s="93">
        <v>0.84072640567762824</v>
      </c>
      <c r="F9" s="93">
        <f t="shared" ref="F9:F50" si="2">SUM(D9:E9)</f>
        <v>1.1537264056776311</v>
      </c>
      <c r="G9" s="93"/>
      <c r="H9" s="39">
        <f t="shared" ref="H9:H50" si="3">IF(I9&gt;0,((1+(K9/I9))^(1/($A$101-$A$100))-1)*100,0)</f>
        <v>2.4436532378282472</v>
      </c>
      <c r="I9" s="93">
        <v>0.56134327419487429</v>
      </c>
      <c r="J9" s="93">
        <v>-0.21770904065899815</v>
      </c>
      <c r="K9" s="93">
        <v>0.15328319439040927</v>
      </c>
      <c r="L9" s="93">
        <f t="shared" ref="L9:L48" si="4">SUM(J9:K9)</f>
        <v>-6.4425846268588882E-2</v>
      </c>
      <c r="N9" s="39">
        <f t="shared" ref="N9:N50" si="5">IF(O9&gt;0,((1+(Q9/O9))^(1/($A$101-$A$100))-1)*100,0)</f>
        <v>2.5068914334568815</v>
      </c>
      <c r="O9" s="93">
        <v>1.5400906331410087</v>
      </c>
      <c r="P9" s="93">
        <v>0.28375808682996728</v>
      </c>
      <c r="Q9" s="93">
        <v>0.43268145633424426</v>
      </c>
      <c r="R9" s="93">
        <f t="shared" ref="R9:R48" si="6">SUM(P9:Q9)</f>
        <v>0.71643954316421155</v>
      </c>
      <c r="S9" s="106"/>
      <c r="T9" s="39">
        <f t="shared" ref="T9:T50" si="7">IF(U9&gt;0,((1+(W9/U9))^(1/($A$101-$A$100))-1)*100,0)</f>
        <v>2.8454839589988623</v>
      </c>
      <c r="U9" s="93">
        <v>0.78656609266410804</v>
      </c>
      <c r="V9" s="93">
        <v>0.24695095382903356</v>
      </c>
      <c r="W9" s="93">
        <v>0.25476175495297482</v>
      </c>
      <c r="X9" s="93">
        <f t="shared" ref="X9:X48" si="8">SUM(V9:W9)</f>
        <v>0.50171270878200835</v>
      </c>
      <c r="Y9" s="90" t="str">
        <f t="shared" si="0"/>
        <v>Mining and quarrying</v>
      </c>
      <c r="Z9" s="39">
        <f t="shared" ref="Z9:Z48" si="9">IF(AA9&gt;0,((1+(AC9/AA9))^(1/($A$101-$A$100))-1)*100,0)</f>
        <v>2.8484964339744012</v>
      </c>
      <c r="AA9" s="11">
        <v>0.91916274125036446</v>
      </c>
      <c r="AB9" s="93">
        <v>0.31532613098932155</v>
      </c>
      <c r="AC9" s="93">
        <v>0.29806511305958167</v>
      </c>
      <c r="AD9" s="93">
        <f t="shared" ref="AD9:AD48" si="10">SUM(AB9:AC9)</f>
        <v>0.61339124404890322</v>
      </c>
      <c r="AE9" s="93"/>
      <c r="AF9" s="39">
        <f t="shared" ref="AF9:AF48" si="11">IF(AG9&gt;0,((1+(AI9/AG9))^(1/($A$101-$A$100))-1)*100,0)</f>
        <v>2.5647482470575023</v>
      </c>
      <c r="AG9" s="93">
        <v>6.0971942881735838E-2</v>
      </c>
      <c r="AH9" s="93">
        <v>-2.5168577316816716E-2</v>
      </c>
      <c r="AI9" s="93">
        <v>1.7571732105538661E-2</v>
      </c>
      <c r="AJ9" s="93">
        <f t="shared" ref="AJ9:AJ48" si="12">SUM(AH9:AI9)</f>
        <v>-7.5968452112780555E-3</v>
      </c>
      <c r="AL9" s="39">
        <f t="shared" ref="AL9:AL48" si="13">IF(AM9&gt;0,((1+(AO9/AM9))^(1/($A$101-$A$100))-1)*100,0)</f>
        <v>2.6969613560046124</v>
      </c>
      <c r="AM9" s="93">
        <v>0.23935227172586462</v>
      </c>
      <c r="AN9" s="93">
        <v>0.14142536362746669</v>
      </c>
      <c r="AO9" s="93">
        <v>7.2977576857019638E-2</v>
      </c>
      <c r="AP9" s="93">
        <f t="shared" ref="AP9:AP48" si="14">SUM(AN9:AO9)</f>
        <v>0.21440294048448633</v>
      </c>
      <c r="AQ9" s="106"/>
      <c r="AR9" s="39">
        <f t="shared" ref="AR9:AR48" si="15">IF(AS9&gt;0,((1+(AU9/AS9))^(1/($A$101-$A$100))-1)*100,0)</f>
        <v>2.9340110632854799</v>
      </c>
      <c r="AS9" s="93">
        <v>0.61883852664276406</v>
      </c>
      <c r="AT9" s="93">
        <v>0.19906934467867154</v>
      </c>
      <c r="AU9" s="93">
        <v>0.20751580409702336</v>
      </c>
      <c r="AV9" s="93">
        <f t="shared" ref="AV9:AV48" si="16">SUM(AT9:AU9)</f>
        <v>0.4065851487756949</v>
      </c>
      <c r="AW9" s="90" t="str">
        <f t="shared" ref="AW9:AW48" si="17">Y9</f>
        <v>Mining and quarrying</v>
      </c>
      <c r="AX9" s="39">
        <f t="shared" ref="AX9:AX48" si="18">IF(AY9&gt;0,((1+(BA9/AY9))^(1/($A$101-$A$100))-1)*100,0)</f>
        <v>2.6726206587082579</v>
      </c>
      <c r="AY9" s="11">
        <v>0.3067194252346826</v>
      </c>
      <c r="AZ9" s="93">
        <v>6.8760264538259452E-2</v>
      </c>
      <c r="BA9" s="93">
        <v>9.2569950318502167E-2</v>
      </c>
      <c r="BB9" s="93">
        <f t="shared" ref="BB9:BB48" si="19">SUM(AZ9:BA9)</f>
        <v>0.16133021485676163</v>
      </c>
      <c r="BC9" s="93"/>
      <c r="BD9" s="39">
        <f t="shared" ref="BD9:BD48" si="20">IF(BE9&gt;0,((1+(BG9/BE9))^(1/($A$101-$A$100))-1)*100,0)</f>
        <v>2.5499994113037161</v>
      </c>
      <c r="BE9" s="93">
        <v>4.8330458353493297E-2</v>
      </c>
      <c r="BF9" s="93">
        <v>1.4245064889474328E-2</v>
      </c>
      <c r="BG9" s="93">
        <v>1.3839064758290531E-2</v>
      </c>
      <c r="BH9" s="93">
        <f t="shared" ref="BH9:BH48" si="21">SUM(BF9:BG9)</f>
        <v>2.8084129647764858E-2</v>
      </c>
      <c r="BJ9" s="39">
        <f t="shared" ref="BJ9:BJ48" si="22">IF(BK9&gt;0,((1+(BM9/BK9))^(1/($A$101-$A$100))-1)*100,0)</f>
        <v>2.6327433470687112</v>
      </c>
      <c r="BK9" s="93">
        <v>0.1678509941154788</v>
      </c>
      <c r="BL9" s="93">
        <v>9.5539598382306211E-3</v>
      </c>
      <c r="BM9" s="93">
        <v>4.9811346068916303E-2</v>
      </c>
      <c r="BN9" s="93">
        <f t="shared" ref="BN9:BN48" si="23">SUM(BL9:BM9)</f>
        <v>5.936530590714692E-2</v>
      </c>
      <c r="BO9" s="106"/>
      <c r="BP9" s="39">
        <f t="shared" ref="BP9:BP48" si="24">IF(BQ9&gt;0,((1+(BS9/BQ9))^(1/($A$101-$A$100))-1)*100,0)</f>
        <v>2.8106890888395686</v>
      </c>
      <c r="BQ9" s="93">
        <v>9.0537972765710545E-2</v>
      </c>
      <c r="BR9" s="93">
        <v>4.4961239810554506E-2</v>
      </c>
      <c r="BS9" s="93">
        <v>2.8919539491295328E-2</v>
      </c>
      <c r="BT9" s="93">
        <f t="shared" ref="BT9:BT48" si="25">SUM(BR9:BS9)</f>
        <v>7.388077930184983E-2</v>
      </c>
      <c r="BU9" s="90" t="str">
        <f t="shared" ref="BU9:BU48" si="26">AW9</f>
        <v>Mining and quarrying</v>
      </c>
      <c r="BV9" s="39">
        <f t="shared" ref="BV9:BV48" si="27">IF(BW9&gt;0,((1+(BY9/BW9))^(1/($A$101-$A$100))-1)*100,0)</f>
        <v>2.4107447061383347</v>
      </c>
      <c r="BW9" s="11">
        <v>1.5632668821604008</v>
      </c>
      <c r="BX9" s="93">
        <v>-0.15103332096346828</v>
      </c>
      <c r="BY9" s="93">
        <v>0.42048964990866566</v>
      </c>
      <c r="BZ9" s="93">
        <f t="shared" ref="BZ9:BZ48" si="28">SUM(BX9:BY9)</f>
        <v>0.26945632894519739</v>
      </c>
      <c r="CA9" s="93"/>
      <c r="CB9" s="39">
        <f t="shared" ref="CB9:CB48" si="29">IF(CC9&gt;0,((1+(CE9/CC9))^(1/($A$101-$A$100))-1)*100,0)</f>
        <v>2.407525741530181</v>
      </c>
      <c r="CC9" s="93">
        <v>0.42499848743780899</v>
      </c>
      <c r="CD9" s="93">
        <v>-0.17974314270981959</v>
      </c>
      <c r="CE9" s="93">
        <v>0.11414717753563779</v>
      </c>
      <c r="CF9" s="93">
        <f t="shared" ref="CF9:CF48" si="30">SUM(CD9:CE9)</f>
        <v>-6.55959651741818E-2</v>
      </c>
      <c r="CH9" s="39">
        <f t="shared" ref="CH9:CH48" si="31">IF(CI9&gt;0,((1+(CK9/CI9))^(1/($A$101-$A$100))-1)*100,0)</f>
        <v>2.4305453687403666</v>
      </c>
      <c r="CI9" s="93">
        <v>1.0610788014669583</v>
      </c>
      <c r="CJ9" s="93">
        <v>2.578945240654381E-2</v>
      </c>
      <c r="CK9" s="93">
        <v>0.28801606100837185</v>
      </c>
      <c r="CL9" s="93">
        <f t="shared" ref="CL9:CL48" si="32">SUM(CJ9:CK9)</f>
        <v>0.31380551341491564</v>
      </c>
      <c r="CM9" s="106"/>
      <c r="CN9" s="39">
        <f t="shared" ref="CN9:CN48" si="33">IF(CO9&gt;0,((1+(CQ9/CO9))^(1/($A$101-$A$100))-1)*100,0)</f>
        <v>2.1531444581060377</v>
      </c>
      <c r="CO9" s="93">
        <v>7.7189593255633515E-2</v>
      </c>
      <c r="CP9" s="93">
        <v>2.9203693398075089E-3</v>
      </c>
      <c r="CQ9" s="93">
        <v>1.8326411364656129E-2</v>
      </c>
      <c r="CR9" s="93">
        <f t="shared" ref="CR9:CR48" si="34">SUM(CP9:CQ9)</f>
        <v>2.1246780704463637E-2</v>
      </c>
      <c r="CS9" s="90" t="str">
        <f t="shared" ref="CS9:CS48" si="35">BU9</f>
        <v>Mining and quarrying</v>
      </c>
      <c r="CT9" s="39">
        <f t="shared" ref="CT9:CT48" si="36">IF(CU9&gt;0,((1+(CW9/CU9))^(1/($A$101-$A$100))-1)*100,0)</f>
        <v>2.6540810004833215</v>
      </c>
      <c r="CU9" s="11">
        <v>9.8850951354543179E-2</v>
      </c>
      <c r="CV9" s="93">
        <v>7.9946925435890021E-2</v>
      </c>
      <c r="CW9" s="93">
        <v>2.9601692390878832E-2</v>
      </c>
      <c r="CX9" s="93">
        <f t="shared" ref="CX9:CX48" si="37">SUM(CV9:CW9)</f>
        <v>0.10954861782676885</v>
      </c>
      <c r="CY9" s="93"/>
      <c r="CZ9" s="39">
        <f t="shared" ref="CZ9:CZ48" si="38">IF(DA9&gt;0,((1+(DC9/DA9))^(1/($A$101-$A$100))-1)*100,0)</f>
        <v>2.5446431599745356</v>
      </c>
      <c r="DA9" s="93">
        <v>2.7042385521836187E-2</v>
      </c>
      <c r="DB9" s="93">
        <v>-2.7042385521836187E-2</v>
      </c>
      <c r="DC9" s="93">
        <v>7.7252199909423136E-3</v>
      </c>
      <c r="DD9" s="93">
        <f t="shared" ref="DD9:DD48" si="39">SUM(DB9:DC9)</f>
        <v>-1.9317165530893875E-2</v>
      </c>
      <c r="DF9" s="39">
        <f t="shared" ref="DF9:DF48" si="40">IF(DG9&gt;0,((1+(DI9/DG9))^(1/($A$101-$A$100))-1)*100,0)</f>
        <v>2.695023478374603</v>
      </c>
      <c r="DG9" s="93">
        <v>7.1808565832706991E-2</v>
      </c>
      <c r="DH9" s="93">
        <v>0.10698931095772621</v>
      </c>
      <c r="DI9" s="93">
        <v>2.1876472399936519E-2</v>
      </c>
      <c r="DJ9" s="93">
        <f t="shared" ref="DJ9:DJ48" si="41">SUM(DH9:DI9)</f>
        <v>0.12886578335766272</v>
      </c>
      <c r="DK9" s="106"/>
      <c r="DL9" s="39">
        <f t="shared" ref="DL9:DL48" si="42">IF(DM9&gt;0,((1+(DO9/DM9))^(1/($A$101-$A$100))-1)*100,0)</f>
        <v>0</v>
      </c>
      <c r="DM9" s="93">
        <v>0</v>
      </c>
      <c r="DN9" s="93">
        <v>0</v>
      </c>
      <c r="DO9" s="93">
        <v>0</v>
      </c>
      <c r="DP9" s="93">
        <f t="shared" ref="DP9:DP48" si="43">SUM(DN9:DO9)</f>
        <v>0</v>
      </c>
    </row>
    <row r="10" spans="1:120" x14ac:dyDescent="0.3">
      <c r="A10" s="90" t="str">
        <f>name!B6</f>
        <v>Food drink and tobacco</v>
      </c>
      <c r="B10" s="39">
        <f t="shared" si="1"/>
        <v>2.4974565282579464</v>
      </c>
      <c r="C10" s="11">
        <v>95.045497362862733</v>
      </c>
      <c r="D10" s="93">
        <v>-5.3306461845042801</v>
      </c>
      <c r="E10" s="93">
        <v>26.590587472903774</v>
      </c>
      <c r="F10" s="93">
        <f t="shared" si="2"/>
        <v>21.259941288399496</v>
      </c>
      <c r="G10" s="93"/>
      <c r="H10" s="39">
        <f t="shared" si="3"/>
        <v>2.284281579929015</v>
      </c>
      <c r="I10" s="93">
        <v>28.557886141186682</v>
      </c>
      <c r="J10" s="93">
        <v>-7.0859124796803128</v>
      </c>
      <c r="K10" s="93">
        <v>7.2365107328119995</v>
      </c>
      <c r="L10" s="93">
        <f t="shared" si="4"/>
        <v>0.15059825313168673</v>
      </c>
      <c r="N10" s="39">
        <f t="shared" si="5"/>
        <v>2.4310099949182096</v>
      </c>
      <c r="O10" s="93">
        <v>47.02342038156808</v>
      </c>
      <c r="P10" s="93">
        <v>2.711005058419897</v>
      </c>
      <c r="Q10" s="93">
        <v>12.766608810353613</v>
      </c>
      <c r="R10" s="93">
        <f t="shared" si="6"/>
        <v>15.47761386877351</v>
      </c>
      <c r="S10" s="106"/>
      <c r="T10" s="39">
        <f t="shared" si="7"/>
        <v>2.9579537866369021</v>
      </c>
      <c r="U10" s="93">
        <v>19.464190840107968</v>
      </c>
      <c r="V10" s="93">
        <v>-0.95573876324386542</v>
      </c>
      <c r="W10" s="93">
        <v>6.5874679297381604</v>
      </c>
      <c r="X10" s="93">
        <f t="shared" si="8"/>
        <v>5.6317291664942948</v>
      </c>
      <c r="Y10" s="90" t="str">
        <f t="shared" si="0"/>
        <v>Food drink and tobacco</v>
      </c>
      <c r="Z10" s="39">
        <f t="shared" si="9"/>
        <v>3.1266976916814349</v>
      </c>
      <c r="AA10" s="11">
        <v>21.34292323603459</v>
      </c>
      <c r="AB10" s="93">
        <v>-5.4147809911053627E-2</v>
      </c>
      <c r="AC10" s="93">
        <v>7.6949639013979727</v>
      </c>
      <c r="AD10" s="93">
        <f t="shared" si="10"/>
        <v>7.6408160914869194</v>
      </c>
      <c r="AE10" s="93"/>
      <c r="AF10" s="39">
        <f t="shared" si="11"/>
        <v>3.009575633743844</v>
      </c>
      <c r="AG10" s="93">
        <v>1.8592043302087065</v>
      </c>
      <c r="AH10" s="93">
        <v>-0.39908371390288427</v>
      </c>
      <c r="AI10" s="93">
        <v>0.64173468922880073</v>
      </c>
      <c r="AJ10" s="93">
        <f t="shared" si="12"/>
        <v>0.24265097532591645</v>
      </c>
      <c r="AL10" s="39">
        <f t="shared" si="13"/>
        <v>3.0478152738149689</v>
      </c>
      <c r="AM10" s="93">
        <v>7.0494146420033079</v>
      </c>
      <c r="AN10" s="93">
        <v>0.77249580975616283</v>
      </c>
      <c r="AO10" s="93">
        <v>2.4684810982893786</v>
      </c>
      <c r="AP10" s="93">
        <f t="shared" si="14"/>
        <v>3.2409769080455413</v>
      </c>
      <c r="AQ10" s="106"/>
      <c r="AR10" s="39">
        <f t="shared" si="15"/>
        <v>3.1885211674371972</v>
      </c>
      <c r="AS10" s="93">
        <v>12.434304263822574</v>
      </c>
      <c r="AT10" s="93">
        <v>-0.42755990576433228</v>
      </c>
      <c r="AU10" s="93">
        <v>4.5847481138797939</v>
      </c>
      <c r="AV10" s="93">
        <f t="shared" si="16"/>
        <v>4.1571882081154614</v>
      </c>
      <c r="AW10" s="90" t="str">
        <f t="shared" si="17"/>
        <v>Food drink and tobacco</v>
      </c>
      <c r="AX10" s="39">
        <f t="shared" si="18"/>
        <v>2.5235241914950635</v>
      </c>
      <c r="AY10" s="11">
        <v>17.336358924907866</v>
      </c>
      <c r="AZ10" s="93">
        <v>-0.12728232767007444</v>
      </c>
      <c r="BA10" s="93">
        <v>4.9066304279196737</v>
      </c>
      <c r="BB10" s="93">
        <f t="shared" si="19"/>
        <v>4.7793481002495994</v>
      </c>
      <c r="BC10" s="93"/>
      <c r="BD10" s="39">
        <f t="shared" si="20"/>
        <v>2.4363702313833224</v>
      </c>
      <c r="BE10" s="93">
        <v>3.9959783673326772</v>
      </c>
      <c r="BF10" s="93">
        <v>-0.83348086360043461</v>
      </c>
      <c r="BG10" s="93">
        <v>1.0875463509002989</v>
      </c>
      <c r="BH10" s="93">
        <f t="shared" si="21"/>
        <v>0.25406548729986433</v>
      </c>
      <c r="BJ10" s="39">
        <f t="shared" si="22"/>
        <v>2.5027216432235821</v>
      </c>
      <c r="BK10" s="93">
        <v>10.073083832716854</v>
      </c>
      <c r="BL10" s="93">
        <v>1.512717786678091</v>
      </c>
      <c r="BM10" s="93">
        <v>2.8247393034036694</v>
      </c>
      <c r="BN10" s="93">
        <f t="shared" si="23"/>
        <v>4.3374570900817604</v>
      </c>
      <c r="BO10" s="106"/>
      <c r="BP10" s="39">
        <f t="shared" si="24"/>
        <v>2.6925252680388922</v>
      </c>
      <c r="BQ10" s="93">
        <v>3.2672967248583333</v>
      </c>
      <c r="BR10" s="93">
        <v>-0.80651925074773079</v>
      </c>
      <c r="BS10" s="93">
        <v>0.9943447736157055</v>
      </c>
      <c r="BT10" s="93">
        <f t="shared" si="25"/>
        <v>0.18782552286797471</v>
      </c>
      <c r="BU10" s="90" t="str">
        <f t="shared" si="26"/>
        <v>Food drink and tobacco</v>
      </c>
      <c r="BV10" s="39">
        <f t="shared" si="27"/>
        <v>2.2441836744385046</v>
      </c>
      <c r="BW10" s="11">
        <v>49.598564072912936</v>
      </c>
      <c r="BX10" s="93">
        <v>-3.6306790931946717</v>
      </c>
      <c r="BY10" s="93">
        <v>12.324896934512662</v>
      </c>
      <c r="BZ10" s="93">
        <f t="shared" si="28"/>
        <v>8.6942178413179896</v>
      </c>
      <c r="CA10" s="93"/>
      <c r="CB10" s="39">
        <f t="shared" si="29"/>
        <v>2.1888664422200721</v>
      </c>
      <c r="CC10" s="93">
        <v>19.525240563492041</v>
      </c>
      <c r="CD10" s="93">
        <v>-4.8301674544914821</v>
      </c>
      <c r="CE10" s="93">
        <v>4.7203188998071877</v>
      </c>
      <c r="CF10" s="93">
        <f t="shared" si="30"/>
        <v>-0.10984855468429444</v>
      </c>
      <c r="CH10" s="39">
        <f t="shared" si="31"/>
        <v>2.2613705769742198</v>
      </c>
      <c r="CI10" s="93">
        <v>26.537310513901321</v>
      </c>
      <c r="CJ10" s="93">
        <v>0.90730570853380754</v>
      </c>
      <c r="CK10" s="93">
        <v>6.6500717395964477</v>
      </c>
      <c r="CL10" s="93">
        <f t="shared" si="32"/>
        <v>7.5573774481302554</v>
      </c>
      <c r="CM10" s="106"/>
      <c r="CN10" s="39">
        <f t="shared" si="33"/>
        <v>2.4184670868230285</v>
      </c>
      <c r="CO10" s="93">
        <v>3.5360129955195734</v>
      </c>
      <c r="CP10" s="93">
        <v>0.29218265276300265</v>
      </c>
      <c r="CQ10" s="93">
        <v>0.95450629510902829</v>
      </c>
      <c r="CR10" s="93">
        <f t="shared" si="34"/>
        <v>1.2466889478720309</v>
      </c>
      <c r="CS10" s="90" t="str">
        <f t="shared" si="35"/>
        <v>Food drink and tobacco</v>
      </c>
      <c r="CT10" s="39">
        <f t="shared" si="36"/>
        <v>2.2228446109720412</v>
      </c>
      <c r="CU10" s="11">
        <v>6.7676511290073389</v>
      </c>
      <c r="CV10" s="93">
        <v>-1.5185369537284803</v>
      </c>
      <c r="CW10" s="93">
        <v>1.6640962090734628</v>
      </c>
      <c r="CX10" s="93">
        <f t="shared" si="37"/>
        <v>0.14555925534498249</v>
      </c>
      <c r="CY10" s="93"/>
      <c r="CZ10" s="39">
        <f t="shared" si="38"/>
        <v>2.2373089799467394</v>
      </c>
      <c r="DA10" s="93">
        <v>3.1774628801532612</v>
      </c>
      <c r="DB10" s="93">
        <v>-1.0231804476855118</v>
      </c>
      <c r="DC10" s="93">
        <v>0.78691079287571253</v>
      </c>
      <c r="DD10" s="93">
        <f t="shared" si="39"/>
        <v>-0.23626965480979922</v>
      </c>
      <c r="DF10" s="39">
        <f t="shared" si="40"/>
        <v>2.2136668085149358</v>
      </c>
      <c r="DG10" s="93">
        <v>3.3636113929465901</v>
      </c>
      <c r="DH10" s="93">
        <v>-0.48151424654816377</v>
      </c>
      <c r="DI10" s="93">
        <v>0.82331666906411805</v>
      </c>
      <c r="DJ10" s="93">
        <f t="shared" si="41"/>
        <v>0.34180242251595427</v>
      </c>
      <c r="DK10" s="106"/>
      <c r="DL10" s="39">
        <f t="shared" si="42"/>
        <v>2.1558658032539757</v>
      </c>
      <c r="DM10" s="93">
        <v>0.22657685590748641</v>
      </c>
      <c r="DN10" s="93">
        <v>-1.3842259494804953E-2</v>
      </c>
      <c r="DO10" s="93">
        <v>5.3868747133632294E-2</v>
      </c>
      <c r="DP10" s="93">
        <f t="shared" si="43"/>
        <v>4.0026487638827338E-2</v>
      </c>
    </row>
    <row r="11" spans="1:120" x14ac:dyDescent="0.3">
      <c r="A11" s="90" t="str">
        <f>name!B7</f>
        <v>Engineering</v>
      </c>
      <c r="B11" s="39">
        <f t="shared" si="1"/>
        <v>2.3974240716110096</v>
      </c>
      <c r="C11" s="11">
        <v>26.682999999999964</v>
      </c>
      <c r="D11" s="93">
        <v>2.1359999999999681</v>
      </c>
      <c r="E11" s="93">
        <v>7.1332131341977885</v>
      </c>
      <c r="F11" s="93">
        <f t="shared" si="2"/>
        <v>9.2692131341977557</v>
      </c>
      <c r="G11" s="93"/>
      <c r="H11" s="39">
        <f t="shared" si="3"/>
        <v>2.1428388473321736</v>
      </c>
      <c r="I11" s="93">
        <v>7.7290127378228242</v>
      </c>
      <c r="J11" s="93">
        <v>-0.85964814638885922</v>
      </c>
      <c r="K11" s="93">
        <v>1.8253838239565419</v>
      </c>
      <c r="L11" s="93">
        <f t="shared" si="4"/>
        <v>0.96573567756768264</v>
      </c>
      <c r="N11" s="39">
        <f t="shared" si="5"/>
        <v>2.2704847424125818</v>
      </c>
      <c r="O11" s="93">
        <v>12.694060205112665</v>
      </c>
      <c r="P11" s="93">
        <v>1.750762648197131</v>
      </c>
      <c r="Q11" s="93">
        <v>3.1952007619921963</v>
      </c>
      <c r="R11" s="93">
        <f t="shared" si="6"/>
        <v>4.9459634101893268</v>
      </c>
      <c r="S11" s="106"/>
      <c r="T11" s="39">
        <f t="shared" si="7"/>
        <v>2.9505987528880562</v>
      </c>
      <c r="U11" s="93">
        <v>6.2599270570644734</v>
      </c>
      <c r="V11" s="93">
        <v>1.2448854981916966</v>
      </c>
      <c r="W11" s="93">
        <v>2.112628548249051</v>
      </c>
      <c r="X11" s="93">
        <f t="shared" si="8"/>
        <v>3.3575140464407474</v>
      </c>
      <c r="Y11" s="90" t="str">
        <f t="shared" si="0"/>
        <v>Engineering</v>
      </c>
      <c r="Z11" s="39">
        <f t="shared" si="9"/>
        <v>2.9893837262348733</v>
      </c>
      <c r="AA11" s="11">
        <v>6.5504971882441936</v>
      </c>
      <c r="AB11" s="93">
        <v>0.7414598842641813</v>
      </c>
      <c r="AC11" s="93">
        <v>2.243753846340574</v>
      </c>
      <c r="AD11" s="93">
        <f t="shared" si="10"/>
        <v>2.9852137306047553</v>
      </c>
      <c r="AE11" s="93"/>
      <c r="AF11" s="39">
        <f t="shared" si="11"/>
        <v>2.6484123810696314</v>
      </c>
      <c r="AG11" s="93">
        <v>0.62605054755772271</v>
      </c>
      <c r="AH11" s="93">
        <v>-4.0708044204614172E-2</v>
      </c>
      <c r="AI11" s="93">
        <v>0.18702662236296508</v>
      </c>
      <c r="AJ11" s="93">
        <f t="shared" si="12"/>
        <v>0.14631857815835092</v>
      </c>
      <c r="AL11" s="39">
        <f t="shared" si="13"/>
        <v>2.8200029669356086</v>
      </c>
      <c r="AM11" s="93">
        <v>1.9725323922654858</v>
      </c>
      <c r="AN11" s="93">
        <v>5.7186726837409781E-2</v>
      </c>
      <c r="AO11" s="93">
        <v>0.63242284192617815</v>
      </c>
      <c r="AP11" s="93">
        <f t="shared" si="14"/>
        <v>0.68960956876358792</v>
      </c>
      <c r="AQ11" s="106"/>
      <c r="AR11" s="39">
        <f t="shared" si="15"/>
        <v>3.1257074628290971</v>
      </c>
      <c r="AS11" s="93">
        <v>3.9519142484209846</v>
      </c>
      <c r="AT11" s="93">
        <v>0.72498120163138557</v>
      </c>
      <c r="AU11" s="93">
        <v>1.4243043820514307</v>
      </c>
      <c r="AV11" s="93">
        <f t="shared" si="16"/>
        <v>2.1492855836828162</v>
      </c>
      <c r="AW11" s="90" t="str">
        <f t="shared" si="17"/>
        <v>Engineering</v>
      </c>
      <c r="AX11" s="39">
        <f t="shared" si="18"/>
        <v>2.6610076636430335</v>
      </c>
      <c r="AY11" s="11">
        <v>3.2443503982662985</v>
      </c>
      <c r="AZ11" s="93">
        <v>0.14772454699359541</v>
      </c>
      <c r="BA11" s="93">
        <v>0.97439173559588765</v>
      </c>
      <c r="BB11" s="93">
        <f t="shared" si="19"/>
        <v>1.122116282589483</v>
      </c>
      <c r="BC11" s="93"/>
      <c r="BD11" s="39">
        <f t="shared" si="20"/>
        <v>2.5177966298219889</v>
      </c>
      <c r="BE11" s="93">
        <v>0.76061810370622518</v>
      </c>
      <c r="BF11" s="93">
        <v>-8.6613615501482388E-2</v>
      </c>
      <c r="BG11" s="93">
        <v>0.21472921204151713</v>
      </c>
      <c r="BH11" s="93">
        <f t="shared" si="21"/>
        <v>0.12811559654003474</v>
      </c>
      <c r="BJ11" s="39">
        <f t="shared" si="22"/>
        <v>2.6414518363808703</v>
      </c>
      <c r="BK11" s="93">
        <v>1.3612202522776553</v>
      </c>
      <c r="BL11" s="93">
        <v>-9.1457270541903425E-3</v>
      </c>
      <c r="BM11" s="93">
        <v>0.40545313032121294</v>
      </c>
      <c r="BN11" s="93">
        <f t="shared" si="23"/>
        <v>0.39630740326702257</v>
      </c>
      <c r="BO11" s="106"/>
      <c r="BP11" s="39">
        <f t="shared" si="24"/>
        <v>2.7805073211446985</v>
      </c>
      <c r="BQ11" s="93">
        <v>1.122512042282418</v>
      </c>
      <c r="BR11" s="93">
        <v>0.24348388954926817</v>
      </c>
      <c r="BS11" s="93">
        <v>0.35420939323315764</v>
      </c>
      <c r="BT11" s="93">
        <f t="shared" si="25"/>
        <v>0.59769328278242584</v>
      </c>
      <c r="BU11" s="90" t="str">
        <f t="shared" si="26"/>
        <v>Engineering</v>
      </c>
      <c r="BV11" s="39">
        <f t="shared" si="27"/>
        <v>2.0986442989320508</v>
      </c>
      <c r="BW11" s="11">
        <v>15.307841962071205</v>
      </c>
      <c r="BX11" s="93">
        <v>0.41022057712335003</v>
      </c>
      <c r="BY11" s="93">
        <v>3.5335820893340286</v>
      </c>
      <c r="BZ11" s="93">
        <f t="shared" si="28"/>
        <v>3.9438026664573789</v>
      </c>
      <c r="CA11" s="93"/>
      <c r="CB11" s="39">
        <f t="shared" si="29"/>
        <v>2.0210770566263747</v>
      </c>
      <c r="CC11" s="93">
        <v>5.8033468392667986</v>
      </c>
      <c r="CD11" s="93">
        <v>-0.34664652297871712</v>
      </c>
      <c r="CE11" s="93">
        <v>1.2855322454287512</v>
      </c>
      <c r="CF11" s="93">
        <f t="shared" si="30"/>
        <v>0.9388857224500341</v>
      </c>
      <c r="CH11" s="39">
        <f t="shared" si="31"/>
        <v>2.0955416811876404</v>
      </c>
      <c r="CI11" s="93">
        <v>8.3881190579667813</v>
      </c>
      <c r="CJ11" s="93">
        <v>0.46878350843430538</v>
      </c>
      <c r="CK11" s="93">
        <v>1.9331324937867693</v>
      </c>
      <c r="CL11" s="93">
        <f t="shared" si="32"/>
        <v>2.4019160022210748</v>
      </c>
      <c r="CM11" s="106"/>
      <c r="CN11" s="39">
        <f t="shared" si="33"/>
        <v>2.5160385347847258</v>
      </c>
      <c r="CO11" s="93">
        <v>1.1163760648376253</v>
      </c>
      <c r="CP11" s="93">
        <v>0.28808359166776182</v>
      </c>
      <c r="CQ11" s="93">
        <v>0.31491735011850813</v>
      </c>
      <c r="CR11" s="93">
        <f t="shared" si="34"/>
        <v>0.60300094178626995</v>
      </c>
      <c r="CS11" s="90" t="str">
        <f t="shared" si="35"/>
        <v>Engineering</v>
      </c>
      <c r="CT11" s="39">
        <f t="shared" si="36"/>
        <v>2.1859392974191483</v>
      </c>
      <c r="CU11" s="11">
        <v>1.5803104514182647</v>
      </c>
      <c r="CV11" s="93">
        <v>0.83659499161884154</v>
      </c>
      <c r="CW11" s="93">
        <v>0.38148546292729896</v>
      </c>
      <c r="CX11" s="93">
        <f t="shared" si="37"/>
        <v>1.2180804545461406</v>
      </c>
      <c r="CY11" s="93"/>
      <c r="CZ11" s="39">
        <f t="shared" si="38"/>
        <v>2.307194889511166</v>
      </c>
      <c r="DA11" s="93">
        <v>0.53899724729207821</v>
      </c>
      <c r="DB11" s="93">
        <v>-0.3856799637040455</v>
      </c>
      <c r="DC11" s="93">
        <v>0.13809574412330866</v>
      </c>
      <c r="DD11" s="93">
        <f t="shared" si="39"/>
        <v>-0.24758421958073684</v>
      </c>
      <c r="DF11" s="39">
        <f t="shared" si="40"/>
        <v>2.0967447677556317</v>
      </c>
      <c r="DG11" s="93">
        <v>0.97218850260274148</v>
      </c>
      <c r="DH11" s="93">
        <v>1.2339381399796061</v>
      </c>
      <c r="DI11" s="93">
        <v>0.22419229595803594</v>
      </c>
      <c r="DJ11" s="93">
        <f t="shared" si="41"/>
        <v>1.4581304359376421</v>
      </c>
      <c r="DK11" s="106"/>
      <c r="DL11" s="39">
        <f t="shared" si="42"/>
        <v>2.4810635165479544</v>
      </c>
      <c r="DM11" s="93">
        <v>6.9124701523444784E-2</v>
      </c>
      <c r="DN11" s="93">
        <v>-1.1663184656719028E-2</v>
      </c>
      <c r="DO11" s="93">
        <v>1.9197422845954378E-2</v>
      </c>
      <c r="DP11" s="93">
        <f t="shared" si="43"/>
        <v>7.53423818923535E-3</v>
      </c>
    </row>
    <row r="12" spans="1:120" x14ac:dyDescent="0.3">
      <c r="A12" s="90" t="str">
        <f>name!B8</f>
        <v>Rest of manufacturing</v>
      </c>
      <c r="B12" s="39">
        <f t="shared" si="1"/>
        <v>2.6164350010096316</v>
      </c>
      <c r="C12" s="11">
        <v>42.15199999999993</v>
      </c>
      <c r="D12" s="93">
        <v>-3.3299999999999712</v>
      </c>
      <c r="E12" s="93">
        <v>12.422204390941479</v>
      </c>
      <c r="F12" s="93">
        <f t="shared" si="2"/>
        <v>9.0922043909415073</v>
      </c>
      <c r="G12" s="93"/>
      <c r="H12" s="39">
        <f t="shared" si="3"/>
        <v>2.4469808961299799</v>
      </c>
      <c r="I12" s="93">
        <v>9.6089439679508644</v>
      </c>
      <c r="J12" s="93">
        <v>-2.1975561779706503</v>
      </c>
      <c r="K12" s="93">
        <v>2.6278403106316235</v>
      </c>
      <c r="L12" s="93">
        <f t="shared" si="4"/>
        <v>0.43028413266097321</v>
      </c>
      <c r="N12" s="39">
        <f t="shared" si="5"/>
        <v>2.5333579555699037</v>
      </c>
      <c r="O12" s="93">
        <v>22.575808590792999</v>
      </c>
      <c r="P12" s="93">
        <v>-0.95500589125711122</v>
      </c>
      <c r="Q12" s="93">
        <v>6.4173226387381153</v>
      </c>
      <c r="R12" s="93">
        <f t="shared" si="6"/>
        <v>5.4623167474810037</v>
      </c>
      <c r="S12" s="106"/>
      <c r="T12" s="39">
        <f t="shared" si="7"/>
        <v>2.9608263556274439</v>
      </c>
      <c r="U12" s="93">
        <v>9.9672474412560668</v>
      </c>
      <c r="V12" s="93">
        <v>-0.17743793077220946</v>
      </c>
      <c r="W12" s="93">
        <v>3.3770414415717394</v>
      </c>
      <c r="X12" s="93">
        <f t="shared" si="8"/>
        <v>3.19960351079953</v>
      </c>
      <c r="Y12" s="90" t="str">
        <f t="shared" si="0"/>
        <v>Rest of manufacturing</v>
      </c>
      <c r="Z12" s="39">
        <f t="shared" si="9"/>
        <v>2.9763942733826543</v>
      </c>
      <c r="AA12" s="11">
        <v>10.498945664126412</v>
      </c>
      <c r="AB12" s="93">
        <v>0.34529888283838883</v>
      </c>
      <c r="AC12" s="93">
        <v>3.5784558313106598</v>
      </c>
      <c r="AD12" s="93">
        <f t="shared" si="10"/>
        <v>3.9237547141490485</v>
      </c>
      <c r="AE12" s="93"/>
      <c r="AF12" s="39">
        <f t="shared" si="11"/>
        <v>2.7040649618628176</v>
      </c>
      <c r="AG12" s="93">
        <v>0.75816764967198691</v>
      </c>
      <c r="AH12" s="93">
        <v>-0.14426412804349217</v>
      </c>
      <c r="AI12" s="93">
        <v>0.23184690614128767</v>
      </c>
      <c r="AJ12" s="93">
        <f t="shared" si="12"/>
        <v>8.7582778097795494E-2</v>
      </c>
      <c r="AL12" s="39">
        <f t="shared" si="13"/>
        <v>2.8324908960291717</v>
      </c>
      <c r="AM12" s="93">
        <v>3.7458067354035878</v>
      </c>
      <c r="AN12" s="93">
        <v>-2.1430511128079324E-2</v>
      </c>
      <c r="AO12" s="93">
        <v>1.2069719734322446</v>
      </c>
      <c r="AP12" s="93">
        <f t="shared" si="14"/>
        <v>1.1855414623041653</v>
      </c>
      <c r="AQ12" s="106"/>
      <c r="AR12" s="39">
        <f t="shared" si="15"/>
        <v>3.0991188393576063</v>
      </c>
      <c r="AS12" s="93">
        <v>5.9949712790508363</v>
      </c>
      <c r="AT12" s="93">
        <v>0.51099352200996029</v>
      </c>
      <c r="AU12" s="93">
        <v>2.1396369517371276</v>
      </c>
      <c r="AV12" s="93">
        <f t="shared" si="16"/>
        <v>2.6506304737470878</v>
      </c>
      <c r="AW12" s="90" t="str">
        <f t="shared" si="17"/>
        <v>Rest of manufacturing</v>
      </c>
      <c r="AX12" s="39">
        <f t="shared" si="18"/>
        <v>2.667464938337738</v>
      </c>
      <c r="AY12" s="11">
        <v>4.3775371772570599</v>
      </c>
      <c r="AZ12" s="93">
        <v>-1.2645538867862174</v>
      </c>
      <c r="BA12" s="93">
        <v>1.3183086935944921</v>
      </c>
      <c r="BB12" s="93">
        <f t="shared" si="19"/>
        <v>5.3754806808274713E-2</v>
      </c>
      <c r="BC12" s="93"/>
      <c r="BD12" s="39">
        <f t="shared" si="20"/>
        <v>2.5806373974742502</v>
      </c>
      <c r="BE12" s="93">
        <v>0.50445012564800362</v>
      </c>
      <c r="BF12" s="93">
        <v>-0.13667993756951582</v>
      </c>
      <c r="BG12" s="93">
        <v>0.14638677364194702</v>
      </c>
      <c r="BH12" s="93">
        <f t="shared" si="21"/>
        <v>9.7068360724311964E-3</v>
      </c>
      <c r="BJ12" s="39">
        <f t="shared" si="22"/>
        <v>2.6049115123564892</v>
      </c>
      <c r="BK12" s="93">
        <v>2.2466979729709307</v>
      </c>
      <c r="BL12" s="93">
        <v>-0.58280055442252565</v>
      </c>
      <c r="BM12" s="93">
        <v>0.65883758800710124</v>
      </c>
      <c r="BN12" s="93">
        <f t="shared" si="23"/>
        <v>7.6037033584575586E-2</v>
      </c>
      <c r="BO12" s="106"/>
      <c r="BP12" s="39">
        <f t="shared" si="24"/>
        <v>2.779912687566588</v>
      </c>
      <c r="BQ12" s="93">
        <v>1.6263890786381248</v>
      </c>
      <c r="BR12" s="93">
        <v>-0.54507339479417605</v>
      </c>
      <c r="BS12" s="93">
        <v>0.51308433194544378</v>
      </c>
      <c r="BT12" s="93">
        <f t="shared" si="25"/>
        <v>-3.1989062848732264E-2</v>
      </c>
      <c r="BU12" s="90" t="str">
        <f t="shared" si="26"/>
        <v>Rest of manufacturing</v>
      </c>
      <c r="BV12" s="39">
        <f t="shared" si="27"/>
        <v>2.4731834060013336</v>
      </c>
      <c r="BW12" s="11">
        <v>26.112763020344723</v>
      </c>
      <c r="BX12" s="93">
        <v>-1.8174984546461121</v>
      </c>
      <c r="BY12" s="93">
        <v>7.2264319158956178</v>
      </c>
      <c r="BZ12" s="93">
        <f t="shared" si="28"/>
        <v>5.4089334612495055</v>
      </c>
      <c r="CA12" s="93"/>
      <c r="CB12" s="39">
        <f t="shared" si="29"/>
        <v>2.4168124747555364</v>
      </c>
      <c r="CC12" s="93">
        <v>7.7759473470029352</v>
      </c>
      <c r="CD12" s="93">
        <v>-1.7158164744931881</v>
      </c>
      <c r="CE12" s="93">
        <v>2.0974328886080462</v>
      </c>
      <c r="CF12" s="93">
        <f t="shared" si="30"/>
        <v>0.38161641411485814</v>
      </c>
      <c r="CH12" s="39">
        <f t="shared" si="31"/>
        <v>2.4638206980051702</v>
      </c>
      <c r="CI12" s="93">
        <v>16.01397145403611</v>
      </c>
      <c r="CJ12" s="93">
        <v>5.414488253187176E-2</v>
      </c>
      <c r="CK12" s="93">
        <v>4.4130248025048795</v>
      </c>
      <c r="CL12" s="93">
        <f t="shared" si="32"/>
        <v>4.467169685036751</v>
      </c>
      <c r="CM12" s="106"/>
      <c r="CN12" s="39">
        <f t="shared" si="33"/>
        <v>2.7231827177615964</v>
      </c>
      <c r="CO12" s="93">
        <v>2.3228442193056784</v>
      </c>
      <c r="CP12" s="93">
        <v>-0.15582686268479601</v>
      </c>
      <c r="CQ12" s="93">
        <v>0.71597422478269179</v>
      </c>
      <c r="CR12" s="93">
        <f t="shared" si="34"/>
        <v>0.56014736209789584</v>
      </c>
      <c r="CS12" s="90" t="str">
        <f t="shared" si="35"/>
        <v>Rest of manufacturing</v>
      </c>
      <c r="CT12" s="39">
        <f t="shared" si="36"/>
        <v>2.3148990339762587</v>
      </c>
      <c r="CU12" s="11">
        <v>1.1627541382717359</v>
      </c>
      <c r="CV12" s="93">
        <v>-0.59324654140603028</v>
      </c>
      <c r="CW12" s="93">
        <v>0.2990079501407093</v>
      </c>
      <c r="CX12" s="93">
        <f t="shared" si="37"/>
        <v>-0.29423859126532098</v>
      </c>
      <c r="CY12" s="93"/>
      <c r="CZ12" s="39">
        <f t="shared" si="38"/>
        <v>2.3930795875785948</v>
      </c>
      <c r="DA12" s="93">
        <v>0.57037884562794017</v>
      </c>
      <c r="DB12" s="93">
        <v>-0.20079563786445448</v>
      </c>
      <c r="DC12" s="93">
        <v>0.15217374224034305</v>
      </c>
      <c r="DD12" s="93">
        <f t="shared" si="39"/>
        <v>-4.8621895624111428E-2</v>
      </c>
      <c r="DF12" s="39">
        <f t="shared" si="40"/>
        <v>2.201138550303483</v>
      </c>
      <c r="DG12" s="93">
        <v>0.56933242838237019</v>
      </c>
      <c r="DH12" s="93">
        <v>-0.40491970823837808</v>
      </c>
      <c r="DI12" s="93">
        <v>0.13848827479389025</v>
      </c>
      <c r="DJ12" s="93">
        <f t="shared" si="41"/>
        <v>-0.26643143344448783</v>
      </c>
      <c r="DK12" s="106"/>
      <c r="DL12" s="39">
        <f t="shared" si="42"/>
        <v>3.1392149650770529</v>
      </c>
      <c r="DM12" s="93">
        <v>2.3042864261425509E-2</v>
      </c>
      <c r="DN12" s="93">
        <v>1.2468804696802241E-2</v>
      </c>
      <c r="DO12" s="93">
        <v>8.3459331064760084E-3</v>
      </c>
      <c r="DP12" s="93">
        <f t="shared" si="43"/>
        <v>2.0814737803278249E-2</v>
      </c>
    </row>
    <row r="13" spans="1:120" x14ac:dyDescent="0.3">
      <c r="A13" s="90" t="str">
        <f>name!B9</f>
        <v>Electricity and gas</v>
      </c>
      <c r="B13" s="39">
        <f t="shared" si="1"/>
        <v>2.751547529508569</v>
      </c>
      <c r="C13" s="11">
        <v>5.0589999999999913</v>
      </c>
      <c r="D13" s="93">
        <v>2.0489999999999946</v>
      </c>
      <c r="E13" s="93">
        <v>1.5776420433154477</v>
      </c>
      <c r="F13" s="93">
        <f t="shared" si="2"/>
        <v>3.6266420433154423</v>
      </c>
      <c r="G13" s="93"/>
      <c r="H13" s="39">
        <f t="shared" si="3"/>
        <v>2.5733600826927994</v>
      </c>
      <c r="I13" s="93">
        <v>0.31361419735656709</v>
      </c>
      <c r="J13" s="93">
        <v>7.8773033073184756E-2</v>
      </c>
      <c r="K13" s="93">
        <v>9.0720990468516644E-2</v>
      </c>
      <c r="L13" s="93">
        <f t="shared" si="4"/>
        <v>0.1694940235417014</v>
      </c>
      <c r="N13" s="39">
        <f t="shared" si="5"/>
        <v>2.5323926518590278</v>
      </c>
      <c r="O13" s="93">
        <v>1.1279969424904663</v>
      </c>
      <c r="P13" s="93">
        <v>0.17361487914005555</v>
      </c>
      <c r="Q13" s="93">
        <v>0.32050420132079388</v>
      </c>
      <c r="R13" s="93">
        <f t="shared" si="6"/>
        <v>0.4941190804608494</v>
      </c>
      <c r="S13" s="106"/>
      <c r="T13" s="39">
        <f t="shared" si="7"/>
        <v>2.8342615174113073</v>
      </c>
      <c r="U13" s="93">
        <v>3.6173888601529574</v>
      </c>
      <c r="V13" s="93">
        <v>1.7966120877867537</v>
      </c>
      <c r="W13" s="93">
        <v>1.1664168515261377</v>
      </c>
      <c r="X13" s="93">
        <f t="shared" si="8"/>
        <v>2.9630289393128915</v>
      </c>
      <c r="Y13" s="90" t="str">
        <f t="shared" si="0"/>
        <v>Electricity and gas</v>
      </c>
      <c r="Z13" s="39">
        <f t="shared" si="9"/>
        <v>2.8458192992028453</v>
      </c>
      <c r="AA13" s="11">
        <v>3.4150679378844369</v>
      </c>
      <c r="AB13" s="93">
        <v>1.4840300025780557</v>
      </c>
      <c r="AC13" s="93">
        <v>1.1062575228637768</v>
      </c>
      <c r="AD13" s="93">
        <f t="shared" si="10"/>
        <v>2.5902875254418323</v>
      </c>
      <c r="AE13" s="93"/>
      <c r="AF13" s="39">
        <f t="shared" si="11"/>
        <v>2.7430555154363878</v>
      </c>
      <c r="AG13" s="93">
        <v>0.11612647673624334</v>
      </c>
      <c r="AH13" s="93">
        <v>0.11035323287716786</v>
      </c>
      <c r="AI13" s="93">
        <v>3.6088022100809053E-2</v>
      </c>
      <c r="AJ13" s="93">
        <f t="shared" si="12"/>
        <v>0.14644125497797691</v>
      </c>
      <c r="AL13" s="39">
        <f t="shared" si="13"/>
        <v>2.6040221070196878</v>
      </c>
      <c r="AM13" s="93">
        <v>0.78807550212350175</v>
      </c>
      <c r="AN13" s="93">
        <v>0.1640515512066609</v>
      </c>
      <c r="AO13" s="93">
        <v>0.23101248718210923</v>
      </c>
      <c r="AP13" s="93">
        <f t="shared" si="14"/>
        <v>0.39506403838877013</v>
      </c>
      <c r="AQ13" s="106"/>
      <c r="AR13" s="39">
        <f t="shared" si="15"/>
        <v>2.9253673336995467</v>
      </c>
      <c r="AS13" s="93">
        <v>2.510865959024692</v>
      </c>
      <c r="AT13" s="93">
        <v>1.2096252184942269</v>
      </c>
      <c r="AU13" s="93">
        <v>0.83915701358085859</v>
      </c>
      <c r="AV13" s="93">
        <f t="shared" si="16"/>
        <v>2.0487822320750855</v>
      </c>
      <c r="AW13" s="90" t="str">
        <f t="shared" si="17"/>
        <v>Electricity and gas</v>
      </c>
      <c r="AX13" s="39">
        <f t="shared" si="18"/>
        <v>2.7527088286745105</v>
      </c>
      <c r="AY13" s="11">
        <v>0.957602688269793</v>
      </c>
      <c r="AZ13" s="93">
        <v>0.25026458116444267</v>
      </c>
      <c r="BA13" s="93">
        <v>0.29876903958455009</v>
      </c>
      <c r="BB13" s="93">
        <f t="shared" si="19"/>
        <v>0.54903362074899276</v>
      </c>
      <c r="BC13" s="93"/>
      <c r="BD13" s="39">
        <f t="shared" si="20"/>
        <v>2.6027440742423469</v>
      </c>
      <c r="BE13" s="93">
        <v>6.6675648433861312E-2</v>
      </c>
      <c r="BF13" s="93">
        <v>1.2223965695389253E-2</v>
      </c>
      <c r="BG13" s="93">
        <v>1.953422506429308E-2</v>
      </c>
      <c r="BH13" s="93">
        <f t="shared" si="21"/>
        <v>3.1758190759682337E-2</v>
      </c>
      <c r="BJ13" s="39">
        <f t="shared" si="22"/>
        <v>2.595302754086215</v>
      </c>
      <c r="BK13" s="93">
        <v>0.10025366029317774</v>
      </c>
      <c r="BL13" s="93">
        <v>-4.2143802914000279E-2</v>
      </c>
      <c r="BM13" s="93">
        <v>2.9277725477586596E-2</v>
      </c>
      <c r="BN13" s="93">
        <f t="shared" si="23"/>
        <v>-1.2866077436413683E-2</v>
      </c>
      <c r="BO13" s="106"/>
      <c r="BP13" s="39">
        <f t="shared" si="24"/>
        <v>2.7850477621075731</v>
      </c>
      <c r="BQ13" s="93">
        <v>0.79067337954275396</v>
      </c>
      <c r="BR13" s="93">
        <v>0.28018441838305369</v>
      </c>
      <c r="BS13" s="93">
        <v>0.24995708904267042</v>
      </c>
      <c r="BT13" s="93">
        <f t="shared" si="25"/>
        <v>0.53014150742572408</v>
      </c>
      <c r="BU13" s="90" t="str">
        <f t="shared" si="26"/>
        <v>Electricity and gas</v>
      </c>
      <c r="BV13" s="39">
        <f t="shared" si="27"/>
        <v>2.30166568848158</v>
      </c>
      <c r="BW13" s="11">
        <v>0.58372112403374876</v>
      </c>
      <c r="BX13" s="93">
        <v>0.29400518186205293</v>
      </c>
      <c r="BY13" s="93">
        <v>0.14915818412575702</v>
      </c>
      <c r="BZ13" s="93">
        <f t="shared" si="28"/>
        <v>0.44316336598780992</v>
      </c>
      <c r="CA13" s="93"/>
      <c r="CB13" s="39">
        <f t="shared" si="29"/>
        <v>2.5209593858770862</v>
      </c>
      <c r="CC13" s="93">
        <v>7.9538399802440748E-2</v>
      </c>
      <c r="CD13" s="93">
        <v>-3.8996824091237468E-2</v>
      </c>
      <c r="CE13" s="93">
        <v>2.2485863083774052E-2</v>
      </c>
      <c r="CF13" s="93">
        <f t="shared" si="30"/>
        <v>-1.6510961007463416E-2</v>
      </c>
      <c r="CH13" s="39">
        <f t="shared" si="31"/>
        <v>2.2948013168675008</v>
      </c>
      <c r="CI13" s="93">
        <v>0.22333516849225249</v>
      </c>
      <c r="CJ13" s="93">
        <v>4.7374479843118752E-2</v>
      </c>
      <c r="CK13" s="93">
        <v>5.6880714680897067E-2</v>
      </c>
      <c r="CL13" s="93">
        <f t="shared" si="32"/>
        <v>0.10425519452401583</v>
      </c>
      <c r="CM13" s="106"/>
      <c r="CN13" s="39">
        <f t="shared" si="33"/>
        <v>2.2442696745849977</v>
      </c>
      <c r="CO13" s="93">
        <v>0.28084755573905562</v>
      </c>
      <c r="CP13" s="93">
        <v>0.28562752611017167</v>
      </c>
      <c r="CQ13" s="93">
        <v>6.9791606361085889E-2</v>
      </c>
      <c r="CR13" s="93">
        <f t="shared" si="34"/>
        <v>0.35541913247125756</v>
      </c>
      <c r="CS13" s="90" t="str">
        <f t="shared" si="35"/>
        <v>Electricity and gas</v>
      </c>
      <c r="CT13" s="39">
        <f t="shared" si="36"/>
        <v>2.0801766936642485</v>
      </c>
      <c r="CU13" s="11">
        <v>0.10260824981201205</v>
      </c>
      <c r="CV13" s="93">
        <v>2.0700234395443017E-2</v>
      </c>
      <c r="CW13" s="93">
        <v>2.3457296741363907E-2</v>
      </c>
      <c r="CX13" s="93">
        <f t="shared" si="37"/>
        <v>4.4157531136806927E-2</v>
      </c>
      <c r="CY13" s="93"/>
      <c r="CZ13" s="39">
        <f t="shared" si="38"/>
        <v>2.2236780417191238</v>
      </c>
      <c r="DA13" s="93">
        <v>5.1273672384021723E-2</v>
      </c>
      <c r="DB13" s="93">
        <v>-4.8073414081348711E-3</v>
      </c>
      <c r="DC13" s="93">
        <v>1.2612880219640452E-2</v>
      </c>
      <c r="DD13" s="93">
        <f t="shared" si="39"/>
        <v>7.8055388115055805E-3</v>
      </c>
      <c r="DF13" s="39">
        <f t="shared" si="40"/>
        <v>1.8745697006633089</v>
      </c>
      <c r="DG13" s="93">
        <v>1.6332611581534422E-2</v>
      </c>
      <c r="DH13" s="93">
        <v>4.3326510042762225E-3</v>
      </c>
      <c r="DI13" s="93">
        <v>3.3332739802009429E-3</v>
      </c>
      <c r="DJ13" s="93">
        <f t="shared" si="41"/>
        <v>7.6659249844771658E-3</v>
      </c>
      <c r="DK13" s="106"/>
      <c r="DL13" s="39">
        <f t="shared" si="42"/>
        <v>1.9631026785993377</v>
      </c>
      <c r="DM13" s="93">
        <v>3.5001965846455901E-2</v>
      </c>
      <c r="DN13" s="93">
        <v>2.1174924799301664E-2</v>
      </c>
      <c r="DO13" s="93">
        <v>7.5111425415225128E-3</v>
      </c>
      <c r="DP13" s="93">
        <f t="shared" si="43"/>
        <v>2.8686067340824177E-2</v>
      </c>
    </row>
    <row r="14" spans="1:120" x14ac:dyDescent="0.3">
      <c r="A14" s="90" t="str">
        <f>name!B10</f>
        <v>Water and sewerage</v>
      </c>
      <c r="B14" s="39">
        <f t="shared" si="1"/>
        <v>2.6630267727114409</v>
      </c>
      <c r="C14" s="11">
        <v>34.689999999999941</v>
      </c>
      <c r="D14" s="93">
        <v>3.4039999999999937</v>
      </c>
      <c r="E14" s="93">
        <v>10.427491197200341</v>
      </c>
      <c r="F14" s="93">
        <f t="shared" si="2"/>
        <v>13.831491197200336</v>
      </c>
      <c r="G14" s="93"/>
      <c r="H14" s="39">
        <f t="shared" si="3"/>
        <v>2.3746340922261355</v>
      </c>
      <c r="I14" s="93">
        <v>2.9582746497764263</v>
      </c>
      <c r="J14" s="93">
        <v>-1.2426718264022578</v>
      </c>
      <c r="K14" s="93">
        <v>0.78250491573356684</v>
      </c>
      <c r="L14" s="93">
        <f t="shared" si="4"/>
        <v>-0.46016691066869098</v>
      </c>
      <c r="N14" s="39">
        <f t="shared" si="5"/>
        <v>2.45146859998846</v>
      </c>
      <c r="O14" s="93">
        <v>15.931406757331569</v>
      </c>
      <c r="P14" s="93">
        <v>2.6141692288467828</v>
      </c>
      <c r="Q14" s="93">
        <v>4.3657875010183442</v>
      </c>
      <c r="R14" s="93">
        <f t="shared" si="6"/>
        <v>6.9799567298651271</v>
      </c>
      <c r="S14" s="106"/>
      <c r="T14" s="39">
        <f t="shared" si="7"/>
        <v>2.9246696914869474</v>
      </c>
      <c r="U14" s="93">
        <v>15.800318592891939</v>
      </c>
      <c r="V14" s="93">
        <v>2.0325025975554691</v>
      </c>
      <c r="W14" s="93">
        <v>5.2791987804484268</v>
      </c>
      <c r="X14" s="93">
        <f t="shared" si="8"/>
        <v>7.311701378003896</v>
      </c>
      <c r="Y14" s="90" t="str">
        <f t="shared" si="0"/>
        <v>Water and sewerage</v>
      </c>
      <c r="Z14" s="39">
        <f t="shared" si="9"/>
        <v>2.8935452968317898</v>
      </c>
      <c r="AA14" s="11">
        <v>20.179018387941738</v>
      </c>
      <c r="AB14" s="93">
        <v>3.7043393079638052</v>
      </c>
      <c r="AC14" s="93">
        <v>6.6609099076503337</v>
      </c>
      <c r="AD14" s="93">
        <f t="shared" si="10"/>
        <v>10.365249215614138</v>
      </c>
      <c r="AE14" s="93"/>
      <c r="AF14" s="39">
        <f t="shared" si="11"/>
        <v>2.7725711511966233</v>
      </c>
      <c r="AG14" s="93">
        <v>0.72465647374450293</v>
      </c>
      <c r="AH14" s="93">
        <v>-0.21196589918901296</v>
      </c>
      <c r="AI14" s="93">
        <v>0.227929964406863</v>
      </c>
      <c r="AJ14" s="93">
        <f t="shared" si="12"/>
        <v>1.5964065217850043E-2</v>
      </c>
      <c r="AL14" s="39">
        <f t="shared" si="13"/>
        <v>2.6836776039042443</v>
      </c>
      <c r="AM14" s="93">
        <v>7.1689586080821419</v>
      </c>
      <c r="AN14" s="93">
        <v>1.9626686993660245</v>
      </c>
      <c r="AO14" s="93">
        <v>2.1736943685039085</v>
      </c>
      <c r="AP14" s="93">
        <f t="shared" si="14"/>
        <v>4.136363067869933</v>
      </c>
      <c r="AQ14" s="106"/>
      <c r="AR14" s="39">
        <f t="shared" si="15"/>
        <v>3.0212745785094253</v>
      </c>
      <c r="AS14" s="93">
        <v>12.285403306115091</v>
      </c>
      <c r="AT14" s="93">
        <v>1.9536365077867941</v>
      </c>
      <c r="AU14" s="93">
        <v>4.2592855747395628</v>
      </c>
      <c r="AV14" s="93">
        <f t="shared" si="16"/>
        <v>6.2129220825263571</v>
      </c>
      <c r="AW14" s="90" t="str">
        <f t="shared" si="17"/>
        <v>Water and sewerage</v>
      </c>
      <c r="AX14" s="39">
        <f t="shared" si="18"/>
        <v>2.6934634376716282</v>
      </c>
      <c r="AY14" s="11">
        <v>3.8772019161776843</v>
      </c>
      <c r="AZ14" s="93">
        <v>-0.76962711358062519</v>
      </c>
      <c r="BA14" s="93">
        <v>1.1804208080754564</v>
      </c>
      <c r="BB14" s="93">
        <f t="shared" si="19"/>
        <v>0.41079369449483116</v>
      </c>
      <c r="BC14" s="93"/>
      <c r="BD14" s="39">
        <f t="shared" si="20"/>
        <v>2.5916879181504093</v>
      </c>
      <c r="BE14" s="93">
        <v>0.39518397605304539</v>
      </c>
      <c r="BF14" s="93">
        <v>-0.11728323585066727</v>
      </c>
      <c r="BG14" s="93">
        <v>0.11522826186981429</v>
      </c>
      <c r="BH14" s="93">
        <f t="shared" si="21"/>
        <v>-2.0549739808529838E-3</v>
      </c>
      <c r="BJ14" s="39">
        <f t="shared" si="22"/>
        <v>2.6108631762737033</v>
      </c>
      <c r="BK14" s="93">
        <v>1.6388021332720251</v>
      </c>
      <c r="BL14" s="93">
        <v>-0.45140915346675231</v>
      </c>
      <c r="BM14" s="93">
        <v>0.48180359544498619</v>
      </c>
      <c r="BN14" s="93">
        <f t="shared" si="23"/>
        <v>3.0394441978233877E-2</v>
      </c>
      <c r="BO14" s="106"/>
      <c r="BP14" s="39">
        <f t="shared" si="24"/>
        <v>2.7879692353027563</v>
      </c>
      <c r="BQ14" s="93">
        <v>1.8432158068526141</v>
      </c>
      <c r="BR14" s="93">
        <v>-0.20093472426320558</v>
      </c>
      <c r="BS14" s="93">
        <v>0.58338895076065578</v>
      </c>
      <c r="BT14" s="93">
        <f t="shared" si="25"/>
        <v>0.3824542264974502</v>
      </c>
      <c r="BU14" s="90" t="str">
        <f t="shared" si="26"/>
        <v>Water and sewerage</v>
      </c>
      <c r="BV14" s="39">
        <f t="shared" si="27"/>
        <v>2.1639959971873068</v>
      </c>
      <c r="BW14" s="11">
        <v>9.217599475239167</v>
      </c>
      <c r="BX14" s="93">
        <v>0.61442646269312895</v>
      </c>
      <c r="BY14" s="93">
        <v>2.2005716372862962</v>
      </c>
      <c r="BZ14" s="93">
        <f t="shared" si="28"/>
        <v>2.8149980999794253</v>
      </c>
      <c r="CA14" s="93"/>
      <c r="CB14" s="39">
        <f t="shared" si="29"/>
        <v>2.1322524388695197</v>
      </c>
      <c r="CC14" s="93">
        <v>1.3746236467462931</v>
      </c>
      <c r="CD14" s="93">
        <v>-0.6797332330802186</v>
      </c>
      <c r="CE14" s="93">
        <v>0.32288857798608317</v>
      </c>
      <c r="CF14" s="93">
        <f t="shared" si="30"/>
        <v>-0.35684465509413543</v>
      </c>
      <c r="CH14" s="39">
        <f t="shared" si="31"/>
        <v>2.1183476609150542</v>
      </c>
      <c r="CI14" s="93">
        <v>6.2987020393754678</v>
      </c>
      <c r="CJ14" s="93">
        <v>1.0586789669999686</v>
      </c>
      <c r="CK14" s="93">
        <v>1.4689337630531381</v>
      </c>
      <c r="CL14" s="93">
        <f t="shared" si="32"/>
        <v>2.5276127300531064</v>
      </c>
      <c r="CM14" s="106"/>
      <c r="CN14" s="39">
        <f t="shared" si="33"/>
        <v>2.3760355283215739</v>
      </c>
      <c r="CO14" s="93">
        <v>1.5442737891174063</v>
      </c>
      <c r="CP14" s="93">
        <v>0.23548072877337922</v>
      </c>
      <c r="CQ14" s="93">
        <v>0.40874929624707479</v>
      </c>
      <c r="CR14" s="93">
        <f t="shared" si="34"/>
        <v>0.64423002502045401</v>
      </c>
      <c r="CS14" s="90" t="str">
        <f t="shared" si="35"/>
        <v>Water and sewerage</v>
      </c>
      <c r="CT14" s="39">
        <f t="shared" si="36"/>
        <v>2.4372851811505392</v>
      </c>
      <c r="CU14" s="11">
        <v>1.4161802206413483</v>
      </c>
      <c r="CV14" s="93">
        <v>-0.14513865707631529</v>
      </c>
      <c r="CW14" s="93">
        <v>0.38558884418825223</v>
      </c>
      <c r="CX14" s="93">
        <f t="shared" si="37"/>
        <v>0.24045018711193694</v>
      </c>
      <c r="CY14" s="93"/>
      <c r="CZ14" s="39">
        <f t="shared" si="38"/>
        <v>2.2654301118374853</v>
      </c>
      <c r="DA14" s="93">
        <v>0.46381055323258502</v>
      </c>
      <c r="DB14" s="93">
        <v>-0.23368945828235915</v>
      </c>
      <c r="DC14" s="93">
        <v>0.11645811147080638</v>
      </c>
      <c r="DD14" s="93">
        <f t="shared" si="39"/>
        <v>-0.11723134681155277</v>
      </c>
      <c r="DF14" s="39">
        <f t="shared" si="40"/>
        <v>2.5995569001085794</v>
      </c>
      <c r="DG14" s="93">
        <v>0.82494397660193552</v>
      </c>
      <c r="DH14" s="93">
        <v>4.4230715947542278E-2</v>
      </c>
      <c r="DI14" s="93">
        <v>0.24135577401631172</v>
      </c>
      <c r="DJ14" s="93">
        <f t="shared" si="41"/>
        <v>0.285586489963854</v>
      </c>
      <c r="DK14" s="106"/>
      <c r="DL14" s="39">
        <f t="shared" si="42"/>
        <v>1.9914236116268524</v>
      </c>
      <c r="DM14" s="93">
        <v>0.12742569080682786</v>
      </c>
      <c r="DN14" s="93">
        <v>4.4320085258501563E-2</v>
      </c>
      <c r="DO14" s="93">
        <v>2.7774958701134087E-2</v>
      </c>
      <c r="DP14" s="93">
        <f t="shared" si="43"/>
        <v>7.2095043959635646E-2</v>
      </c>
    </row>
    <row r="15" spans="1:120" x14ac:dyDescent="0.3">
      <c r="A15" s="90" t="str">
        <f>name!B11</f>
        <v>Construction</v>
      </c>
      <c r="B15" s="39">
        <f t="shared" si="1"/>
        <v>2.6332713124259444</v>
      </c>
      <c r="C15" s="11">
        <v>24.70699999999993</v>
      </c>
      <c r="D15" s="93">
        <v>2.4850000000000203</v>
      </c>
      <c r="E15" s="93">
        <v>7.3336805968811847</v>
      </c>
      <c r="F15" s="93">
        <f t="shared" si="2"/>
        <v>9.8186805968812045</v>
      </c>
      <c r="G15" s="93"/>
      <c r="H15" s="39">
        <f t="shared" si="3"/>
        <v>2.4423074235861542</v>
      </c>
      <c r="I15" s="93">
        <v>2.0674298031287628</v>
      </c>
      <c r="J15" s="93">
        <v>-0.8828890757342569</v>
      </c>
      <c r="K15" s="93">
        <v>0.56419694936710085</v>
      </c>
      <c r="L15" s="93">
        <f t="shared" si="4"/>
        <v>-0.31869212636715605</v>
      </c>
      <c r="N15" s="39">
        <f t="shared" si="5"/>
        <v>2.3615173214244889</v>
      </c>
      <c r="O15" s="93">
        <v>11.395959885205716</v>
      </c>
      <c r="P15" s="93">
        <v>1.9703829749125323</v>
      </c>
      <c r="Q15" s="93">
        <v>2.9959377256495925</v>
      </c>
      <c r="R15" s="93">
        <f t="shared" si="6"/>
        <v>4.9663207005621253</v>
      </c>
      <c r="S15" s="106"/>
      <c r="T15" s="39">
        <f t="shared" si="7"/>
        <v>2.9362141326216173</v>
      </c>
      <c r="U15" s="93">
        <v>11.243610311665455</v>
      </c>
      <c r="V15" s="93">
        <v>1.3975061008217451</v>
      </c>
      <c r="W15" s="93">
        <v>3.7735459218644927</v>
      </c>
      <c r="X15" s="93">
        <f t="shared" si="8"/>
        <v>5.1710520226862382</v>
      </c>
      <c r="Y15" s="90" t="str">
        <f t="shared" si="0"/>
        <v>Construction</v>
      </c>
      <c r="Z15" s="39">
        <f t="shared" si="9"/>
        <v>2.9275517647755267</v>
      </c>
      <c r="AA15" s="11">
        <v>13.046434238680172</v>
      </c>
      <c r="AB15" s="93">
        <v>2.1329718598151204</v>
      </c>
      <c r="AC15" s="93">
        <v>4.3639460437985305</v>
      </c>
      <c r="AD15" s="93">
        <f t="shared" si="10"/>
        <v>6.4969179036136513</v>
      </c>
      <c r="AE15" s="93"/>
      <c r="AF15" s="39">
        <f t="shared" si="11"/>
        <v>2.9029598767563725</v>
      </c>
      <c r="AG15" s="93">
        <v>0.51780999831305174</v>
      </c>
      <c r="AH15" s="93">
        <v>-0.14508224440278034</v>
      </c>
      <c r="AI15" s="93">
        <v>0.17155479671456894</v>
      </c>
      <c r="AJ15" s="93">
        <f t="shared" si="12"/>
        <v>2.6472552311788605E-2</v>
      </c>
      <c r="AL15" s="39">
        <f t="shared" si="13"/>
        <v>2.7138731733564292</v>
      </c>
      <c r="AM15" s="93">
        <v>3.3696565084990735</v>
      </c>
      <c r="AN15" s="93">
        <v>0.87665708871403969</v>
      </c>
      <c r="AO15" s="93">
        <v>1.0346414621905302</v>
      </c>
      <c r="AP15" s="93">
        <f t="shared" si="14"/>
        <v>1.9112985509045699</v>
      </c>
      <c r="AQ15" s="106"/>
      <c r="AR15" s="39">
        <f t="shared" si="15"/>
        <v>3.0065508595138457</v>
      </c>
      <c r="AS15" s="93">
        <v>9.1589677318680476</v>
      </c>
      <c r="AT15" s="93">
        <v>1.4013970155038609</v>
      </c>
      <c r="AU15" s="93">
        <v>3.1577497848934315</v>
      </c>
      <c r="AV15" s="93">
        <f t="shared" si="16"/>
        <v>4.5591468003972926</v>
      </c>
      <c r="AW15" s="90" t="str">
        <f t="shared" si="17"/>
        <v>Construction</v>
      </c>
      <c r="AX15" s="39">
        <f t="shared" si="18"/>
        <v>2.6925526136312605</v>
      </c>
      <c r="AY15" s="11">
        <v>3.651919924567808</v>
      </c>
      <c r="AZ15" s="93">
        <v>-0.23040618198892773</v>
      </c>
      <c r="BA15" s="93">
        <v>1.1114108203418209</v>
      </c>
      <c r="BB15" s="93">
        <f t="shared" si="19"/>
        <v>0.88100463835289322</v>
      </c>
      <c r="BC15" s="93"/>
      <c r="BD15" s="39">
        <f t="shared" si="20"/>
        <v>2.6003566607783579</v>
      </c>
      <c r="BE15" s="93">
        <v>0.34954045938527362</v>
      </c>
      <c r="BF15" s="93">
        <v>-0.11400742632184735</v>
      </c>
      <c r="BG15" s="93">
        <v>0.10230108293418085</v>
      </c>
      <c r="BH15" s="93">
        <f t="shared" si="21"/>
        <v>-1.1706343387666504E-2</v>
      </c>
      <c r="BJ15" s="39">
        <f t="shared" si="22"/>
        <v>2.6391873139546718</v>
      </c>
      <c r="BK15" s="93">
        <v>2.0072722798125366</v>
      </c>
      <c r="BL15" s="93">
        <v>2.1946743765527334E-2</v>
      </c>
      <c r="BM15" s="93">
        <v>0.59731151369132662</v>
      </c>
      <c r="BN15" s="93">
        <f t="shared" si="23"/>
        <v>0.61925825745685392</v>
      </c>
      <c r="BO15" s="106"/>
      <c r="BP15" s="39">
        <f t="shared" si="24"/>
        <v>2.799351314050047</v>
      </c>
      <c r="BQ15" s="93">
        <v>1.2951071853699978</v>
      </c>
      <c r="BR15" s="93">
        <v>-0.13834549943260771</v>
      </c>
      <c r="BS15" s="93">
        <v>0.41179822371631336</v>
      </c>
      <c r="BT15" s="93">
        <f t="shared" si="25"/>
        <v>0.27345272428370565</v>
      </c>
      <c r="BU15" s="90" t="str">
        <f t="shared" si="26"/>
        <v>Construction</v>
      </c>
      <c r="BV15" s="39">
        <f t="shared" si="27"/>
        <v>2.0481137979190267</v>
      </c>
      <c r="BW15" s="11">
        <v>6.6723347132595512</v>
      </c>
      <c r="BX15" s="93">
        <v>0.63046525507421236</v>
      </c>
      <c r="BY15" s="93">
        <v>1.4996518315416651</v>
      </c>
      <c r="BZ15" s="93">
        <f t="shared" si="28"/>
        <v>2.1301170866158774</v>
      </c>
      <c r="CA15" s="93"/>
      <c r="CB15" s="39">
        <f t="shared" si="29"/>
        <v>1.885726525584519</v>
      </c>
      <c r="CC15" s="93">
        <v>0.79401322796632245</v>
      </c>
      <c r="CD15" s="93">
        <v>-0.42251424724113457</v>
      </c>
      <c r="CE15" s="93">
        <v>0.16309534060812603</v>
      </c>
      <c r="CF15" s="93">
        <f t="shared" si="30"/>
        <v>-0.25941890663300854</v>
      </c>
      <c r="CH15" s="39">
        <f t="shared" si="31"/>
        <v>2.0349710354922612</v>
      </c>
      <c r="CI15" s="93">
        <v>5.1117136268203991</v>
      </c>
      <c r="CJ15" s="93">
        <v>0.94026718064231962</v>
      </c>
      <c r="CK15" s="93">
        <v>1.1408334558665532</v>
      </c>
      <c r="CL15" s="93">
        <f t="shared" si="32"/>
        <v>2.0811006365088729</v>
      </c>
      <c r="CM15" s="106"/>
      <c r="CN15" s="39">
        <f t="shared" si="33"/>
        <v>2.2998780793422213</v>
      </c>
      <c r="CO15" s="93">
        <v>0.7666078584728292</v>
      </c>
      <c r="CP15" s="93">
        <v>0.11271232167302715</v>
      </c>
      <c r="CQ15" s="93">
        <v>0.19572303506698607</v>
      </c>
      <c r="CR15" s="93">
        <f t="shared" si="34"/>
        <v>0.30843535674001321</v>
      </c>
      <c r="CS15" s="90" t="str">
        <f t="shared" si="35"/>
        <v>Construction</v>
      </c>
      <c r="CT15" s="39">
        <f t="shared" si="36"/>
        <v>2.406088217429958</v>
      </c>
      <c r="CU15" s="11">
        <v>1.3363111234924001</v>
      </c>
      <c r="CV15" s="93">
        <v>-4.8030932900384203E-2</v>
      </c>
      <c r="CW15" s="93">
        <v>0.3586719011991692</v>
      </c>
      <c r="CX15" s="93">
        <f t="shared" si="37"/>
        <v>0.31064096829878501</v>
      </c>
      <c r="CY15" s="93"/>
      <c r="CZ15" s="39">
        <f t="shared" si="38"/>
        <v>2.7633959791856677</v>
      </c>
      <c r="DA15" s="93">
        <v>0.40606611746411458</v>
      </c>
      <c r="DB15" s="93">
        <v>-0.20128515776849468</v>
      </c>
      <c r="DC15" s="93">
        <v>0.12724572911022497</v>
      </c>
      <c r="DD15" s="93">
        <f t="shared" si="39"/>
        <v>-7.4039428658269707E-2</v>
      </c>
      <c r="DF15" s="39">
        <f t="shared" si="40"/>
        <v>2.2233076528841211</v>
      </c>
      <c r="DG15" s="93">
        <v>0.90731747007370689</v>
      </c>
      <c r="DH15" s="93">
        <v>0.1315119617906455</v>
      </c>
      <c r="DI15" s="93">
        <v>0.22315129390118218</v>
      </c>
      <c r="DJ15" s="93">
        <f t="shared" si="41"/>
        <v>0.35466325569182766</v>
      </c>
      <c r="DK15" s="106"/>
      <c r="DL15" s="39">
        <f t="shared" si="42"/>
        <v>3.1295401767871711</v>
      </c>
      <c r="DM15" s="93">
        <v>2.2927535954578668E-2</v>
      </c>
      <c r="DN15" s="93">
        <v>2.174226307746498E-2</v>
      </c>
      <c r="DO15" s="93">
        <v>8.2748781877620605E-3</v>
      </c>
      <c r="DP15" s="93">
        <f t="shared" si="43"/>
        <v>3.0017141265227039E-2</v>
      </c>
    </row>
    <row r="16" spans="1:120" x14ac:dyDescent="0.3">
      <c r="A16" s="90" t="str">
        <f>name!B12</f>
        <v>Wholesale and retail trade</v>
      </c>
      <c r="B16" s="39">
        <f t="shared" si="1"/>
        <v>2.48357468355489</v>
      </c>
      <c r="C16" s="11">
        <v>49.360999999999891</v>
      </c>
      <c r="D16" s="93">
        <v>-3.0089999999999963</v>
      </c>
      <c r="E16" s="93">
        <v>13.724072101712224</v>
      </c>
      <c r="F16" s="93">
        <f t="shared" si="2"/>
        <v>10.715072101712227</v>
      </c>
      <c r="G16" s="93"/>
      <c r="H16" s="39">
        <f t="shared" si="3"/>
        <v>2.319061330483807</v>
      </c>
      <c r="I16" s="93">
        <v>11.754763181562106</v>
      </c>
      <c r="J16" s="93">
        <v>-3.3383043230730345</v>
      </c>
      <c r="K16" s="93">
        <v>3.0288080072024135</v>
      </c>
      <c r="L16" s="93">
        <f t="shared" si="4"/>
        <v>-0.30949631587062099</v>
      </c>
      <c r="N16" s="39">
        <f t="shared" si="5"/>
        <v>2.3679923975928441</v>
      </c>
      <c r="O16" s="93">
        <v>27.464527750604109</v>
      </c>
      <c r="P16" s="93">
        <v>1.036637643813106</v>
      </c>
      <c r="Q16" s="93">
        <v>7.242226228936425</v>
      </c>
      <c r="R16" s="93">
        <f t="shared" si="6"/>
        <v>8.2788638727495307</v>
      </c>
      <c r="S16" s="106"/>
      <c r="T16" s="39">
        <f t="shared" si="7"/>
        <v>2.9736241479119574</v>
      </c>
      <c r="U16" s="93">
        <v>10.141709067833677</v>
      </c>
      <c r="V16" s="93">
        <v>-0.70733332074006794</v>
      </c>
      <c r="W16" s="93">
        <v>3.4530378655733838</v>
      </c>
      <c r="X16" s="93">
        <f t="shared" si="8"/>
        <v>2.7457045448333157</v>
      </c>
      <c r="Y16" s="90" t="str">
        <f t="shared" si="0"/>
        <v>Wholesale and retail trade</v>
      </c>
      <c r="Z16" s="39">
        <f t="shared" si="9"/>
        <v>2.9998517165961136</v>
      </c>
      <c r="AA16" s="11">
        <v>14.421904529312432</v>
      </c>
      <c r="AB16" s="93">
        <v>-7.9946079548302407E-2</v>
      </c>
      <c r="AC16" s="93">
        <v>4.9596501612339017</v>
      </c>
      <c r="AD16" s="93">
        <f t="shared" si="10"/>
        <v>4.879704081685599</v>
      </c>
      <c r="AE16" s="93"/>
      <c r="AF16" s="39">
        <f t="shared" si="11"/>
        <v>2.9265331251565607</v>
      </c>
      <c r="AG16" s="93">
        <v>1.7446046239912303</v>
      </c>
      <c r="AH16" s="93">
        <v>-0.27919872461291689</v>
      </c>
      <c r="AI16" s="93">
        <v>0.58332831832535181</v>
      </c>
      <c r="AJ16" s="93">
        <f t="shared" si="12"/>
        <v>0.30412959371243492</v>
      </c>
      <c r="AL16" s="39">
        <f t="shared" si="13"/>
        <v>2.8733806306549425</v>
      </c>
      <c r="AM16" s="93">
        <v>5.4383562760409712</v>
      </c>
      <c r="AN16" s="93">
        <v>0.60778084248681408</v>
      </c>
      <c r="AO16" s="93">
        <v>1.780988355750744</v>
      </c>
      <c r="AP16" s="93">
        <f t="shared" si="14"/>
        <v>2.3887691982375578</v>
      </c>
      <c r="AQ16" s="106"/>
      <c r="AR16" s="39">
        <f t="shared" si="15"/>
        <v>3.111409774959073</v>
      </c>
      <c r="AS16" s="93">
        <v>7.2389436292802296</v>
      </c>
      <c r="AT16" s="93">
        <v>-0.40852819742219959</v>
      </c>
      <c r="AU16" s="93">
        <v>2.5953334871578053</v>
      </c>
      <c r="AV16" s="93">
        <f t="shared" si="16"/>
        <v>2.1868052897356058</v>
      </c>
      <c r="AW16" s="90" t="str">
        <f t="shared" si="17"/>
        <v>Wholesale and retail trade</v>
      </c>
      <c r="AX16" s="39">
        <f t="shared" si="18"/>
        <v>2.6838321004912791</v>
      </c>
      <c r="AY16" s="11">
        <v>4.7602092359720407</v>
      </c>
      <c r="AZ16" s="93">
        <v>-1.3205133909931142</v>
      </c>
      <c r="BA16" s="93">
        <v>1.4434326816980343</v>
      </c>
      <c r="BB16" s="93">
        <f t="shared" si="19"/>
        <v>0.12291929070492014</v>
      </c>
      <c r="BC16" s="93"/>
      <c r="BD16" s="39">
        <f t="shared" si="20"/>
        <v>2.6307138684356079</v>
      </c>
      <c r="BE16" s="93">
        <v>0.55533861181731692</v>
      </c>
      <c r="BF16" s="93">
        <v>-0.19194769411417067</v>
      </c>
      <c r="BG16" s="93">
        <v>0.16465951691361003</v>
      </c>
      <c r="BH16" s="93">
        <f t="shared" si="21"/>
        <v>-2.7288177200560648E-2</v>
      </c>
      <c r="BJ16" s="39">
        <f t="shared" si="22"/>
        <v>2.6257921936491346</v>
      </c>
      <c r="BK16" s="93">
        <v>2.4972687404973635</v>
      </c>
      <c r="BL16" s="93">
        <v>-0.56905832335257489</v>
      </c>
      <c r="BM16" s="93">
        <v>0.73889514198640793</v>
      </c>
      <c r="BN16" s="93">
        <f t="shared" si="23"/>
        <v>0.16983681863383304</v>
      </c>
      <c r="BO16" s="106"/>
      <c r="BP16" s="39">
        <f t="shared" si="24"/>
        <v>2.7852790413730899</v>
      </c>
      <c r="BQ16" s="93">
        <v>1.7076018836573603</v>
      </c>
      <c r="BR16" s="93">
        <v>-0.55950737352636859</v>
      </c>
      <c r="BS16" s="93">
        <v>0.53987802279801622</v>
      </c>
      <c r="BT16" s="93">
        <f t="shared" si="25"/>
        <v>-1.9629350728352368E-2</v>
      </c>
      <c r="BU16" s="90" t="str">
        <f t="shared" si="26"/>
        <v>Wholesale and retail trade</v>
      </c>
      <c r="BV16" s="39">
        <f t="shared" si="27"/>
        <v>2.1993314042800582</v>
      </c>
      <c r="BW16" s="11">
        <v>28.021593521784599</v>
      </c>
      <c r="BX16" s="93">
        <v>-1.4714034279099568</v>
      </c>
      <c r="BY16" s="93">
        <v>6.8100025319772302</v>
      </c>
      <c r="BZ16" s="93">
        <f t="shared" si="28"/>
        <v>5.3385991040672733</v>
      </c>
      <c r="CA16" s="93"/>
      <c r="CB16" s="39">
        <f t="shared" si="29"/>
        <v>2.1988160207137231</v>
      </c>
      <c r="CC16" s="93">
        <v>8.4984348827263929</v>
      </c>
      <c r="CD16" s="93">
        <v>-2.4130544809912187</v>
      </c>
      <c r="CE16" s="93">
        <v>2.0648160354020404</v>
      </c>
      <c r="CF16" s="93">
        <f t="shared" si="30"/>
        <v>-0.34823844558917827</v>
      </c>
      <c r="CH16" s="39">
        <f t="shared" si="31"/>
        <v>2.1891934571730776</v>
      </c>
      <c r="CI16" s="93">
        <v>18.363284813948471</v>
      </c>
      <c r="CJ16" s="93">
        <v>0.79472514229380931</v>
      </c>
      <c r="CK16" s="93">
        <v>4.4401403431475641</v>
      </c>
      <c r="CL16" s="93">
        <f t="shared" si="32"/>
        <v>5.2348654854413734</v>
      </c>
      <c r="CM16" s="106"/>
      <c r="CN16" s="39">
        <f t="shared" si="33"/>
        <v>2.3623659563032362</v>
      </c>
      <c r="CO16" s="93">
        <v>1.1598738251097345</v>
      </c>
      <c r="CP16" s="93">
        <v>0.14692591078745226</v>
      </c>
      <c r="CQ16" s="93">
        <v>0.30504615342762553</v>
      </c>
      <c r="CR16" s="93">
        <f t="shared" si="34"/>
        <v>0.4519720642150778</v>
      </c>
      <c r="CS16" s="90" t="str">
        <f t="shared" si="35"/>
        <v>Wholesale and retail trade</v>
      </c>
      <c r="CT16" s="39">
        <f t="shared" si="36"/>
        <v>2.1485540302156547</v>
      </c>
      <c r="CU16" s="11">
        <v>2.1572927129308224</v>
      </c>
      <c r="CV16" s="93">
        <v>-0.13713710154862277</v>
      </c>
      <c r="CW16" s="93">
        <v>0.51098672680305779</v>
      </c>
      <c r="CX16" s="93">
        <f t="shared" si="37"/>
        <v>0.37384962525443499</v>
      </c>
      <c r="CY16" s="93"/>
      <c r="CZ16" s="39">
        <f t="shared" si="38"/>
        <v>2.0572595476436195</v>
      </c>
      <c r="DA16" s="93">
        <v>0.95638506302716597</v>
      </c>
      <c r="DB16" s="93">
        <v>-0.4541034233547282</v>
      </c>
      <c r="DC16" s="93">
        <v>0.2160041365614109</v>
      </c>
      <c r="DD16" s="93">
        <f t="shared" si="39"/>
        <v>-0.23809928679331729</v>
      </c>
      <c r="DF16" s="39">
        <f t="shared" si="40"/>
        <v>2.1917519950891196</v>
      </c>
      <c r="DG16" s="93">
        <v>1.1656179201173043</v>
      </c>
      <c r="DH16" s="93">
        <v>0.20318998238505742</v>
      </c>
      <c r="DI16" s="93">
        <v>0.28220238805171</v>
      </c>
      <c r="DJ16" s="93">
        <f t="shared" si="41"/>
        <v>0.48539237043676742</v>
      </c>
      <c r="DK16" s="106"/>
      <c r="DL16" s="39">
        <f t="shared" si="42"/>
        <v>3.1389052752660129</v>
      </c>
      <c r="DM16" s="93">
        <v>3.5289729786351975E-2</v>
      </c>
      <c r="DN16" s="93">
        <v>0.11377633942104799</v>
      </c>
      <c r="DO16" s="93">
        <v>1.2780202189936939E-2</v>
      </c>
      <c r="DP16" s="93">
        <f t="shared" si="43"/>
        <v>0.12655654161098492</v>
      </c>
    </row>
    <row r="17" spans="1:120" x14ac:dyDescent="0.3">
      <c r="A17" s="90" t="str">
        <f>name!B13</f>
        <v>Transport and storage</v>
      </c>
      <c r="B17" s="39">
        <f t="shared" si="1"/>
        <v>2.5826643707438812</v>
      </c>
      <c r="C17" s="11">
        <v>92.525231401581493</v>
      </c>
      <c r="D17" s="93">
        <v>4.8062010655220337</v>
      </c>
      <c r="E17" s="93">
        <v>26.873559144521298</v>
      </c>
      <c r="F17" s="93">
        <f t="shared" si="2"/>
        <v>31.679760210043334</v>
      </c>
      <c r="G17" s="93"/>
      <c r="H17" s="39">
        <f t="shared" si="3"/>
        <v>2.4248789617356659</v>
      </c>
      <c r="I17" s="93">
        <v>21.198729637120138</v>
      </c>
      <c r="J17" s="93">
        <v>-6.0725510822499817</v>
      </c>
      <c r="K17" s="93">
        <v>5.7392133920891153</v>
      </c>
      <c r="L17" s="93">
        <f t="shared" si="4"/>
        <v>-0.33333769016086645</v>
      </c>
      <c r="N17" s="39">
        <f t="shared" si="5"/>
        <v>2.5234952437853897</v>
      </c>
      <c r="O17" s="93">
        <v>52.658868908190932</v>
      </c>
      <c r="P17" s="93">
        <v>7.0048539847493405</v>
      </c>
      <c r="Q17" s="93">
        <v>14.903608217095815</v>
      </c>
      <c r="R17" s="93">
        <f t="shared" si="6"/>
        <v>21.908462201845154</v>
      </c>
      <c r="S17" s="106"/>
      <c r="T17" s="39">
        <f t="shared" si="7"/>
        <v>2.9219882284781784</v>
      </c>
      <c r="U17" s="93">
        <v>18.667632856270426</v>
      </c>
      <c r="V17" s="93">
        <v>3.8738981630226754</v>
      </c>
      <c r="W17" s="93">
        <v>6.230737535336365</v>
      </c>
      <c r="X17" s="93">
        <f t="shared" si="8"/>
        <v>10.10463569835904</v>
      </c>
      <c r="Y17" s="90" t="str">
        <f t="shared" si="0"/>
        <v>Transport and storage</v>
      </c>
      <c r="Z17" s="39">
        <f t="shared" si="9"/>
        <v>2.9241425329038728</v>
      </c>
      <c r="AA17" s="11">
        <v>29.870782206299452</v>
      </c>
      <c r="AB17" s="93">
        <v>4.3408339188767497</v>
      </c>
      <c r="AC17" s="93">
        <v>9.9783777687739459</v>
      </c>
      <c r="AD17" s="93">
        <f t="shared" si="10"/>
        <v>14.319211687650697</v>
      </c>
      <c r="AE17" s="93"/>
      <c r="AF17" s="39">
        <f t="shared" si="11"/>
        <v>2.7318686124567781</v>
      </c>
      <c r="AG17" s="93">
        <v>3.8081615228264192</v>
      </c>
      <c r="AH17" s="93">
        <v>-0.6689481531577417</v>
      </c>
      <c r="AI17" s="93">
        <v>1.1780102671881654</v>
      </c>
      <c r="AJ17" s="93">
        <f t="shared" si="12"/>
        <v>0.50906211403042367</v>
      </c>
      <c r="AL17" s="39">
        <f t="shared" si="13"/>
        <v>2.8609218734994002</v>
      </c>
      <c r="AM17" s="93">
        <v>13.572153033741255</v>
      </c>
      <c r="AN17" s="93">
        <v>3.0025944902352135</v>
      </c>
      <c r="AO17" s="93">
        <v>4.4228892241268012</v>
      </c>
      <c r="AP17" s="93">
        <f t="shared" si="14"/>
        <v>7.4254837143620147</v>
      </c>
      <c r="AQ17" s="106"/>
      <c r="AR17" s="39">
        <f t="shared" si="15"/>
        <v>3.0500840000298179</v>
      </c>
      <c r="AS17" s="93">
        <v>12.490467649731778</v>
      </c>
      <c r="AT17" s="93">
        <v>2.0071875817992777</v>
      </c>
      <c r="AU17" s="93">
        <v>4.3774782774589784</v>
      </c>
      <c r="AV17" s="93">
        <f t="shared" si="16"/>
        <v>6.3846658592582557</v>
      </c>
      <c r="AW17" s="90" t="str">
        <f t="shared" si="17"/>
        <v>Transport and storage</v>
      </c>
      <c r="AX17" s="39">
        <f t="shared" si="18"/>
        <v>2.6816272634551552</v>
      </c>
      <c r="AY17" s="11">
        <v>8.998417639409773</v>
      </c>
      <c r="AZ17" s="93">
        <v>0.46368333377022369</v>
      </c>
      <c r="BA17" s="93">
        <v>2.7260618724368122</v>
      </c>
      <c r="BB17" s="93">
        <f t="shared" si="19"/>
        <v>3.1897452062070357</v>
      </c>
      <c r="BC17" s="93"/>
      <c r="BD17" s="39">
        <f t="shared" si="20"/>
        <v>2.6174041078364407</v>
      </c>
      <c r="BE17" s="93">
        <v>1.0668407233699537</v>
      </c>
      <c r="BF17" s="93">
        <v>3.2513509332090844E-2</v>
      </c>
      <c r="BG17" s="93">
        <v>0.31452866341566049</v>
      </c>
      <c r="BH17" s="93">
        <f t="shared" si="21"/>
        <v>0.34704217274775134</v>
      </c>
      <c r="BJ17" s="39">
        <f t="shared" si="22"/>
        <v>2.6363264722116364</v>
      </c>
      <c r="BK17" s="93">
        <v>4.9047319312804847</v>
      </c>
      <c r="BL17" s="93">
        <v>0.14017890795839225</v>
      </c>
      <c r="BM17" s="93">
        <v>1.4577457375951082</v>
      </c>
      <c r="BN17" s="93">
        <f t="shared" si="23"/>
        <v>1.5979246455535003</v>
      </c>
      <c r="BO17" s="106"/>
      <c r="BP17" s="39">
        <f t="shared" si="24"/>
        <v>2.7770599340433355</v>
      </c>
      <c r="BQ17" s="93">
        <v>3.0268449847593342</v>
      </c>
      <c r="BR17" s="93">
        <v>0.29099091647974057</v>
      </c>
      <c r="BS17" s="93">
        <v>0.95378747142604337</v>
      </c>
      <c r="BT17" s="93">
        <f t="shared" si="25"/>
        <v>1.2447783879057839</v>
      </c>
      <c r="BU17" s="90" t="str">
        <f t="shared" si="26"/>
        <v>Transport and storage</v>
      </c>
      <c r="BV17" s="39">
        <f t="shared" si="27"/>
        <v>2.3754907319287089</v>
      </c>
      <c r="BW17" s="11">
        <v>50.110811503507264</v>
      </c>
      <c r="BX17" s="93">
        <v>0.37983071614327241</v>
      </c>
      <c r="BY17" s="93">
        <v>13.260311196398852</v>
      </c>
      <c r="BZ17" s="93">
        <f t="shared" si="28"/>
        <v>13.640141912542125</v>
      </c>
      <c r="CA17" s="93"/>
      <c r="CB17" s="39">
        <f t="shared" si="29"/>
        <v>2.3338534370635156</v>
      </c>
      <c r="CC17" s="93">
        <v>14.74166253806875</v>
      </c>
      <c r="CD17" s="93">
        <v>-4.5191002676533572</v>
      </c>
      <c r="CE17" s="93">
        <v>3.8252523053004484</v>
      </c>
      <c r="CF17" s="93">
        <f t="shared" si="30"/>
        <v>-0.6938479623529088</v>
      </c>
      <c r="CH17" s="39">
        <f t="shared" si="31"/>
        <v>2.3772663395688065</v>
      </c>
      <c r="CI17" s="93">
        <v>32.323025931939064</v>
      </c>
      <c r="CJ17" s="93">
        <v>3.459835793309614</v>
      </c>
      <c r="CK17" s="93">
        <v>8.5604017208804635</v>
      </c>
      <c r="CL17" s="93">
        <f t="shared" si="32"/>
        <v>12.020237514190077</v>
      </c>
      <c r="CM17" s="106"/>
      <c r="CN17" s="39">
        <f t="shared" si="33"/>
        <v>2.5563381424586806</v>
      </c>
      <c r="CO17" s="93">
        <v>3.0461230334994571</v>
      </c>
      <c r="CP17" s="93">
        <v>1.4390951904870155</v>
      </c>
      <c r="CQ17" s="93">
        <v>0.87465717021794065</v>
      </c>
      <c r="CR17" s="93">
        <f t="shared" si="34"/>
        <v>2.3137523607049562</v>
      </c>
      <c r="CS17" s="90" t="str">
        <f t="shared" si="35"/>
        <v>Transport and storage</v>
      </c>
      <c r="CT17" s="39">
        <f t="shared" si="36"/>
        <v>2.3083258626595438</v>
      </c>
      <c r="CU17" s="11">
        <v>3.5452200523650017</v>
      </c>
      <c r="CV17" s="93">
        <v>-0.37814690326821171</v>
      </c>
      <c r="CW17" s="93">
        <v>0.90880830691168701</v>
      </c>
      <c r="CX17" s="93">
        <f t="shared" si="37"/>
        <v>0.53066140364347536</v>
      </c>
      <c r="CY17" s="93"/>
      <c r="CZ17" s="39">
        <f t="shared" si="38"/>
        <v>2.3896892286912941</v>
      </c>
      <c r="DA17" s="93">
        <v>1.5820648528550136</v>
      </c>
      <c r="DB17" s="93">
        <v>-0.91701617077097408</v>
      </c>
      <c r="DC17" s="93">
        <v>0.42142215618484119</v>
      </c>
      <c r="DD17" s="93">
        <f t="shared" si="39"/>
        <v>-0.49559401458613289</v>
      </c>
      <c r="DF17" s="39">
        <f t="shared" si="40"/>
        <v>2.2469738978732945</v>
      </c>
      <c r="DG17" s="93">
        <v>1.8589580112301323</v>
      </c>
      <c r="DH17" s="93">
        <v>0.40224479324612111</v>
      </c>
      <c r="DI17" s="93">
        <v>0.4625715344934439</v>
      </c>
      <c r="DJ17" s="93">
        <f t="shared" si="41"/>
        <v>0.86481632773956507</v>
      </c>
      <c r="DK17" s="106"/>
      <c r="DL17" s="39">
        <f t="shared" si="42"/>
        <v>2.1591674565122787</v>
      </c>
      <c r="DM17" s="93">
        <v>0.10419718827985559</v>
      </c>
      <c r="DN17" s="93">
        <v>0.13662447425664134</v>
      </c>
      <c r="DO17" s="93">
        <v>2.4814616233402073E-2</v>
      </c>
      <c r="DP17" s="93">
        <f t="shared" si="43"/>
        <v>0.1614390904900434</v>
      </c>
    </row>
    <row r="18" spans="1:120" x14ac:dyDescent="0.3">
      <c r="A18" s="90" t="str">
        <f>name!B14</f>
        <v>Accommodation and food</v>
      </c>
      <c r="B18" s="39">
        <f t="shared" si="1"/>
        <v>2.7290326750703198</v>
      </c>
      <c r="C18" s="11">
        <v>12.952999999999982</v>
      </c>
      <c r="D18" s="93">
        <v>0.38799999999999019</v>
      </c>
      <c r="E18" s="93">
        <v>4.0021779615326993</v>
      </c>
      <c r="F18" s="93">
        <f t="shared" si="2"/>
        <v>4.3901779615326895</v>
      </c>
      <c r="G18" s="93"/>
      <c r="H18" s="39">
        <f t="shared" si="3"/>
        <v>2.439043046528111</v>
      </c>
      <c r="I18" s="93">
        <v>0.98180011788807253</v>
      </c>
      <c r="J18" s="93">
        <v>-0.31823538887421476</v>
      </c>
      <c r="K18" s="93">
        <v>0.26753287063716108</v>
      </c>
      <c r="L18" s="93">
        <f t="shared" si="4"/>
        <v>-5.0702518237053684E-2</v>
      </c>
      <c r="N18" s="39">
        <f t="shared" si="5"/>
        <v>2.4753153877203893</v>
      </c>
      <c r="O18" s="93">
        <v>4.3897999117505364</v>
      </c>
      <c r="P18" s="93">
        <v>-3.3729018992914917E-3</v>
      </c>
      <c r="Q18" s="93">
        <v>1.2159970209281907</v>
      </c>
      <c r="R18" s="93">
        <f t="shared" si="6"/>
        <v>1.2126241190288993</v>
      </c>
      <c r="S18" s="106"/>
      <c r="T18" s="39">
        <f t="shared" si="7"/>
        <v>2.9099584906887133</v>
      </c>
      <c r="U18" s="93">
        <v>7.5813999703613737</v>
      </c>
      <c r="V18" s="93">
        <v>0.70960829077349641</v>
      </c>
      <c r="W18" s="93">
        <v>2.5186480699673486</v>
      </c>
      <c r="X18" s="93">
        <f t="shared" si="8"/>
        <v>3.2282563607408452</v>
      </c>
      <c r="Y18" s="90" t="str">
        <f t="shared" si="0"/>
        <v>Accommodation and food</v>
      </c>
      <c r="Z18" s="39">
        <f t="shared" si="9"/>
        <v>2.9001988046052141</v>
      </c>
      <c r="AA18" s="11">
        <v>8.41715005869405</v>
      </c>
      <c r="AB18" s="93">
        <v>1.2401845545007941</v>
      </c>
      <c r="AC18" s="93">
        <v>2.7856660704349108</v>
      </c>
      <c r="AD18" s="93">
        <f t="shared" si="10"/>
        <v>4.0258506249357051</v>
      </c>
      <c r="AE18" s="93"/>
      <c r="AF18" s="39">
        <f t="shared" si="11"/>
        <v>2.6294544068126147</v>
      </c>
      <c r="AG18" s="93">
        <v>0.26152951231038224</v>
      </c>
      <c r="AH18" s="93">
        <v>-4.5405475739936016E-2</v>
      </c>
      <c r="AI18" s="93">
        <v>7.7502654523601097E-2</v>
      </c>
      <c r="AJ18" s="93">
        <f t="shared" si="12"/>
        <v>3.2097178783665081E-2</v>
      </c>
      <c r="AL18" s="39">
        <f t="shared" si="13"/>
        <v>2.7712915947119443</v>
      </c>
      <c r="AM18" s="93">
        <v>1.603753842229815</v>
      </c>
      <c r="AN18" s="93">
        <v>0.37014463186933377</v>
      </c>
      <c r="AO18" s="93">
        <v>0.50417456272407901</v>
      </c>
      <c r="AP18" s="93">
        <f t="shared" si="14"/>
        <v>0.87431919459341279</v>
      </c>
      <c r="AQ18" s="106"/>
      <c r="AR18" s="39">
        <f t="shared" si="15"/>
        <v>2.9421782199993585</v>
      </c>
      <c r="AS18" s="93">
        <v>6.5518667041538512</v>
      </c>
      <c r="AT18" s="93">
        <v>0.91544539837139627</v>
      </c>
      <c r="AU18" s="93">
        <v>2.2039888531872305</v>
      </c>
      <c r="AV18" s="93">
        <f t="shared" si="16"/>
        <v>3.1194342515586269</v>
      </c>
      <c r="AW18" s="90" t="str">
        <f t="shared" si="17"/>
        <v>Accommodation and food</v>
      </c>
      <c r="AX18" s="39">
        <f t="shared" si="18"/>
        <v>2.6824624047876666</v>
      </c>
      <c r="AY18" s="11">
        <v>1.5529698962248977</v>
      </c>
      <c r="AZ18" s="93">
        <v>-0.46999464299830562</v>
      </c>
      <c r="BA18" s="93">
        <v>0.47063529840578655</v>
      </c>
      <c r="BB18" s="93">
        <f t="shared" si="19"/>
        <v>6.4065540748092786E-4</v>
      </c>
      <c r="BC18" s="93"/>
      <c r="BD18" s="39">
        <f t="shared" si="20"/>
        <v>2.5523204536911814</v>
      </c>
      <c r="BE18" s="93">
        <v>0.13614442022126955</v>
      </c>
      <c r="BF18" s="93">
        <v>-6.3296157131409597E-2</v>
      </c>
      <c r="BG18" s="93">
        <v>3.9023576340022549E-2</v>
      </c>
      <c r="BH18" s="93">
        <f t="shared" si="21"/>
        <v>-2.4272580791387048E-2</v>
      </c>
      <c r="BJ18" s="39">
        <f t="shared" si="22"/>
        <v>2.6286177015529599</v>
      </c>
      <c r="BK18" s="93">
        <v>0.68908932411816504</v>
      </c>
      <c r="BL18" s="93">
        <v>-0.20218556619821521</v>
      </c>
      <c r="BM18" s="93">
        <v>0.20413453714844726</v>
      </c>
      <c r="BN18" s="93">
        <f t="shared" si="23"/>
        <v>1.948970950232054E-3</v>
      </c>
      <c r="BO18" s="106"/>
      <c r="BP18" s="39">
        <f t="shared" si="24"/>
        <v>2.7572901368161595</v>
      </c>
      <c r="BQ18" s="93">
        <v>0.72773615188546292</v>
      </c>
      <c r="BR18" s="93">
        <v>-0.20451291966868082</v>
      </c>
      <c r="BS18" s="93">
        <v>0.22747718491731678</v>
      </c>
      <c r="BT18" s="93">
        <f t="shared" si="25"/>
        <v>2.2964265248635957E-2</v>
      </c>
      <c r="BU18" s="90" t="str">
        <f t="shared" si="26"/>
        <v>Accommodation and food</v>
      </c>
      <c r="BV18" s="39">
        <f t="shared" si="27"/>
        <v>2.2597619936791435</v>
      </c>
      <c r="BW18" s="11">
        <v>2.763662773835291</v>
      </c>
      <c r="BX18" s="93">
        <v>-0.23042163432403942</v>
      </c>
      <c r="BY18" s="93">
        <v>0.69201169643440363</v>
      </c>
      <c r="BZ18" s="93">
        <f t="shared" si="28"/>
        <v>0.46159006211036424</v>
      </c>
      <c r="CA18" s="93"/>
      <c r="CB18" s="39">
        <f t="shared" si="29"/>
        <v>2.2744187655870496</v>
      </c>
      <c r="CC18" s="93">
        <v>0.53420672462394658</v>
      </c>
      <c r="CD18" s="93">
        <v>-0.18314245506199275</v>
      </c>
      <c r="CE18" s="93">
        <v>0.13472154653176011</v>
      </c>
      <c r="CF18" s="93">
        <f t="shared" si="30"/>
        <v>-4.8420908530232648E-2</v>
      </c>
      <c r="CH18" s="39">
        <f t="shared" si="31"/>
        <v>2.2063029939758838</v>
      </c>
      <c r="CI18" s="93">
        <v>1.9276589348892854</v>
      </c>
      <c r="CJ18" s="93">
        <v>-4.5954991332827419E-2</v>
      </c>
      <c r="CK18" s="93">
        <v>0.47010811803984248</v>
      </c>
      <c r="CL18" s="93">
        <f t="shared" si="32"/>
        <v>0.42415312670701505</v>
      </c>
      <c r="CM18" s="106"/>
      <c r="CN18" s="39">
        <f t="shared" si="33"/>
        <v>2.5701813988873834</v>
      </c>
      <c r="CO18" s="93">
        <v>0.30179711432205908</v>
      </c>
      <c r="CP18" s="93">
        <v>-1.3241879292192368E-3</v>
      </c>
      <c r="CQ18" s="93">
        <v>8.7182031862801102E-2</v>
      </c>
      <c r="CR18" s="93">
        <f t="shared" si="34"/>
        <v>8.5857843933581868E-2</v>
      </c>
      <c r="CS18" s="90" t="str">
        <f t="shared" si="35"/>
        <v>Accommodation and food</v>
      </c>
      <c r="CT18" s="39">
        <f t="shared" si="36"/>
        <v>2.2214077027330692</v>
      </c>
      <c r="CU18" s="11">
        <v>0.21921727124574525</v>
      </c>
      <c r="CV18" s="93">
        <v>-0.15176827717845895</v>
      </c>
      <c r="CW18" s="93">
        <v>5.386489625759925E-2</v>
      </c>
      <c r="CX18" s="93">
        <f t="shared" si="37"/>
        <v>-9.7903380920859706E-2</v>
      </c>
      <c r="CY18" s="93"/>
      <c r="CZ18" s="39">
        <f t="shared" si="38"/>
        <v>2.8636185424038896</v>
      </c>
      <c r="DA18" s="93">
        <v>4.9919460732474302E-2</v>
      </c>
      <c r="DB18" s="93">
        <v>-2.6391300940876338E-2</v>
      </c>
      <c r="DC18" s="93">
        <v>1.6285093241777283E-2</v>
      </c>
      <c r="DD18" s="93">
        <f t="shared" si="39"/>
        <v>-1.0106207699099055E-2</v>
      </c>
      <c r="DF18" s="39">
        <f t="shared" si="40"/>
        <v>2.0249088908695478</v>
      </c>
      <c r="DG18" s="93">
        <v>0.16929781051327095</v>
      </c>
      <c r="DH18" s="93">
        <v>-0.12537697623758262</v>
      </c>
      <c r="DI18" s="93">
        <v>3.7579803015821964E-2</v>
      </c>
      <c r="DJ18" s="93">
        <f t="shared" si="41"/>
        <v>-8.7797173221760658E-2</v>
      </c>
      <c r="DK18" s="106"/>
      <c r="DL18" s="39">
        <f t="shared" si="42"/>
        <v>0</v>
      </c>
      <c r="DM18" s="93">
        <v>0</v>
      </c>
      <c r="DN18" s="93">
        <v>0</v>
      </c>
      <c r="DO18" s="93">
        <v>0</v>
      </c>
      <c r="DP18" s="93">
        <f t="shared" si="43"/>
        <v>0</v>
      </c>
    </row>
    <row r="19" spans="1:120" x14ac:dyDescent="0.3">
      <c r="A19" s="90" t="str">
        <f>name!B15</f>
        <v>Media</v>
      </c>
      <c r="B19" s="39">
        <f t="shared" si="1"/>
        <v>2.650879874909351</v>
      </c>
      <c r="C19" s="11">
        <v>16.661999999999964</v>
      </c>
      <c r="D19" s="93">
        <v>-1.8919999999999957</v>
      </c>
      <c r="E19" s="93">
        <v>4.9828157385534926</v>
      </c>
      <c r="F19" s="93">
        <f t="shared" si="2"/>
        <v>3.0908157385534967</v>
      </c>
      <c r="G19" s="93"/>
      <c r="H19" s="39">
        <f t="shared" si="3"/>
        <v>2.421853726448564</v>
      </c>
      <c r="I19" s="93">
        <v>1.9434405643167627</v>
      </c>
      <c r="J19" s="93">
        <v>-0.90855133713639524</v>
      </c>
      <c r="K19" s="93">
        <v>0.52542579270375545</v>
      </c>
      <c r="L19" s="93">
        <f t="shared" si="4"/>
        <v>-0.3831255444326398</v>
      </c>
      <c r="N19" s="39">
        <f t="shared" si="5"/>
        <v>2.4061732586688978</v>
      </c>
      <c r="O19" s="93">
        <v>7.733476770699653</v>
      </c>
      <c r="P19" s="93">
        <v>-1.0294803032346584</v>
      </c>
      <c r="Q19" s="93">
        <v>2.0757813219951484</v>
      </c>
      <c r="R19" s="93">
        <f t="shared" si="6"/>
        <v>1.04630101876049</v>
      </c>
      <c r="S19" s="106"/>
      <c r="T19" s="39">
        <f t="shared" si="7"/>
        <v>2.9772916903296753</v>
      </c>
      <c r="U19" s="93">
        <v>6.9850826649835493</v>
      </c>
      <c r="V19" s="93">
        <v>4.6031640371057968E-2</v>
      </c>
      <c r="W19" s="93">
        <v>2.3816086238545888</v>
      </c>
      <c r="X19" s="93">
        <f t="shared" si="8"/>
        <v>2.4276402642256469</v>
      </c>
      <c r="Y19" s="90" t="str">
        <f t="shared" si="0"/>
        <v>Media</v>
      </c>
      <c r="Z19" s="39">
        <f t="shared" si="9"/>
        <v>2.9185657815322896</v>
      </c>
      <c r="AA19" s="11">
        <v>8.3794062941985281</v>
      </c>
      <c r="AB19" s="93">
        <v>-0.17587640052692693</v>
      </c>
      <c r="AC19" s="93">
        <v>2.7930973117040807</v>
      </c>
      <c r="AD19" s="93">
        <f t="shared" si="10"/>
        <v>2.6172209111771538</v>
      </c>
      <c r="AE19" s="93"/>
      <c r="AF19" s="39">
        <f t="shared" si="11"/>
        <v>2.7459576371490213</v>
      </c>
      <c r="AG19" s="93">
        <v>0.31243496317011898</v>
      </c>
      <c r="AH19" s="93">
        <v>-0.10738960201360218</v>
      </c>
      <c r="AI19" s="93">
        <v>9.7209482795084096E-2</v>
      </c>
      <c r="AJ19" s="93">
        <f t="shared" si="12"/>
        <v>-1.018011921851808E-2</v>
      </c>
      <c r="AL19" s="39">
        <f t="shared" si="13"/>
        <v>2.6372520747176109</v>
      </c>
      <c r="AM19" s="93">
        <v>2.000766979672798</v>
      </c>
      <c r="AN19" s="93">
        <v>-0.14537129206384908</v>
      </c>
      <c r="AO19" s="93">
        <v>0.59488625177063192</v>
      </c>
      <c r="AP19" s="93">
        <f t="shared" si="14"/>
        <v>0.44951495970678285</v>
      </c>
      <c r="AQ19" s="106"/>
      <c r="AR19" s="39">
        <f t="shared" si="15"/>
        <v>3.0186007978292295</v>
      </c>
      <c r="AS19" s="93">
        <v>6.0662043513556112</v>
      </c>
      <c r="AT19" s="93">
        <v>7.6884493550524291E-2</v>
      </c>
      <c r="AU19" s="93">
        <v>2.1010015771383648</v>
      </c>
      <c r="AV19" s="93">
        <f t="shared" si="16"/>
        <v>2.177886070688889</v>
      </c>
      <c r="AW19" s="90" t="str">
        <f t="shared" si="17"/>
        <v>Media</v>
      </c>
      <c r="AX19" s="39">
        <f t="shared" si="18"/>
        <v>2.6651859485115947</v>
      </c>
      <c r="AY19" s="11">
        <v>1.664971822536162</v>
      </c>
      <c r="AZ19" s="93">
        <v>-0.7022088254799439</v>
      </c>
      <c r="BA19" s="93">
        <v>0.50093050963156127</v>
      </c>
      <c r="BB19" s="93">
        <f t="shared" si="19"/>
        <v>-0.20127831584838263</v>
      </c>
      <c r="BC19" s="93"/>
      <c r="BD19" s="39">
        <f t="shared" si="20"/>
        <v>2.581820000482149</v>
      </c>
      <c r="BE19" s="93">
        <v>0.26372544688368038</v>
      </c>
      <c r="BF19" s="93">
        <v>-0.10831956062703628</v>
      </c>
      <c r="BG19" s="93">
        <v>7.6569920735424277E-2</v>
      </c>
      <c r="BH19" s="93">
        <f t="shared" si="21"/>
        <v>-3.1749639891612003E-2</v>
      </c>
      <c r="BJ19" s="39">
        <f t="shared" si="22"/>
        <v>2.6382225672916038</v>
      </c>
      <c r="BK19" s="93">
        <v>0.90622693590093328</v>
      </c>
      <c r="BL19" s="93">
        <v>-0.31112932759164502</v>
      </c>
      <c r="BM19" s="93">
        <v>0.26955881347514621</v>
      </c>
      <c r="BN19" s="93">
        <f t="shared" si="23"/>
        <v>-4.1570514116498813E-2</v>
      </c>
      <c r="BO19" s="106"/>
      <c r="BP19" s="39">
        <f t="shared" si="24"/>
        <v>2.7583597057282416</v>
      </c>
      <c r="BQ19" s="93">
        <v>0.4950194397515485</v>
      </c>
      <c r="BR19" s="93">
        <v>-0.28275993726126269</v>
      </c>
      <c r="BS19" s="93">
        <v>0.15480177542099077</v>
      </c>
      <c r="BT19" s="93">
        <f t="shared" si="25"/>
        <v>-0.12795816184027192</v>
      </c>
      <c r="BU19" s="90" t="str">
        <f t="shared" si="26"/>
        <v>Media</v>
      </c>
      <c r="BV19" s="39">
        <f t="shared" si="27"/>
        <v>2.301250253200271</v>
      </c>
      <c r="BW19" s="11">
        <v>5.9165033698801821</v>
      </c>
      <c r="BX19" s="93">
        <v>-1.0278366832146471</v>
      </c>
      <c r="BY19" s="93">
        <v>1.5115416978807021</v>
      </c>
      <c r="BZ19" s="93">
        <f t="shared" si="28"/>
        <v>0.48370501466605509</v>
      </c>
      <c r="CA19" s="93"/>
      <c r="CB19" s="39">
        <f t="shared" si="29"/>
        <v>2.3115008885774335</v>
      </c>
      <c r="CC19" s="93">
        <v>1.2498018824231734</v>
      </c>
      <c r="CD19" s="93">
        <v>-0.61465964280907215</v>
      </c>
      <c r="CE19" s="93">
        <v>0.32087094919664594</v>
      </c>
      <c r="CF19" s="93">
        <f t="shared" si="30"/>
        <v>-0.29378869361242621</v>
      </c>
      <c r="CH19" s="39">
        <f t="shared" si="31"/>
        <v>2.2668844506140928</v>
      </c>
      <c r="CI19" s="93">
        <v>4.2539717403366248</v>
      </c>
      <c r="CJ19" s="93">
        <v>-0.61145217832122922</v>
      </c>
      <c r="CK19" s="93">
        <v>1.0688859433031883</v>
      </c>
      <c r="CL19" s="93">
        <f t="shared" si="32"/>
        <v>0.45743376498195909</v>
      </c>
      <c r="CM19" s="106"/>
      <c r="CN19" s="39">
        <f t="shared" si="33"/>
        <v>2.6193775887513038</v>
      </c>
      <c r="CO19" s="93">
        <v>0.41272974712038374</v>
      </c>
      <c r="CP19" s="93">
        <v>0.19827513791565432</v>
      </c>
      <c r="CQ19" s="93">
        <v>0.12178480538086794</v>
      </c>
      <c r="CR19" s="93">
        <f t="shared" si="34"/>
        <v>0.32005994329652226</v>
      </c>
      <c r="CS19" s="90" t="str">
        <f t="shared" si="35"/>
        <v>Media</v>
      </c>
      <c r="CT19" s="39">
        <f t="shared" si="36"/>
        <v>2.2794409399427673</v>
      </c>
      <c r="CU19" s="11">
        <v>0.70111851338509235</v>
      </c>
      <c r="CV19" s="93">
        <v>1.3921909221522149E-2</v>
      </c>
      <c r="CW19" s="93">
        <v>0.17724621933714907</v>
      </c>
      <c r="CX19" s="93">
        <f t="shared" si="37"/>
        <v>0.19116812855867121</v>
      </c>
      <c r="CY19" s="93"/>
      <c r="CZ19" s="39">
        <f t="shared" si="38"/>
        <v>2.3539960057005649</v>
      </c>
      <c r="DA19" s="93">
        <v>0.11747827183979</v>
      </c>
      <c r="DB19" s="93">
        <v>-7.8182531686684584E-2</v>
      </c>
      <c r="DC19" s="93">
        <v>3.0775439976601052E-2</v>
      </c>
      <c r="DD19" s="93">
        <f t="shared" si="39"/>
        <v>-4.7407091710083532E-2</v>
      </c>
      <c r="DF19" s="39">
        <f t="shared" si="40"/>
        <v>2.2468339355165234</v>
      </c>
      <c r="DG19" s="93">
        <v>0.57251111478929684</v>
      </c>
      <c r="DH19" s="93">
        <v>3.8472494742064697E-2</v>
      </c>
      <c r="DI19" s="93">
        <v>0.14245031344618231</v>
      </c>
      <c r="DJ19" s="93">
        <f t="shared" si="41"/>
        <v>0.18092280818824702</v>
      </c>
      <c r="DK19" s="106"/>
      <c r="DL19" s="39">
        <f t="shared" si="42"/>
        <v>3.132129843378717</v>
      </c>
      <c r="DM19" s="93">
        <v>1.1129126756005558E-2</v>
      </c>
      <c r="DN19" s="93">
        <v>5.3631946166142037E-2</v>
      </c>
      <c r="DO19" s="93">
        <v>4.0204659143656838E-3</v>
      </c>
      <c r="DP19" s="93">
        <f t="shared" si="43"/>
        <v>5.7652412080507719E-2</v>
      </c>
    </row>
    <row r="20" spans="1:120" x14ac:dyDescent="0.3">
      <c r="A20" s="90" t="str">
        <f>name!B16</f>
        <v>Information technology</v>
      </c>
      <c r="B20" s="39">
        <f t="shared" si="1"/>
        <v>2.630000270050048</v>
      </c>
      <c r="C20" s="11">
        <v>34.601999999999876</v>
      </c>
      <c r="D20" s="93">
        <v>-3.8549999999999471</v>
      </c>
      <c r="E20" s="93">
        <v>10.256474686233423</v>
      </c>
      <c r="F20" s="93">
        <f t="shared" si="2"/>
        <v>6.4014746862334757</v>
      </c>
      <c r="G20" s="93"/>
      <c r="H20" s="39">
        <f t="shared" si="3"/>
        <v>2.4896239324975644</v>
      </c>
      <c r="I20" s="93">
        <v>6.3842523172142389</v>
      </c>
      <c r="J20" s="93">
        <v>-1.3027470433857931</v>
      </c>
      <c r="K20" s="93">
        <v>1.7798612708286927</v>
      </c>
      <c r="L20" s="93">
        <f t="shared" si="4"/>
        <v>0.47711422744289966</v>
      </c>
      <c r="N20" s="39">
        <f t="shared" si="5"/>
        <v>2.5461854565335118</v>
      </c>
      <c r="O20" s="93">
        <v>18.08880807286123</v>
      </c>
      <c r="P20" s="93">
        <v>-2.1012037936311048</v>
      </c>
      <c r="Q20" s="93">
        <v>5.1709423641740262</v>
      </c>
      <c r="R20" s="93">
        <f t="shared" si="6"/>
        <v>3.0697385705429214</v>
      </c>
      <c r="S20" s="106"/>
      <c r="T20" s="39">
        <f t="shared" si="7"/>
        <v>2.8646399549337564</v>
      </c>
      <c r="U20" s="93">
        <v>10.128939609924409</v>
      </c>
      <c r="V20" s="93">
        <v>-0.45104916298304948</v>
      </c>
      <c r="W20" s="93">
        <v>3.3056710512307044</v>
      </c>
      <c r="X20" s="93">
        <f t="shared" si="8"/>
        <v>2.8546218882476548</v>
      </c>
      <c r="Y20" s="90" t="str">
        <f t="shared" si="0"/>
        <v>Information technology</v>
      </c>
      <c r="Z20" s="39">
        <f t="shared" si="9"/>
        <v>2.8552821094793401</v>
      </c>
      <c r="AA20" s="11">
        <v>13.953182859548033</v>
      </c>
      <c r="AB20" s="93">
        <v>-1.67980428374619</v>
      </c>
      <c r="AC20" s="93">
        <v>4.5369181113981396</v>
      </c>
      <c r="AD20" s="93">
        <f t="shared" si="10"/>
        <v>2.8571138276519497</v>
      </c>
      <c r="AE20" s="93"/>
      <c r="AF20" s="39">
        <f t="shared" si="11"/>
        <v>2.798663449076022</v>
      </c>
      <c r="AG20" s="93">
        <v>1.2847958755225881</v>
      </c>
      <c r="AH20" s="93">
        <v>-0.12384047360641834</v>
      </c>
      <c r="AI20" s="93">
        <v>0.40840629030865233</v>
      </c>
      <c r="AJ20" s="93">
        <f t="shared" si="12"/>
        <v>0.28456581670223402</v>
      </c>
      <c r="AL20" s="39">
        <f t="shared" si="13"/>
        <v>2.7559320611477256</v>
      </c>
      <c r="AM20" s="93">
        <v>4.8268191334861674</v>
      </c>
      <c r="AN20" s="93">
        <v>-0.57107107367591969</v>
      </c>
      <c r="AO20" s="93">
        <v>1.5079392492593697</v>
      </c>
      <c r="AP20" s="93">
        <f t="shared" si="14"/>
        <v>0.93686817558345004</v>
      </c>
      <c r="AQ20" s="106"/>
      <c r="AR20" s="39">
        <f t="shared" si="15"/>
        <v>2.9252105333952505</v>
      </c>
      <c r="AS20" s="93">
        <v>7.8415678505392767</v>
      </c>
      <c r="AT20" s="93">
        <v>-0.98489273646385189</v>
      </c>
      <c r="AU20" s="93">
        <v>2.6205725718301167</v>
      </c>
      <c r="AV20" s="93">
        <f t="shared" si="16"/>
        <v>1.6356798353662647</v>
      </c>
      <c r="AW20" s="90" t="str">
        <f t="shared" si="17"/>
        <v>Information technology</v>
      </c>
      <c r="AX20" s="39">
        <f t="shared" si="18"/>
        <v>2.6748514920266198</v>
      </c>
      <c r="AY20" s="11">
        <v>4.2099312351777032</v>
      </c>
      <c r="AZ20" s="93">
        <v>-0.56161412539516631</v>
      </c>
      <c r="BA20" s="93">
        <v>1.2717759825285015</v>
      </c>
      <c r="BB20" s="93">
        <f t="shared" si="19"/>
        <v>0.71016185713333524</v>
      </c>
      <c r="BC20" s="93"/>
      <c r="BD20" s="39">
        <f t="shared" si="20"/>
        <v>2.5994582145060452</v>
      </c>
      <c r="BE20" s="93">
        <v>0.53565838194452042</v>
      </c>
      <c r="BF20" s="93">
        <v>-7.8618004194655866E-2</v>
      </c>
      <c r="BG20" s="93">
        <v>0.15671215650903289</v>
      </c>
      <c r="BH20" s="93">
        <f t="shared" si="21"/>
        <v>7.8094152314377024E-2</v>
      </c>
      <c r="BJ20" s="39">
        <f t="shared" si="22"/>
        <v>2.6483527756445246</v>
      </c>
      <c r="BK20" s="93">
        <v>2.2560634885597532</v>
      </c>
      <c r="BL20" s="93">
        <v>-0.30542322205299727</v>
      </c>
      <c r="BM20" s="93">
        <v>0.67396040804007895</v>
      </c>
      <c r="BN20" s="93">
        <f t="shared" si="23"/>
        <v>0.36853718598708168</v>
      </c>
      <c r="BO20" s="106"/>
      <c r="BP20" s="39">
        <f t="shared" si="24"/>
        <v>2.7451216362557762</v>
      </c>
      <c r="BQ20" s="93">
        <v>1.4182093646734297</v>
      </c>
      <c r="BR20" s="93">
        <v>-0.17757289914751315</v>
      </c>
      <c r="BS20" s="93">
        <v>0.44110341797938962</v>
      </c>
      <c r="BT20" s="93">
        <f t="shared" si="25"/>
        <v>0.2635305188318765</v>
      </c>
      <c r="BU20" s="90" t="str">
        <f t="shared" si="26"/>
        <v>Information technology</v>
      </c>
      <c r="BV20" s="39">
        <f t="shared" si="27"/>
        <v>2.4242377604531073</v>
      </c>
      <c r="BW20" s="11">
        <v>15.223628532016798</v>
      </c>
      <c r="BX20" s="93">
        <v>-1.9724996964398605</v>
      </c>
      <c r="BY20" s="93">
        <v>4.1203403348407761</v>
      </c>
      <c r="BZ20" s="93">
        <f t="shared" si="28"/>
        <v>2.1478406384009157</v>
      </c>
      <c r="CA20" s="93"/>
      <c r="CB20" s="39">
        <f t="shared" si="29"/>
        <v>2.4043230891266143</v>
      </c>
      <c r="CC20" s="93">
        <v>4.0549670831540263</v>
      </c>
      <c r="CD20" s="93">
        <v>-0.87521384736118646</v>
      </c>
      <c r="CE20" s="93">
        <v>1.0874848929554206</v>
      </c>
      <c r="CF20" s="93">
        <f t="shared" si="30"/>
        <v>0.21227104559423415</v>
      </c>
      <c r="CH20" s="39">
        <f t="shared" si="31"/>
        <v>2.4287404250380895</v>
      </c>
      <c r="CI20" s="93">
        <v>10.383652468950638</v>
      </c>
      <c r="CJ20" s="93">
        <v>-1.3016002996443403</v>
      </c>
      <c r="CK20" s="93">
        <v>2.8161814283025186</v>
      </c>
      <c r="CL20" s="93">
        <f t="shared" si="32"/>
        <v>1.5145811286581783</v>
      </c>
      <c r="CM20" s="106"/>
      <c r="CN20" s="39">
        <f t="shared" si="33"/>
        <v>2.4673648385086233</v>
      </c>
      <c r="CO20" s="93">
        <v>0.78500897991213381</v>
      </c>
      <c r="CP20" s="93">
        <v>0.20431445056566661</v>
      </c>
      <c r="CQ20" s="93">
        <v>0.21667401358283661</v>
      </c>
      <c r="CR20" s="93">
        <f t="shared" si="34"/>
        <v>0.42098846414850322</v>
      </c>
      <c r="CS20" s="90" t="str">
        <f t="shared" si="35"/>
        <v>Information technology</v>
      </c>
      <c r="CT20" s="39">
        <f t="shared" si="36"/>
        <v>2.4144541847002987</v>
      </c>
      <c r="CU20" s="11">
        <v>1.2152573732573435</v>
      </c>
      <c r="CV20" s="93">
        <v>0.35891810558126896</v>
      </c>
      <c r="CW20" s="93">
        <v>0.32744025746600702</v>
      </c>
      <c r="CX20" s="93">
        <f t="shared" si="37"/>
        <v>0.68635836304727604</v>
      </c>
      <c r="CY20" s="93"/>
      <c r="CZ20" s="39">
        <f t="shared" si="38"/>
        <v>2.2573250871402939</v>
      </c>
      <c r="DA20" s="93">
        <v>0.50883097659310417</v>
      </c>
      <c r="DB20" s="93">
        <v>-0.22507471822353237</v>
      </c>
      <c r="DC20" s="93">
        <v>0.12725793105558686</v>
      </c>
      <c r="DD20" s="93">
        <f t="shared" si="39"/>
        <v>-9.7816787167945507E-2</v>
      </c>
      <c r="DF20" s="39">
        <f t="shared" si="40"/>
        <v>2.4816129596337833</v>
      </c>
      <c r="DG20" s="93">
        <v>0.62227298186467062</v>
      </c>
      <c r="DH20" s="93">
        <v>7.6890801742152348E-2</v>
      </c>
      <c r="DI20" s="93">
        <v>0.1728612785720591</v>
      </c>
      <c r="DJ20" s="93">
        <f t="shared" si="41"/>
        <v>0.24975208031421145</v>
      </c>
      <c r="DK20" s="106"/>
      <c r="DL20" s="39">
        <f t="shared" si="42"/>
        <v>2.8514371248256065</v>
      </c>
      <c r="DM20" s="93">
        <v>8.4153414799568824E-2</v>
      </c>
      <c r="DN20" s="93">
        <v>0.50710202206264898</v>
      </c>
      <c r="DO20" s="93">
        <v>2.7321047838361107E-2</v>
      </c>
      <c r="DP20" s="93">
        <f t="shared" si="43"/>
        <v>0.53442306990101007</v>
      </c>
    </row>
    <row r="21" spans="1:120" x14ac:dyDescent="0.3">
      <c r="A21" s="90" t="str">
        <f>name!B17</f>
        <v>Finance and insurance</v>
      </c>
      <c r="B21" s="39">
        <f t="shared" si="1"/>
        <v>2.4812804219719098</v>
      </c>
      <c r="C21" s="11">
        <v>33.322999999999901</v>
      </c>
      <c r="D21" s="93">
        <v>-3.4569999999999741</v>
      </c>
      <c r="E21" s="93">
        <v>9.2554181233713848</v>
      </c>
      <c r="F21" s="93">
        <f t="shared" si="2"/>
        <v>5.7984181233714107</v>
      </c>
      <c r="G21" s="93"/>
      <c r="H21" s="39">
        <f t="shared" si="3"/>
        <v>2.3436986854765918</v>
      </c>
      <c r="I21" s="93">
        <v>7.7779668974735596</v>
      </c>
      <c r="J21" s="93">
        <v>-2.1913610207501648</v>
      </c>
      <c r="K21" s="93">
        <v>2.0277008362964004</v>
      </c>
      <c r="L21" s="93">
        <f t="shared" si="4"/>
        <v>-0.1636601844537644</v>
      </c>
      <c r="N21" s="39">
        <f t="shared" si="5"/>
        <v>2.3961637037624106</v>
      </c>
      <c r="O21" s="93">
        <v>18.946833896500934</v>
      </c>
      <c r="P21" s="93">
        <v>-1.9125527829377933</v>
      </c>
      <c r="Q21" s="93">
        <v>5.0621349318084921</v>
      </c>
      <c r="R21" s="93">
        <f t="shared" si="6"/>
        <v>3.1495821488706985</v>
      </c>
      <c r="S21" s="106"/>
      <c r="T21" s="39">
        <f t="shared" si="7"/>
        <v>2.878971077935244</v>
      </c>
      <c r="U21" s="93">
        <v>6.5981992060254084</v>
      </c>
      <c r="V21" s="93">
        <v>0.64691380368798412</v>
      </c>
      <c r="W21" s="93">
        <v>2.1655823552664915</v>
      </c>
      <c r="X21" s="93">
        <f t="shared" si="8"/>
        <v>2.8124961589544757</v>
      </c>
      <c r="Y21" s="90" t="str">
        <f t="shared" si="0"/>
        <v>Finance and insurance</v>
      </c>
      <c r="Z21" s="39">
        <f t="shared" si="9"/>
        <v>2.798959749955654</v>
      </c>
      <c r="AA21" s="11">
        <v>12.270868694716109</v>
      </c>
      <c r="AB21" s="93">
        <v>2.9764862885854111</v>
      </c>
      <c r="AC21" s="93">
        <v>3.9010857145843958</v>
      </c>
      <c r="AD21" s="93">
        <f t="shared" si="10"/>
        <v>6.8775720031698064</v>
      </c>
      <c r="AE21" s="93"/>
      <c r="AF21" s="39">
        <f t="shared" si="11"/>
        <v>2.7178804906447418</v>
      </c>
      <c r="AG21" s="93">
        <v>1.4082979674661906</v>
      </c>
      <c r="AH21" s="93">
        <v>5.2896058974020416E-2</v>
      </c>
      <c r="AI21" s="93">
        <v>0.43313132387053488</v>
      </c>
      <c r="AJ21" s="93">
        <f t="shared" si="12"/>
        <v>0.48602738284455527</v>
      </c>
      <c r="AL21" s="39">
        <f t="shared" si="13"/>
        <v>2.6905674486324749</v>
      </c>
      <c r="AM21" s="93">
        <v>5.7129298402976092</v>
      </c>
      <c r="AN21" s="93">
        <v>2.2476050941027323</v>
      </c>
      <c r="AO21" s="93">
        <v>1.737210049999393</v>
      </c>
      <c r="AP21" s="93">
        <f t="shared" si="14"/>
        <v>3.9848151441021251</v>
      </c>
      <c r="AQ21" s="106"/>
      <c r="AR21" s="39">
        <f t="shared" si="15"/>
        <v>2.939861842779945</v>
      </c>
      <c r="AS21" s="93">
        <v>5.1496408869523096</v>
      </c>
      <c r="AT21" s="93">
        <v>0.67598513550865802</v>
      </c>
      <c r="AU21" s="93">
        <v>1.7307443407144678</v>
      </c>
      <c r="AV21" s="93">
        <f t="shared" si="16"/>
        <v>2.4067294762231257</v>
      </c>
      <c r="AW21" s="90" t="str">
        <f t="shared" si="17"/>
        <v>Finance and insurance</v>
      </c>
      <c r="AX21" s="39">
        <f t="shared" si="18"/>
        <v>2.6672196716569507</v>
      </c>
      <c r="AY21" s="11">
        <v>3.1291828896233556</v>
      </c>
      <c r="AZ21" s="93">
        <v>4.7662543576286416E-2</v>
      </c>
      <c r="BA21" s="93">
        <v>0.94226572050611046</v>
      </c>
      <c r="BB21" s="93">
        <f t="shared" si="19"/>
        <v>0.98992826408239687</v>
      </c>
      <c r="BC21" s="93"/>
      <c r="BD21" s="39">
        <f t="shared" si="20"/>
        <v>2.6037899995889902</v>
      </c>
      <c r="BE21" s="93">
        <v>0.61592438154919227</v>
      </c>
      <c r="BF21" s="93">
        <v>-3.7382232284277769E-2</v>
      </c>
      <c r="BG21" s="93">
        <v>0.18053095656887813</v>
      </c>
      <c r="BH21" s="93">
        <f t="shared" si="21"/>
        <v>0.14314872428460035</v>
      </c>
      <c r="BJ21" s="39">
        <f t="shared" si="22"/>
        <v>2.6401755891724665</v>
      </c>
      <c r="BK21" s="93">
        <v>1.812577752323878</v>
      </c>
      <c r="BL21" s="93">
        <v>-1.6849737964863366E-2</v>
      </c>
      <c r="BM21" s="93">
        <v>0.53960200635034938</v>
      </c>
      <c r="BN21" s="93">
        <f t="shared" si="23"/>
        <v>0.52275226838548605</v>
      </c>
      <c r="BO21" s="106"/>
      <c r="BP21" s="39">
        <f t="shared" si="24"/>
        <v>2.7920140765933743</v>
      </c>
      <c r="BQ21" s="93">
        <v>0.70068075575028521</v>
      </c>
      <c r="BR21" s="93">
        <v>0.10189451382542755</v>
      </c>
      <c r="BS21" s="93">
        <v>0.22213275758688292</v>
      </c>
      <c r="BT21" s="93">
        <f t="shared" si="25"/>
        <v>0.32402727141231047</v>
      </c>
      <c r="BU21" s="90" t="str">
        <f t="shared" si="26"/>
        <v>Finance and insurance</v>
      </c>
      <c r="BV21" s="39">
        <f t="shared" si="27"/>
        <v>2.2225807612637372</v>
      </c>
      <c r="BW21" s="11">
        <v>17.010496310706994</v>
      </c>
      <c r="BX21" s="93">
        <v>-6.2268929517639569</v>
      </c>
      <c r="BY21" s="93">
        <v>4.1821600833902677</v>
      </c>
      <c r="BZ21" s="93">
        <f t="shared" si="28"/>
        <v>-2.0447328683736892</v>
      </c>
      <c r="CA21" s="93"/>
      <c r="CB21" s="39">
        <f t="shared" si="29"/>
        <v>2.2178133748506523</v>
      </c>
      <c r="CC21" s="93">
        <v>5.361386794682045</v>
      </c>
      <c r="CD21" s="93">
        <v>-2.3999699747148724</v>
      </c>
      <c r="CE21" s="93">
        <v>1.3150232829970165</v>
      </c>
      <c r="CF21" s="93">
        <f t="shared" si="30"/>
        <v>-1.0849466917178558</v>
      </c>
      <c r="CH21" s="39">
        <f t="shared" si="31"/>
        <v>2.2046166739490669</v>
      </c>
      <c r="CI21" s="93">
        <v>10.966559197882978</v>
      </c>
      <c r="CJ21" s="93">
        <v>-3.7501749723874718</v>
      </c>
      <c r="CK21" s="93">
        <v>2.6722208134635381</v>
      </c>
      <c r="CL21" s="93">
        <f t="shared" si="32"/>
        <v>-1.0779541589239336</v>
      </c>
      <c r="CM21" s="106"/>
      <c r="CN21" s="39">
        <f t="shared" si="33"/>
        <v>2.5438402112385017</v>
      </c>
      <c r="CO21" s="93">
        <v>0.68255031814196876</v>
      </c>
      <c r="CP21" s="93">
        <v>-7.6748004661612662E-2</v>
      </c>
      <c r="CQ21" s="93">
        <v>0.19491598692971274</v>
      </c>
      <c r="CR21" s="93">
        <f t="shared" si="34"/>
        <v>0.11816798226810007</v>
      </c>
      <c r="CS21" s="90" t="str">
        <f t="shared" si="35"/>
        <v>Finance and insurance</v>
      </c>
      <c r="CT21" s="39">
        <f t="shared" si="36"/>
        <v>2.2725870846393104</v>
      </c>
      <c r="CU21" s="11">
        <v>0.91245210495344775</v>
      </c>
      <c r="CV21" s="93">
        <v>-0.25425588039771407</v>
      </c>
      <c r="CW21" s="93">
        <v>0.22990660489061099</v>
      </c>
      <c r="CX21" s="93">
        <f t="shared" si="37"/>
        <v>-2.4349275507103085E-2</v>
      </c>
      <c r="CY21" s="93"/>
      <c r="CZ21" s="39">
        <f t="shared" si="38"/>
        <v>2.2758052007650242</v>
      </c>
      <c r="DA21" s="93">
        <v>0.3923577537761323</v>
      </c>
      <c r="DB21" s="93">
        <v>0.19309512727496547</v>
      </c>
      <c r="DC21" s="93">
        <v>9.9015272859970554E-2</v>
      </c>
      <c r="DD21" s="93">
        <f t="shared" si="39"/>
        <v>0.29211040013493605</v>
      </c>
      <c r="DF21" s="39">
        <f t="shared" si="40"/>
        <v>2.2459052950809522</v>
      </c>
      <c r="DG21" s="93">
        <v>0.4547671059964703</v>
      </c>
      <c r="DH21" s="93">
        <v>-0.3931331666881907</v>
      </c>
      <c r="DI21" s="93">
        <v>0.11310206199521274</v>
      </c>
      <c r="DJ21" s="93">
        <f t="shared" si="41"/>
        <v>-0.28003110469297798</v>
      </c>
      <c r="DK21" s="106"/>
      <c r="DL21" s="39">
        <f t="shared" si="42"/>
        <v>2.4375771949586511</v>
      </c>
      <c r="DM21" s="93">
        <v>6.5327245180845164E-2</v>
      </c>
      <c r="DN21" s="93">
        <v>-5.4217840984488806E-2</v>
      </c>
      <c r="DO21" s="93">
        <v>1.7789270035427705E-2</v>
      </c>
      <c r="DP21" s="93">
        <f t="shared" si="43"/>
        <v>-3.6428570949061101E-2</v>
      </c>
    </row>
    <row r="22" spans="1:120" x14ac:dyDescent="0.3">
      <c r="A22" s="90" t="str">
        <f>name!B18</f>
        <v>Real estate</v>
      </c>
      <c r="B22" s="39">
        <f t="shared" si="1"/>
        <v>2.6116897758494684</v>
      </c>
      <c r="C22" s="11">
        <v>6.1683349428474763</v>
      </c>
      <c r="D22" s="93">
        <v>0.196627540592925</v>
      </c>
      <c r="E22" s="93">
        <v>1.8141175570326864</v>
      </c>
      <c r="F22" s="93">
        <f t="shared" si="2"/>
        <v>2.0107450976256116</v>
      </c>
      <c r="G22" s="93"/>
      <c r="H22" s="39">
        <f t="shared" si="3"/>
        <v>2.514226030268718</v>
      </c>
      <c r="I22" s="93">
        <v>1.4414399971181822</v>
      </c>
      <c r="J22" s="93">
        <v>-0.35250015246161959</v>
      </c>
      <c r="K22" s="93">
        <v>0.40628757914793828</v>
      </c>
      <c r="L22" s="93">
        <f t="shared" si="4"/>
        <v>5.3787426686318696E-2</v>
      </c>
      <c r="N22" s="39">
        <f t="shared" si="5"/>
        <v>2.6214470082087438</v>
      </c>
      <c r="O22" s="93">
        <v>2.3753843717507803</v>
      </c>
      <c r="P22" s="93">
        <v>0.12579529520222252</v>
      </c>
      <c r="Q22" s="93">
        <v>0.701528764239294</v>
      </c>
      <c r="R22" s="93">
        <f t="shared" si="6"/>
        <v>0.82732405944151655</v>
      </c>
      <c r="S22" s="106"/>
      <c r="T22" s="39">
        <f t="shared" si="7"/>
        <v>2.6612106513108635</v>
      </c>
      <c r="U22" s="93">
        <v>2.3515105739785147</v>
      </c>
      <c r="V22" s="93">
        <v>0.42333239785232213</v>
      </c>
      <c r="W22" s="93">
        <v>0.70630121364545417</v>
      </c>
      <c r="X22" s="93">
        <f t="shared" si="8"/>
        <v>1.1296336114977763</v>
      </c>
      <c r="Y22" s="90" t="str">
        <f t="shared" si="0"/>
        <v>Real estate</v>
      </c>
      <c r="Z22" s="39">
        <f t="shared" si="9"/>
        <v>2.7183631629002836</v>
      </c>
      <c r="AA22" s="11">
        <v>3.1732901245624543</v>
      </c>
      <c r="AB22" s="93">
        <v>0.6841817025054634</v>
      </c>
      <c r="AC22" s="93">
        <v>0.97616127527036756</v>
      </c>
      <c r="AD22" s="93">
        <f t="shared" si="10"/>
        <v>1.660342977775831</v>
      </c>
      <c r="AE22" s="93"/>
      <c r="AF22" s="39">
        <f t="shared" si="11"/>
        <v>2.6131607505413434</v>
      </c>
      <c r="AG22" s="93">
        <v>0.19250680994422617</v>
      </c>
      <c r="AH22" s="93">
        <v>0.16401414967811412</v>
      </c>
      <c r="AI22" s="93">
        <v>5.6652287723932618E-2</v>
      </c>
      <c r="AJ22" s="93">
        <f t="shared" si="12"/>
        <v>0.22066643740204672</v>
      </c>
      <c r="AL22" s="39">
        <f t="shared" si="13"/>
        <v>2.8445633977957741</v>
      </c>
      <c r="AM22" s="93">
        <v>0.85860730100895899</v>
      </c>
      <c r="AN22" s="93">
        <v>4.2190547756578954E-2</v>
      </c>
      <c r="AO22" s="93">
        <v>0.27799351979985232</v>
      </c>
      <c r="AP22" s="93">
        <f t="shared" si="14"/>
        <v>0.32018406755643125</v>
      </c>
      <c r="AQ22" s="106"/>
      <c r="AR22" s="39">
        <f t="shared" si="15"/>
        <v>2.6764431790775811</v>
      </c>
      <c r="AS22" s="93">
        <v>2.1221760136092689</v>
      </c>
      <c r="AT22" s="93">
        <v>0.47797700507077023</v>
      </c>
      <c r="AU22" s="93">
        <v>0.64151546774658263</v>
      </c>
      <c r="AV22" s="93">
        <f t="shared" si="16"/>
        <v>1.119492472817353</v>
      </c>
      <c r="AW22" s="90" t="str">
        <f t="shared" si="17"/>
        <v>Real estate</v>
      </c>
      <c r="AX22" s="39">
        <f t="shared" si="18"/>
        <v>2.6817205379647824</v>
      </c>
      <c r="AY22" s="11">
        <v>0.48397528340046003</v>
      </c>
      <c r="AZ22" s="93">
        <v>-0.12994053725972496</v>
      </c>
      <c r="BA22" s="93">
        <v>0.14662556967400292</v>
      </c>
      <c r="BB22" s="93">
        <f t="shared" si="19"/>
        <v>1.6685032414277962E-2</v>
      </c>
      <c r="BC22" s="93"/>
      <c r="BD22" s="39">
        <f t="shared" si="20"/>
        <v>2.6291172026759568</v>
      </c>
      <c r="BE22" s="93">
        <v>9.4966037850212306E-2</v>
      </c>
      <c r="BF22" s="93">
        <v>-2.1192060628218386E-2</v>
      </c>
      <c r="BG22" s="93">
        <v>2.8138553500052236E-2</v>
      </c>
      <c r="BH22" s="93">
        <f t="shared" si="21"/>
        <v>6.9464928718338502E-3</v>
      </c>
      <c r="BJ22" s="39">
        <f t="shared" si="22"/>
        <v>2.6564659717416284</v>
      </c>
      <c r="BK22" s="93">
        <v>0.28934641044130943</v>
      </c>
      <c r="BL22" s="93">
        <v>-6.9725317303981571E-2</v>
      </c>
      <c r="BM22" s="93">
        <v>8.6734415154016753E-2</v>
      </c>
      <c r="BN22" s="93">
        <f t="shared" si="23"/>
        <v>1.7009097850035182E-2</v>
      </c>
      <c r="BO22" s="106"/>
      <c r="BP22" s="39">
        <f t="shared" si="24"/>
        <v>2.8043080569318812</v>
      </c>
      <c r="BQ22" s="93">
        <v>9.9662835108938322E-2</v>
      </c>
      <c r="BR22" s="93">
        <v>-3.9023159327524995E-2</v>
      </c>
      <c r="BS22" s="93">
        <v>3.1752601019933914E-2</v>
      </c>
      <c r="BT22" s="93">
        <f t="shared" si="25"/>
        <v>-7.270558307591081E-3</v>
      </c>
      <c r="BU22" s="90" t="str">
        <f t="shared" si="26"/>
        <v>Real estate</v>
      </c>
      <c r="BV22" s="39">
        <f t="shared" si="27"/>
        <v>2.4416221739186561</v>
      </c>
      <c r="BW22" s="11">
        <v>2.2997640416194169</v>
      </c>
      <c r="BX22" s="93">
        <v>-0.8033658212946152</v>
      </c>
      <c r="BY22" s="93">
        <v>0.6274046319250105</v>
      </c>
      <c r="BZ22" s="93">
        <f t="shared" si="28"/>
        <v>-0.1759611893696047</v>
      </c>
      <c r="CA22" s="93"/>
      <c r="CB22" s="39">
        <f t="shared" si="29"/>
        <v>2.4552545911513901</v>
      </c>
      <c r="CC22" s="93">
        <v>1.0388676866360598</v>
      </c>
      <c r="CD22" s="93">
        <v>-0.38022277882383149</v>
      </c>
      <c r="CE22" s="93">
        <v>0.285176888828165</v>
      </c>
      <c r="CF22" s="93">
        <f t="shared" si="30"/>
        <v>-9.5045889995666488E-2</v>
      </c>
      <c r="CH22" s="39">
        <f t="shared" si="31"/>
        <v>2.4368885305120269</v>
      </c>
      <c r="CI22" s="93">
        <v>1.1528693059881228</v>
      </c>
      <c r="CJ22" s="93">
        <v>-0.40179371550567344</v>
      </c>
      <c r="CK22" s="93">
        <v>0.31383937301156528</v>
      </c>
      <c r="CL22" s="93">
        <f t="shared" si="32"/>
        <v>-8.7954342494108162E-2</v>
      </c>
      <c r="CM22" s="106"/>
      <c r="CN22" s="39">
        <f t="shared" si="33"/>
        <v>2.3606641104796822</v>
      </c>
      <c r="CO22" s="93">
        <v>0.10802704899523392</v>
      </c>
      <c r="CP22" s="93">
        <v>-2.134932696511032E-2</v>
      </c>
      <c r="CQ22" s="93">
        <v>2.8388370085280102E-2</v>
      </c>
      <c r="CR22" s="93">
        <f t="shared" si="34"/>
        <v>7.0390431201697821E-3</v>
      </c>
      <c r="CS22" s="90" t="str">
        <f t="shared" si="35"/>
        <v>Real estate</v>
      </c>
      <c r="CT22" s="39">
        <f t="shared" si="36"/>
        <v>2.6783181831917302</v>
      </c>
      <c r="CU22" s="11">
        <v>0.21130549326514642</v>
      </c>
      <c r="CV22" s="93">
        <v>0.44575219664180188</v>
      </c>
      <c r="CW22" s="93">
        <v>6.3926080163305615E-2</v>
      </c>
      <c r="CX22" s="93">
        <f t="shared" si="37"/>
        <v>0.50967827680510747</v>
      </c>
      <c r="CY22" s="93"/>
      <c r="CZ22" s="39">
        <f t="shared" si="38"/>
        <v>2.7805168236047173</v>
      </c>
      <c r="DA22" s="93">
        <v>0.11509946268768383</v>
      </c>
      <c r="DB22" s="93">
        <v>-0.11509946268768383</v>
      </c>
      <c r="DC22" s="93">
        <v>3.6319849095788476E-2</v>
      </c>
      <c r="DD22" s="93">
        <f t="shared" si="39"/>
        <v>-7.8779613591895351E-2</v>
      </c>
      <c r="DF22" s="39">
        <f t="shared" si="40"/>
        <v>2.7210008218849335</v>
      </c>
      <c r="DG22" s="93">
        <v>7.4561354312388889E-2</v>
      </c>
      <c r="DH22" s="93">
        <v>0.55512378025529863</v>
      </c>
      <c r="DI22" s="93">
        <v>2.2961456273859673E-2</v>
      </c>
      <c r="DJ22" s="93">
        <f t="shared" si="41"/>
        <v>0.57808523652915833</v>
      </c>
      <c r="DK22" s="106"/>
      <c r="DL22" s="39">
        <f t="shared" si="42"/>
        <v>1.9631026785993377</v>
      </c>
      <c r="DM22" s="93">
        <v>2.1644676265073697E-2</v>
      </c>
      <c r="DN22" s="93">
        <v>5.7278790741871642E-3</v>
      </c>
      <c r="DO22" s="93">
        <v>4.64477479365746E-3</v>
      </c>
      <c r="DP22" s="93">
        <f t="shared" si="43"/>
        <v>1.0372653867844625E-2</v>
      </c>
    </row>
    <row r="23" spans="1:120" x14ac:dyDescent="0.3">
      <c r="A23" s="90" t="str">
        <f>name!B19</f>
        <v>Professional services</v>
      </c>
      <c r="B23" s="39">
        <f t="shared" si="1"/>
        <v>2.6743157766083714</v>
      </c>
      <c r="C23" s="11">
        <v>38.965266386568921</v>
      </c>
      <c r="D23" s="93">
        <v>11.458986137276469</v>
      </c>
      <c r="E23" s="93">
        <v>11.768350327197798</v>
      </c>
      <c r="F23" s="93">
        <f t="shared" si="2"/>
        <v>23.227336464474266</v>
      </c>
      <c r="G23" s="93"/>
      <c r="H23" s="39">
        <f t="shared" si="3"/>
        <v>2.5161455631662166</v>
      </c>
      <c r="I23" s="93">
        <v>10.746753519096059</v>
      </c>
      <c r="J23" s="93">
        <v>0.60470899426028668</v>
      </c>
      <c r="K23" s="93">
        <v>3.0316842468873038</v>
      </c>
      <c r="L23" s="93">
        <f t="shared" si="4"/>
        <v>3.6363932411475903</v>
      </c>
      <c r="N23" s="39">
        <f t="shared" si="5"/>
        <v>2.6382849635641303</v>
      </c>
      <c r="O23" s="93">
        <v>19.377813500619759</v>
      </c>
      <c r="P23" s="93">
        <v>6.3961252707032488</v>
      </c>
      <c r="Q23" s="93">
        <v>5.7641179254827515</v>
      </c>
      <c r="R23" s="93">
        <f t="shared" si="6"/>
        <v>12.160243196186</v>
      </c>
      <c r="S23" s="106"/>
      <c r="T23" s="39">
        <f t="shared" si="7"/>
        <v>2.9409728215002984</v>
      </c>
      <c r="U23" s="93">
        <v>8.8406993668531033</v>
      </c>
      <c r="V23" s="93">
        <v>4.4581518723129312</v>
      </c>
      <c r="W23" s="93">
        <v>2.972548154827741</v>
      </c>
      <c r="X23" s="93">
        <f t="shared" si="8"/>
        <v>7.4307000271406718</v>
      </c>
      <c r="Y23" s="90" t="str">
        <f t="shared" si="0"/>
        <v>Professional services</v>
      </c>
      <c r="Z23" s="39">
        <f t="shared" si="9"/>
        <v>3.0111146972381153</v>
      </c>
      <c r="AA23" s="11">
        <v>12.983727410431358</v>
      </c>
      <c r="AB23" s="93">
        <v>7.3161535468635082</v>
      </c>
      <c r="AC23" s="93">
        <v>4.4841548751658866</v>
      </c>
      <c r="AD23" s="93">
        <f t="shared" si="10"/>
        <v>11.800308422029396</v>
      </c>
      <c r="AE23" s="93"/>
      <c r="AF23" s="39">
        <f t="shared" si="11"/>
        <v>2.8731628500449968</v>
      </c>
      <c r="AG23" s="93">
        <v>1.9378479390650463</v>
      </c>
      <c r="AH23" s="93">
        <v>1.549926671508655</v>
      </c>
      <c r="AI23" s="93">
        <v>0.63456461426776711</v>
      </c>
      <c r="AJ23" s="93">
        <f t="shared" si="12"/>
        <v>2.184491285776422</v>
      </c>
      <c r="AL23" s="39">
        <f t="shared" si="13"/>
        <v>3.0369546647093459</v>
      </c>
      <c r="AM23" s="93">
        <v>4.9791010176174728</v>
      </c>
      <c r="AN23" s="93">
        <v>2.6541784276946645</v>
      </c>
      <c r="AO23" s="93">
        <v>1.7364411510950009</v>
      </c>
      <c r="AP23" s="93">
        <f t="shared" si="14"/>
        <v>4.3906195787896651</v>
      </c>
      <c r="AQ23" s="106"/>
      <c r="AR23" s="39">
        <f t="shared" si="15"/>
        <v>3.0336611731275553</v>
      </c>
      <c r="AS23" s="93">
        <v>6.0667784537488378</v>
      </c>
      <c r="AT23" s="93">
        <v>3.1120484476601886</v>
      </c>
      <c r="AU23" s="93">
        <v>2.113149109803119</v>
      </c>
      <c r="AV23" s="93">
        <f t="shared" si="16"/>
        <v>5.2251975574633072</v>
      </c>
      <c r="AW23" s="90" t="str">
        <f t="shared" si="17"/>
        <v>Professional services</v>
      </c>
      <c r="AX23" s="39">
        <f t="shared" si="18"/>
        <v>2.6662390167296435</v>
      </c>
      <c r="AY23" s="11">
        <v>4.377709221482184</v>
      </c>
      <c r="AZ23" s="93">
        <v>0.80308463988107726</v>
      </c>
      <c r="BA23" s="93">
        <v>1.3176803910698349</v>
      </c>
      <c r="BB23" s="93">
        <f t="shared" si="19"/>
        <v>2.1207650309509121</v>
      </c>
      <c r="BC23" s="93"/>
      <c r="BD23" s="39">
        <f t="shared" si="20"/>
        <v>2.5700639379084178</v>
      </c>
      <c r="BE23" s="93">
        <v>0.73699369082515398</v>
      </c>
      <c r="BF23" s="93">
        <v>8.1502387714943961E-2</v>
      </c>
      <c r="BG23" s="93">
        <v>0.21288912804948243</v>
      </c>
      <c r="BH23" s="93">
        <f t="shared" si="21"/>
        <v>0.2943915157644264</v>
      </c>
      <c r="BJ23" s="39">
        <f t="shared" si="22"/>
        <v>2.6279165568233287</v>
      </c>
      <c r="BK23" s="93">
        <v>2.307013712695364</v>
      </c>
      <c r="BL23" s="93">
        <v>0.55219489458428639</v>
      </c>
      <c r="BM23" s="93">
        <v>0.6832211463125315</v>
      </c>
      <c r="BN23" s="93">
        <f t="shared" si="23"/>
        <v>1.2354160408968178</v>
      </c>
      <c r="BO23" s="106"/>
      <c r="BP23" s="39">
        <f t="shared" si="24"/>
        <v>2.784722232207959</v>
      </c>
      <c r="BQ23" s="93">
        <v>1.3337018179616666</v>
      </c>
      <c r="BR23" s="93">
        <v>0.16938735758184675</v>
      </c>
      <c r="BS23" s="93">
        <v>0.42157011670782107</v>
      </c>
      <c r="BT23" s="93">
        <f t="shared" si="25"/>
        <v>0.59095747428966783</v>
      </c>
      <c r="BU23" s="90" t="str">
        <f t="shared" si="26"/>
        <v>Professional services</v>
      </c>
      <c r="BV23" s="39">
        <f t="shared" si="27"/>
        <v>2.4703617034511627</v>
      </c>
      <c r="BW23" s="11">
        <v>20.365934087380882</v>
      </c>
      <c r="BX23" s="93">
        <v>2.1048678580900813</v>
      </c>
      <c r="BY23" s="93">
        <v>5.6288985612392128</v>
      </c>
      <c r="BZ23" s="93">
        <f t="shared" si="28"/>
        <v>7.7337664193292941</v>
      </c>
      <c r="CA23" s="93"/>
      <c r="CB23" s="39">
        <f t="shared" si="29"/>
        <v>2.4286762007679874</v>
      </c>
      <c r="CC23" s="93">
        <v>7.4477312798356223</v>
      </c>
      <c r="CD23" s="93">
        <v>-0.68225133953011141</v>
      </c>
      <c r="CE23" s="93">
        <v>2.0198621022347334</v>
      </c>
      <c r="CF23" s="93">
        <f t="shared" si="30"/>
        <v>1.3376107627046219</v>
      </c>
      <c r="CH23" s="39">
        <f t="shared" si="31"/>
        <v>2.4720591117074919</v>
      </c>
      <c r="CI23" s="93">
        <v>11.586627461599615</v>
      </c>
      <c r="CJ23" s="93">
        <v>1.943280535192967</v>
      </c>
      <c r="CK23" s="93">
        <v>3.2048540580010663</v>
      </c>
      <c r="CL23" s="93">
        <f t="shared" si="32"/>
        <v>5.1481345931940332</v>
      </c>
      <c r="CM23" s="106"/>
      <c r="CN23" s="39">
        <f t="shared" si="33"/>
        <v>2.6862600536722958</v>
      </c>
      <c r="CO23" s="93">
        <v>1.3315753459456456</v>
      </c>
      <c r="CP23" s="93">
        <v>0.84383866242722605</v>
      </c>
      <c r="CQ23" s="93">
        <v>0.40418240100341252</v>
      </c>
      <c r="CR23" s="93">
        <f t="shared" si="34"/>
        <v>1.2480210634306386</v>
      </c>
      <c r="CS23" s="90" t="str">
        <f t="shared" si="35"/>
        <v>Professional services</v>
      </c>
      <c r="CT23" s="39">
        <f t="shared" si="36"/>
        <v>2.4409911721383182</v>
      </c>
      <c r="CU23" s="11">
        <v>1.2378956672744925</v>
      </c>
      <c r="CV23" s="93">
        <v>1.2348800924418006</v>
      </c>
      <c r="CW23" s="93">
        <v>0.33761649972286273</v>
      </c>
      <c r="CX23" s="93">
        <f t="shared" si="37"/>
        <v>1.5724965921646634</v>
      </c>
      <c r="CY23" s="93"/>
      <c r="CZ23" s="39">
        <f t="shared" si="38"/>
        <v>2.365082760893733</v>
      </c>
      <c r="DA23" s="93">
        <v>0.62418060937023667</v>
      </c>
      <c r="DB23" s="93">
        <v>-0.34446872543320101</v>
      </c>
      <c r="DC23" s="93">
        <v>0.16436840233532063</v>
      </c>
      <c r="DD23" s="93">
        <f t="shared" si="39"/>
        <v>-0.18010032309788038</v>
      </c>
      <c r="DF23" s="39">
        <f t="shared" si="40"/>
        <v>2.4704563056764162</v>
      </c>
      <c r="DG23" s="93">
        <v>0.50507130870730466</v>
      </c>
      <c r="DH23" s="93">
        <v>1.2464714132313313</v>
      </c>
      <c r="DI23" s="93">
        <v>0.13960157007415316</v>
      </c>
      <c r="DJ23" s="93">
        <f t="shared" si="41"/>
        <v>1.3860729833054843</v>
      </c>
      <c r="DK23" s="106"/>
      <c r="DL23" s="39">
        <f t="shared" si="42"/>
        <v>2.7346741769566751</v>
      </c>
      <c r="DM23" s="93">
        <v>0.10864374919695106</v>
      </c>
      <c r="DN23" s="93">
        <v>0.33287740464367022</v>
      </c>
      <c r="DO23" s="93">
        <v>3.3646527313388873E-2</v>
      </c>
      <c r="DP23" s="93">
        <f t="shared" si="43"/>
        <v>0.36652393195705907</v>
      </c>
    </row>
    <row r="24" spans="1:120" x14ac:dyDescent="0.3">
      <c r="A24" s="90" t="str">
        <f>name!B20</f>
        <v>Support services</v>
      </c>
      <c r="B24" s="39">
        <f t="shared" si="1"/>
        <v>2.784566936730104</v>
      </c>
      <c r="C24" s="11">
        <v>18.720999999999954</v>
      </c>
      <c r="D24" s="93">
        <v>-3.057999999999971</v>
      </c>
      <c r="E24" s="93">
        <v>5.9171529721011353</v>
      </c>
      <c r="F24" s="93">
        <f t="shared" si="2"/>
        <v>2.8591529721011644</v>
      </c>
      <c r="G24" s="93"/>
      <c r="H24" s="39">
        <f t="shared" si="3"/>
        <v>2.6966927781337358</v>
      </c>
      <c r="I24" s="93">
        <v>1.8191700717908714</v>
      </c>
      <c r="J24" s="93">
        <v>6.4644504245958259E-2</v>
      </c>
      <c r="K24" s="93">
        <v>0.55459579978511464</v>
      </c>
      <c r="L24" s="93">
        <f t="shared" si="4"/>
        <v>0.61924030403107289</v>
      </c>
      <c r="N24" s="39">
        <f t="shared" si="5"/>
        <v>2.6438542588397285</v>
      </c>
      <c r="O24" s="93">
        <v>7.3253420053436527</v>
      </c>
      <c r="P24" s="93">
        <v>-2.4007825753231029</v>
      </c>
      <c r="Q24" s="93">
        <v>2.1841522273672624</v>
      </c>
      <c r="R24" s="93">
        <f t="shared" si="6"/>
        <v>-0.21663034795584046</v>
      </c>
      <c r="S24" s="106"/>
      <c r="T24" s="39">
        <f t="shared" si="7"/>
        <v>2.9075064601009837</v>
      </c>
      <c r="U24" s="93">
        <v>9.5764879228654252</v>
      </c>
      <c r="V24" s="93">
        <v>-0.72186192892282663</v>
      </c>
      <c r="W24" s="93">
        <v>3.1784049449487575</v>
      </c>
      <c r="X24" s="93">
        <f t="shared" si="8"/>
        <v>2.4565430160259307</v>
      </c>
      <c r="Y24" s="90" t="str">
        <f t="shared" si="0"/>
        <v>Support services</v>
      </c>
      <c r="Z24" s="39">
        <f t="shared" si="9"/>
        <v>2.8851376822058405</v>
      </c>
      <c r="AA24" s="11">
        <v>10.861879630593116</v>
      </c>
      <c r="AB24" s="93">
        <v>-1.2989925832272919</v>
      </c>
      <c r="AC24" s="93">
        <v>3.5736065944117534</v>
      </c>
      <c r="AD24" s="93">
        <f t="shared" si="10"/>
        <v>2.2746140111844615</v>
      </c>
      <c r="AE24" s="93"/>
      <c r="AF24" s="39">
        <f t="shared" si="11"/>
        <v>2.8363041726111371</v>
      </c>
      <c r="AG24" s="93">
        <v>0.7258796023165236</v>
      </c>
      <c r="AH24" s="93">
        <v>0.20317213116103808</v>
      </c>
      <c r="AI24" s="93">
        <v>0.23424852857398526</v>
      </c>
      <c r="AJ24" s="93">
        <f t="shared" si="12"/>
        <v>0.43742065973502331</v>
      </c>
      <c r="AL24" s="39">
        <f t="shared" si="13"/>
        <v>2.7318188913306285</v>
      </c>
      <c r="AM24" s="93">
        <v>2.8702469151779071</v>
      </c>
      <c r="AN24" s="93">
        <v>-1.1155443530893807</v>
      </c>
      <c r="AO24" s="93">
        <v>0.88785915434127438</v>
      </c>
      <c r="AP24" s="93">
        <f t="shared" si="14"/>
        <v>-0.22768519874810633</v>
      </c>
      <c r="AQ24" s="106"/>
      <c r="AR24" s="39">
        <f t="shared" si="15"/>
        <v>2.949983891234198</v>
      </c>
      <c r="AS24" s="93">
        <v>7.2657531130986843</v>
      </c>
      <c r="AT24" s="93">
        <v>-0.38662036129894933</v>
      </c>
      <c r="AU24" s="93">
        <v>2.4514989114964938</v>
      </c>
      <c r="AV24" s="93">
        <f t="shared" si="16"/>
        <v>2.0648785501975446</v>
      </c>
      <c r="AW24" s="90" t="str">
        <f t="shared" si="17"/>
        <v>Support services</v>
      </c>
      <c r="AX24" s="39">
        <f t="shared" si="18"/>
        <v>2.6712682976482327</v>
      </c>
      <c r="AY24" s="11">
        <v>4.6040936604188767</v>
      </c>
      <c r="AZ24" s="93">
        <v>-0.6550004254648718</v>
      </c>
      <c r="BA24" s="93">
        <v>1.3887564948003865</v>
      </c>
      <c r="BB24" s="93">
        <f t="shared" si="19"/>
        <v>0.73375606933551474</v>
      </c>
      <c r="BC24" s="93"/>
      <c r="BD24" s="39">
        <f t="shared" si="20"/>
        <v>2.5535596624300272</v>
      </c>
      <c r="BE24" s="93">
        <v>0.37306162643140794</v>
      </c>
      <c r="BF24" s="93">
        <v>1.7209773799081063E-3</v>
      </c>
      <c r="BG24" s="93">
        <v>0.10699003130978606</v>
      </c>
      <c r="BH24" s="93">
        <f t="shared" si="21"/>
        <v>0.10871100868969416</v>
      </c>
      <c r="BJ24" s="39">
        <f t="shared" si="22"/>
        <v>2.6033003151062717</v>
      </c>
      <c r="BK24" s="93">
        <v>2.3193614224732308</v>
      </c>
      <c r="BL24" s="93">
        <v>-0.3840544144532913</v>
      </c>
      <c r="BM24" s="93">
        <v>0.67967495424035318</v>
      </c>
      <c r="BN24" s="93">
        <f t="shared" si="23"/>
        <v>0.29562053978706188</v>
      </c>
      <c r="BO24" s="106"/>
      <c r="BP24" s="39">
        <f t="shared" si="24"/>
        <v>2.7758580766296781</v>
      </c>
      <c r="BQ24" s="93">
        <v>1.9116706115142377</v>
      </c>
      <c r="BR24" s="93">
        <v>-0.27266698839148851</v>
      </c>
      <c r="BS24" s="93">
        <v>0.60209150925024713</v>
      </c>
      <c r="BT24" s="93">
        <f t="shared" si="25"/>
        <v>0.32942452085875862</v>
      </c>
      <c r="BU24" s="90" t="str">
        <f t="shared" si="26"/>
        <v>Support services</v>
      </c>
      <c r="BV24" s="39">
        <f t="shared" si="27"/>
        <v>2.5698479897015236</v>
      </c>
      <c r="BW24" s="11">
        <v>2.8786585131525628</v>
      </c>
      <c r="BX24" s="93">
        <v>-1.0291019906527104</v>
      </c>
      <c r="BY24" s="93">
        <v>0.83145560121971473</v>
      </c>
      <c r="BZ24" s="93">
        <f t="shared" si="28"/>
        <v>-0.19764638943299562</v>
      </c>
      <c r="CA24" s="93"/>
      <c r="CB24" s="39">
        <f t="shared" si="29"/>
        <v>2.5646022644531197</v>
      </c>
      <c r="CC24" s="93">
        <v>0.59910933522220677</v>
      </c>
      <c r="CD24" s="93">
        <v>-0.12449271037143683</v>
      </c>
      <c r="CE24" s="93">
        <v>0.17264857384459545</v>
      </c>
      <c r="CF24" s="93">
        <f t="shared" si="30"/>
        <v>4.8155863473158617E-2</v>
      </c>
      <c r="CH24" s="39">
        <f t="shared" si="31"/>
        <v>2.551043008047893</v>
      </c>
      <c r="CI24" s="93">
        <v>1.9475203609870202</v>
      </c>
      <c r="CJ24" s="93">
        <v>-0.84938831927492153</v>
      </c>
      <c r="CK24" s="93">
        <v>0.55791281892363431</v>
      </c>
      <c r="CL24" s="93">
        <f t="shared" si="32"/>
        <v>-0.29147550035128722</v>
      </c>
      <c r="CM24" s="106"/>
      <c r="CN24" s="39">
        <f t="shared" si="33"/>
        <v>2.6888973859664045</v>
      </c>
      <c r="CO24" s="93">
        <v>0.33202881694333602</v>
      </c>
      <c r="CP24" s="93">
        <v>-5.5220961006352098E-2</v>
      </c>
      <c r="CQ24" s="93">
        <v>0.10089420845148493</v>
      </c>
      <c r="CR24" s="93">
        <f t="shared" si="34"/>
        <v>4.5673247445132834E-2</v>
      </c>
      <c r="CS24" s="90" t="str">
        <f t="shared" si="35"/>
        <v>Support services</v>
      </c>
      <c r="CT24" s="39">
        <f t="shared" si="36"/>
        <v>2.8750024457964374</v>
      </c>
      <c r="CU24" s="11">
        <v>0.37636819583539599</v>
      </c>
      <c r="CV24" s="93">
        <v>-7.4905000655096768E-2</v>
      </c>
      <c r="CW24" s="93">
        <v>0.12333428166928057</v>
      </c>
      <c r="CX24" s="93">
        <f t="shared" si="37"/>
        <v>4.8429281014183798E-2</v>
      </c>
      <c r="CY24" s="93"/>
      <c r="CZ24" s="39">
        <f t="shared" si="38"/>
        <v>2.9399620026260287</v>
      </c>
      <c r="DA24" s="93">
        <v>0.12111950782073322</v>
      </c>
      <c r="DB24" s="93">
        <v>-1.5755893923551086E-2</v>
      </c>
      <c r="DC24" s="93">
        <v>4.0708666056747972E-2</v>
      </c>
      <c r="DD24" s="93">
        <f t="shared" si="39"/>
        <v>2.4952772133196886E-2</v>
      </c>
      <c r="DF24" s="39">
        <f t="shared" si="40"/>
        <v>2.7520154670829022</v>
      </c>
      <c r="DG24" s="93">
        <v>0.18821330670549469</v>
      </c>
      <c r="DH24" s="93">
        <v>-5.1795488505508955E-2</v>
      </c>
      <c r="DI24" s="93">
        <v>5.8705299862000827E-2</v>
      </c>
      <c r="DJ24" s="93">
        <f t="shared" si="41"/>
        <v>6.9098113564918726E-3</v>
      </c>
      <c r="DK24" s="106"/>
      <c r="DL24" s="39">
        <f t="shared" si="42"/>
        <v>3.0985559180604971</v>
      </c>
      <c r="DM24" s="93">
        <v>6.7035381309168043E-2</v>
      </c>
      <c r="DN24" s="93">
        <v>-7.3536182260367233E-3</v>
      </c>
      <c r="DO24" s="93">
        <v>2.3920315750531766E-2</v>
      </c>
      <c r="DP24" s="93">
        <f t="shared" si="43"/>
        <v>1.6566697524495043E-2</v>
      </c>
    </row>
    <row r="25" spans="1:120" x14ac:dyDescent="0.3">
      <c r="A25" s="90" t="str">
        <f>name!B21</f>
        <v>Public admin. and defence</v>
      </c>
      <c r="B25" s="39">
        <f t="shared" si="1"/>
        <v>2.7845669367305037</v>
      </c>
      <c r="C25" s="11">
        <v>1.4539999999999971</v>
      </c>
      <c r="D25" s="93">
        <v>0.21500000000000094</v>
      </c>
      <c r="E25" s="93">
        <v>0.45956628499740532</v>
      </c>
      <c r="F25" s="93">
        <f t="shared" si="2"/>
        <v>0.67456628499740623</v>
      </c>
      <c r="G25" s="93"/>
      <c r="H25" s="39">
        <f t="shared" si="3"/>
        <v>2.6966927781336025</v>
      </c>
      <c r="I25" s="93">
        <v>0.14128910231210851</v>
      </c>
      <c r="J25" s="93">
        <v>5.9444251924195786E-2</v>
      </c>
      <c r="K25" s="93">
        <v>4.3073676239935618E-2</v>
      </c>
      <c r="L25" s="93">
        <f t="shared" si="4"/>
        <v>0.10251792816413141</v>
      </c>
      <c r="N25" s="39">
        <f t="shared" si="5"/>
        <v>2.6438542588399061</v>
      </c>
      <c r="O25" s="93">
        <v>0.56893580875873839</v>
      </c>
      <c r="P25" s="93">
        <v>-4.4190249880834614E-2</v>
      </c>
      <c r="Q25" s="93">
        <v>0.1696360952189005</v>
      </c>
      <c r="R25" s="93">
        <f t="shared" si="6"/>
        <v>0.12544584533806588</v>
      </c>
      <c r="S25" s="106"/>
      <c r="T25" s="39">
        <f t="shared" si="7"/>
        <v>2.9075064601016942</v>
      </c>
      <c r="U25" s="93">
        <v>0.74377508892915023</v>
      </c>
      <c r="V25" s="93">
        <v>0.1997459979566398</v>
      </c>
      <c r="W25" s="93">
        <v>0.24685651353856922</v>
      </c>
      <c r="X25" s="93">
        <f t="shared" si="8"/>
        <v>0.44660251149520902</v>
      </c>
      <c r="Y25" s="90" t="str">
        <f t="shared" si="0"/>
        <v>Public admin. and defence</v>
      </c>
      <c r="Z25" s="39">
        <f t="shared" si="9"/>
        <v>2.8851376822067953</v>
      </c>
      <c r="AA25" s="11">
        <v>0.84360733843630331</v>
      </c>
      <c r="AB25" s="93">
        <v>0.17538381792273638</v>
      </c>
      <c r="AC25" s="93">
        <v>0.27755055757017433</v>
      </c>
      <c r="AD25" s="93">
        <f t="shared" si="10"/>
        <v>0.45293437549291071</v>
      </c>
      <c r="AE25" s="93"/>
      <c r="AF25" s="39">
        <f t="shared" si="11"/>
        <v>2.8363041726107818</v>
      </c>
      <c r="AG25" s="93">
        <v>5.6376739584906382E-2</v>
      </c>
      <c r="AH25" s="93">
        <v>4.262009008845738E-2</v>
      </c>
      <c r="AI25" s="93">
        <v>1.819333158200891E-2</v>
      </c>
      <c r="AJ25" s="93">
        <f t="shared" si="12"/>
        <v>6.0813421670466286E-2</v>
      </c>
      <c r="AL25" s="39">
        <f t="shared" si="13"/>
        <v>2.7318188913314945</v>
      </c>
      <c r="AM25" s="93">
        <v>0.2229228681509284</v>
      </c>
      <c r="AN25" s="93">
        <v>-3.594728389981916E-2</v>
      </c>
      <c r="AO25" s="93">
        <v>6.895717164724055E-2</v>
      </c>
      <c r="AP25" s="93">
        <f t="shared" si="14"/>
        <v>3.300988774742139E-2</v>
      </c>
      <c r="AQ25" s="106"/>
      <c r="AR25" s="39">
        <f t="shared" si="15"/>
        <v>2.9499838912350862</v>
      </c>
      <c r="AS25" s="93">
        <v>0.56430773070046847</v>
      </c>
      <c r="AT25" s="93">
        <v>0.16871101173409817</v>
      </c>
      <c r="AU25" s="93">
        <v>0.1904000543409248</v>
      </c>
      <c r="AV25" s="93">
        <f t="shared" si="16"/>
        <v>0.35911106607502297</v>
      </c>
      <c r="AW25" s="90" t="str">
        <f t="shared" si="17"/>
        <v>Public admin. and defence</v>
      </c>
      <c r="AX25" s="39">
        <f t="shared" si="18"/>
        <v>2.6712682976481661</v>
      </c>
      <c r="AY25" s="11">
        <v>0.35758518146798612</v>
      </c>
      <c r="AZ25" s="93">
        <v>6.3217768742032318E-2</v>
      </c>
      <c r="BA25" s="93">
        <v>0.10786026085378261</v>
      </c>
      <c r="BB25" s="93">
        <f t="shared" si="19"/>
        <v>0.17107802959581492</v>
      </c>
      <c r="BC25" s="93"/>
      <c r="BD25" s="39">
        <f t="shared" si="20"/>
        <v>2.5535596624299828</v>
      </c>
      <c r="BE25" s="93">
        <v>2.8974499483491539E-2</v>
      </c>
      <c r="BF25" s="93">
        <v>1.0961155611916022E-2</v>
      </c>
      <c r="BG25" s="93">
        <v>8.3095724333202906E-3</v>
      </c>
      <c r="BH25" s="93">
        <f t="shared" si="21"/>
        <v>1.9270728045236312E-2</v>
      </c>
      <c r="BJ25" s="39">
        <f t="shared" si="22"/>
        <v>2.6033003151064049</v>
      </c>
      <c r="BK25" s="93">
        <v>0.18013735955834875</v>
      </c>
      <c r="BL25" s="93">
        <v>2.6082866221255052E-2</v>
      </c>
      <c r="BM25" s="93">
        <v>5.2788172825711882E-2</v>
      </c>
      <c r="BN25" s="93">
        <f t="shared" si="23"/>
        <v>7.8871039046966934E-2</v>
      </c>
      <c r="BO25" s="106"/>
      <c r="BP25" s="39">
        <f t="shared" si="24"/>
        <v>2.7758580766297891</v>
      </c>
      <c r="BQ25" s="93">
        <v>0.1484733224261458</v>
      </c>
      <c r="BR25" s="93">
        <v>2.6173746908861251E-2</v>
      </c>
      <c r="BS25" s="93">
        <v>4.6762515594750455E-2</v>
      </c>
      <c r="BT25" s="93">
        <f t="shared" si="25"/>
        <v>7.293626250361171E-2</v>
      </c>
      <c r="BU25" s="90" t="str">
        <f t="shared" si="26"/>
        <v>Public admin. and defence</v>
      </c>
      <c r="BV25" s="39">
        <f t="shared" si="27"/>
        <v>2.5698479897014792</v>
      </c>
      <c r="BW25" s="11">
        <v>0.22357616997639901</v>
      </c>
      <c r="BX25" s="93">
        <v>-2.6493246139725597E-2</v>
      </c>
      <c r="BY25" s="93">
        <v>6.4576488658442441E-2</v>
      </c>
      <c r="BZ25" s="93">
        <f t="shared" si="28"/>
        <v>3.8083242518716844E-2</v>
      </c>
      <c r="CA25" s="93"/>
      <c r="CB25" s="39">
        <f t="shared" si="29"/>
        <v>2.5646022644530531</v>
      </c>
      <c r="CC25" s="93">
        <v>4.6530899706966611E-2</v>
      </c>
      <c r="CD25" s="93">
        <v>4.0427545658888358E-3</v>
      </c>
      <c r="CE25" s="93">
        <v>1.3409060753716812E-2</v>
      </c>
      <c r="CF25" s="93">
        <f t="shared" si="30"/>
        <v>1.7451815319605646E-2</v>
      </c>
      <c r="CH25" s="39">
        <f t="shared" si="31"/>
        <v>2.5510430080478264</v>
      </c>
      <c r="CI25" s="93">
        <v>0.1512576574370198</v>
      </c>
      <c r="CJ25" s="93">
        <v>-3.4244162090111052E-2</v>
      </c>
      <c r="CK25" s="93">
        <v>4.3331298473152743E-2</v>
      </c>
      <c r="CL25" s="93">
        <f t="shared" si="32"/>
        <v>9.0871363830416912E-3</v>
      </c>
      <c r="CM25" s="106"/>
      <c r="CN25" s="39">
        <f t="shared" si="33"/>
        <v>2.6888973859667598</v>
      </c>
      <c r="CO25" s="93">
        <v>2.5787612832412595E-2</v>
      </c>
      <c r="CP25" s="93">
        <v>3.7081613844966248E-3</v>
      </c>
      <c r="CQ25" s="93">
        <v>7.836129431572891E-3</v>
      </c>
      <c r="CR25" s="93">
        <f t="shared" si="34"/>
        <v>1.1544290816069516E-2</v>
      </c>
      <c r="CS25" s="90" t="str">
        <f t="shared" si="35"/>
        <v>Public admin. and defence</v>
      </c>
      <c r="CT25" s="39">
        <f t="shared" si="36"/>
        <v>2.8750024457971257</v>
      </c>
      <c r="CU25" s="11">
        <v>2.9231310119308785E-2</v>
      </c>
      <c r="CV25" s="93">
        <v>2.8916594749578122E-3</v>
      </c>
      <c r="CW25" s="93">
        <v>9.578977915005971E-3</v>
      </c>
      <c r="CX25" s="93">
        <f t="shared" si="37"/>
        <v>1.2470637389963783E-2</v>
      </c>
      <c r="CY25" s="93"/>
      <c r="CZ25" s="39">
        <f t="shared" si="38"/>
        <v>2.9399620026260287</v>
      </c>
      <c r="DA25" s="93">
        <v>9.4069635367439817E-3</v>
      </c>
      <c r="DB25" s="93">
        <v>1.8202516579335466E-3</v>
      </c>
      <c r="DC25" s="93">
        <v>3.1617114708896062E-3</v>
      </c>
      <c r="DD25" s="93">
        <f t="shared" si="39"/>
        <v>4.9819631288231525E-3</v>
      </c>
      <c r="DF25" s="39">
        <f t="shared" si="40"/>
        <v>2.7520154670842789</v>
      </c>
      <c r="DG25" s="93">
        <v>1.4617923612441512E-2</v>
      </c>
      <c r="DH25" s="93">
        <v>-8.1670112159448079E-5</v>
      </c>
      <c r="DI25" s="93">
        <v>4.5594522727953144E-3</v>
      </c>
      <c r="DJ25" s="93">
        <f t="shared" si="41"/>
        <v>4.4777821606358662E-3</v>
      </c>
      <c r="DK25" s="106"/>
      <c r="DL25" s="39">
        <f t="shared" si="42"/>
        <v>3.0985559180585875</v>
      </c>
      <c r="DM25" s="93">
        <v>5.2064229701232886E-3</v>
      </c>
      <c r="DN25" s="93">
        <v>1.1530779291837137E-3</v>
      </c>
      <c r="DO25" s="93">
        <v>1.8578141713210513E-3</v>
      </c>
      <c r="DP25" s="93">
        <f t="shared" si="43"/>
        <v>3.0108921005047649E-3</v>
      </c>
    </row>
    <row r="26" spans="1:120" x14ac:dyDescent="0.3">
      <c r="A26" s="90" t="str">
        <f>name!B22</f>
        <v>Education</v>
      </c>
      <c r="B26" s="39">
        <f t="shared" si="1"/>
        <v>2.7941946420653396</v>
      </c>
      <c r="C26" s="11">
        <v>27.519999999999932</v>
      </c>
      <c r="D26" s="93">
        <v>5.4400000000000306</v>
      </c>
      <c r="E26" s="93">
        <v>8.7321954612186001</v>
      </c>
      <c r="F26" s="93">
        <f t="shared" si="2"/>
        <v>14.172195461218632</v>
      </c>
      <c r="G26" s="93"/>
      <c r="H26" s="39">
        <f t="shared" si="3"/>
        <v>2.7029013910380817</v>
      </c>
      <c r="I26" s="93">
        <v>4.1940595367848887</v>
      </c>
      <c r="J26" s="93">
        <v>0.48827775119455635</v>
      </c>
      <c r="K26" s="93">
        <v>1.2819187642232284</v>
      </c>
      <c r="L26" s="93">
        <f t="shared" si="4"/>
        <v>1.7701965154177848</v>
      </c>
      <c r="N26" s="39">
        <f t="shared" si="5"/>
        <v>2.6641720196424856</v>
      </c>
      <c r="O26" s="93">
        <v>13.503625138933433</v>
      </c>
      <c r="P26" s="93">
        <v>0.84821921937760381</v>
      </c>
      <c r="Q26" s="93">
        <v>4.0610233469695309</v>
      </c>
      <c r="R26" s="93">
        <f t="shared" si="6"/>
        <v>4.9092425663471344</v>
      </c>
      <c r="S26" s="106"/>
      <c r="T26" s="39">
        <f t="shared" si="7"/>
        <v>3.008734431358584</v>
      </c>
      <c r="U26" s="93">
        <v>9.822315324281611</v>
      </c>
      <c r="V26" s="93">
        <v>4.1035030294278707</v>
      </c>
      <c r="W26" s="93">
        <v>3.3892533500258399</v>
      </c>
      <c r="X26" s="93">
        <f t="shared" si="8"/>
        <v>7.4927563794537111</v>
      </c>
      <c r="Y26" s="90" t="str">
        <f t="shared" si="0"/>
        <v>Education</v>
      </c>
      <c r="Z26" s="39">
        <f t="shared" si="9"/>
        <v>2.9117760664267189</v>
      </c>
      <c r="AA26" s="11">
        <v>12.395569669075353</v>
      </c>
      <c r="AB26" s="93">
        <v>5.0801062397678249</v>
      </c>
      <c r="AC26" s="93">
        <v>4.1209000120001473</v>
      </c>
      <c r="AD26" s="93">
        <f t="shared" si="10"/>
        <v>9.2010062517679714</v>
      </c>
      <c r="AE26" s="93"/>
      <c r="AF26" s="39">
        <f t="shared" si="11"/>
        <v>2.5937636321570645</v>
      </c>
      <c r="AG26" s="93">
        <v>0.81258397047140074</v>
      </c>
      <c r="AH26" s="93">
        <v>0.63966731573933144</v>
      </c>
      <c r="AI26" s="93">
        <v>0.23714666545277929</v>
      </c>
      <c r="AJ26" s="93">
        <f t="shared" si="12"/>
        <v>0.87681398119211074</v>
      </c>
      <c r="AL26" s="39">
        <f t="shared" si="13"/>
        <v>2.6939990649745837</v>
      </c>
      <c r="AM26" s="93">
        <v>4.0463139611233547</v>
      </c>
      <c r="AN26" s="93">
        <v>0.77655527040304539</v>
      </c>
      <c r="AO26" s="93">
        <v>1.2321825690004835</v>
      </c>
      <c r="AP26" s="93">
        <f t="shared" si="14"/>
        <v>2.0087378394035289</v>
      </c>
      <c r="AQ26" s="106"/>
      <c r="AR26" s="39">
        <f t="shared" si="15"/>
        <v>3.0604341026309489</v>
      </c>
      <c r="AS26" s="93">
        <v>7.5366717374805985</v>
      </c>
      <c r="AT26" s="93">
        <v>3.6638836536254487</v>
      </c>
      <c r="AU26" s="93">
        <v>2.6515707775468846</v>
      </c>
      <c r="AV26" s="93">
        <f t="shared" si="16"/>
        <v>6.3154544311723333</v>
      </c>
      <c r="AW26" s="90" t="str">
        <f t="shared" si="17"/>
        <v>Education</v>
      </c>
      <c r="AX26" s="39">
        <f t="shared" si="18"/>
        <v>2.6688337014858732</v>
      </c>
      <c r="AY26" s="11">
        <v>4.0745695684818486</v>
      </c>
      <c r="AZ26" s="93">
        <v>-0.65076923691411093</v>
      </c>
      <c r="BA26" s="93">
        <v>1.227775929825986</v>
      </c>
      <c r="BB26" s="93">
        <f t="shared" si="19"/>
        <v>0.57700669291187512</v>
      </c>
      <c r="BC26" s="93"/>
      <c r="BD26" s="39">
        <f t="shared" si="20"/>
        <v>2.5882032430875057</v>
      </c>
      <c r="BE26" s="93">
        <v>0.26691123725535981</v>
      </c>
      <c r="BF26" s="93">
        <v>-0.19380533282346687</v>
      </c>
      <c r="BG26" s="93">
        <v>7.7709251306618335E-2</v>
      </c>
      <c r="BH26" s="93">
        <f t="shared" si="21"/>
        <v>-0.11609608151684854</v>
      </c>
      <c r="BJ26" s="39">
        <f t="shared" si="22"/>
        <v>2.6104632834062169</v>
      </c>
      <c r="BK26" s="93">
        <v>2.4396136341847261</v>
      </c>
      <c r="BL26" s="93">
        <v>-0.51114595901616455</v>
      </c>
      <c r="BM26" s="93">
        <v>0.7171170827738349</v>
      </c>
      <c r="BN26" s="93">
        <f t="shared" si="23"/>
        <v>0.20597112375767035</v>
      </c>
      <c r="BO26" s="106"/>
      <c r="BP26" s="39">
        <f t="shared" si="24"/>
        <v>2.7877134101330858</v>
      </c>
      <c r="BQ26" s="93">
        <v>1.3680446970417623</v>
      </c>
      <c r="BR26" s="93">
        <v>5.4182054925520501E-2</v>
      </c>
      <c r="BS26" s="93">
        <v>0.43294959574553271</v>
      </c>
      <c r="BT26" s="93">
        <f t="shared" si="25"/>
        <v>0.48713165067105324</v>
      </c>
      <c r="BU26" s="90" t="str">
        <f t="shared" si="26"/>
        <v>Education</v>
      </c>
      <c r="BV26" s="39">
        <f t="shared" si="27"/>
        <v>2.5719174756100083</v>
      </c>
      <c r="BW26" s="11">
        <v>6.5723358416890418</v>
      </c>
      <c r="BX26" s="93">
        <v>-0.15751225654061013</v>
      </c>
      <c r="BY26" s="93">
        <v>1.9000258963583028</v>
      </c>
      <c r="BZ26" s="93">
        <f t="shared" si="28"/>
        <v>1.7425136398176926</v>
      </c>
      <c r="CA26" s="93"/>
      <c r="CB26" s="39">
        <f t="shared" si="29"/>
        <v>2.5863835000538682</v>
      </c>
      <c r="CC26" s="93">
        <v>1.6317851440554909</v>
      </c>
      <c r="CD26" s="93">
        <v>-0.43279551678413736</v>
      </c>
      <c r="CE26" s="93">
        <v>0.47470859686707906</v>
      </c>
      <c r="CF26" s="93">
        <f t="shared" si="30"/>
        <v>4.1913080082941701E-2</v>
      </c>
      <c r="CH26" s="39">
        <f t="shared" si="31"/>
        <v>2.542118825536166</v>
      </c>
      <c r="CI26" s="93">
        <v>4.3810752206434573</v>
      </c>
      <c r="CJ26" s="93">
        <v>2.5793305536142896E-2</v>
      </c>
      <c r="CK26" s="93">
        <v>1.250158852183944</v>
      </c>
      <c r="CL26" s="93">
        <f t="shared" si="32"/>
        <v>1.275952157720087</v>
      </c>
      <c r="CM26" s="106"/>
      <c r="CN26" s="39">
        <f t="shared" si="33"/>
        <v>2.7611586651374198</v>
      </c>
      <c r="CO26" s="93">
        <v>0.55947547699009315</v>
      </c>
      <c r="CP26" s="93">
        <v>0.24948995470738433</v>
      </c>
      <c r="CQ26" s="93">
        <v>0.17515844730727984</v>
      </c>
      <c r="CR26" s="93">
        <f t="shared" si="34"/>
        <v>0.42464840201466414</v>
      </c>
      <c r="CS26" s="90" t="str">
        <f t="shared" si="35"/>
        <v>Education</v>
      </c>
      <c r="CT26" s="39">
        <f t="shared" si="36"/>
        <v>2.9030497321535176</v>
      </c>
      <c r="CU26" s="11">
        <v>4.4775249207536891</v>
      </c>
      <c r="CV26" s="93">
        <v>1.168175253686927</v>
      </c>
      <c r="CW26" s="93">
        <v>1.4834936230341631</v>
      </c>
      <c r="CX26" s="93">
        <f t="shared" si="37"/>
        <v>2.6516688767210903</v>
      </c>
      <c r="CY26" s="93"/>
      <c r="CZ26" s="39">
        <f t="shared" si="38"/>
        <v>2.9086772572280095</v>
      </c>
      <c r="DA26" s="93">
        <v>1.4827791850026377</v>
      </c>
      <c r="DB26" s="93">
        <v>0.47521128506282911</v>
      </c>
      <c r="DC26" s="93">
        <v>0.4923542505967517</v>
      </c>
      <c r="DD26" s="93">
        <f t="shared" si="39"/>
        <v>0.96756553565958081</v>
      </c>
      <c r="DF26" s="39">
        <f t="shared" si="40"/>
        <v>2.8678141931647749</v>
      </c>
      <c r="DG26" s="93">
        <v>2.6366223229818955</v>
      </c>
      <c r="DH26" s="93">
        <v>0.55701660245458018</v>
      </c>
      <c r="DI26" s="93">
        <v>0.86156484301126879</v>
      </c>
      <c r="DJ26" s="93">
        <f t="shared" si="41"/>
        <v>1.418581445465849</v>
      </c>
      <c r="DK26" s="106"/>
      <c r="DL26" s="39">
        <f t="shared" si="42"/>
        <v>3.1363650139041965</v>
      </c>
      <c r="DM26" s="93">
        <v>0.35812341276915594</v>
      </c>
      <c r="DN26" s="93">
        <v>0.13594736616951764</v>
      </c>
      <c r="DO26" s="93">
        <v>0.12957452942614286</v>
      </c>
      <c r="DP26" s="93">
        <f t="shared" si="43"/>
        <v>0.26552189559566053</v>
      </c>
    </row>
    <row r="27" spans="1:120" x14ac:dyDescent="0.3">
      <c r="A27" s="90" t="str">
        <f>name!B23</f>
        <v>Health and social work</v>
      </c>
      <c r="B27" s="39">
        <f t="shared" si="1"/>
        <v>2.5950961839178666</v>
      </c>
      <c r="C27" s="11">
        <v>275.60199999999969</v>
      </c>
      <c r="D27" s="93">
        <v>-1.6730000000003524</v>
      </c>
      <c r="E27" s="93">
        <v>80.47866678861341</v>
      </c>
      <c r="F27" s="93">
        <f t="shared" si="2"/>
        <v>78.805666788613053</v>
      </c>
      <c r="G27" s="93"/>
      <c r="H27" s="39">
        <f t="shared" si="3"/>
        <v>2.4695756737683316</v>
      </c>
      <c r="I27" s="93">
        <v>81.511675089783012</v>
      </c>
      <c r="J27" s="93">
        <v>-19.797720579312639</v>
      </c>
      <c r="K27" s="93">
        <v>22.520863469623457</v>
      </c>
      <c r="L27" s="93">
        <f t="shared" si="4"/>
        <v>2.7231428903108181</v>
      </c>
      <c r="N27" s="39">
        <f t="shared" si="5"/>
        <v>2.5552337751491017</v>
      </c>
      <c r="O27" s="93">
        <v>150.28991841904894</v>
      </c>
      <c r="P27" s="93">
        <v>8.7057795230669974</v>
      </c>
      <c r="Q27" s="93">
        <v>43.133091870505552</v>
      </c>
      <c r="R27" s="93">
        <f t="shared" si="6"/>
        <v>51.838871393572546</v>
      </c>
      <c r="S27" s="106"/>
      <c r="T27" s="39">
        <f t="shared" si="7"/>
        <v>2.9581093378684198</v>
      </c>
      <c r="U27" s="93">
        <v>43.800406491167763</v>
      </c>
      <c r="V27" s="93">
        <v>9.418941056245286</v>
      </c>
      <c r="W27" s="93">
        <v>14.824711448484381</v>
      </c>
      <c r="X27" s="93">
        <f t="shared" si="8"/>
        <v>24.243652504729667</v>
      </c>
      <c r="Y27" s="90" t="str">
        <f t="shared" si="0"/>
        <v>Health and social work</v>
      </c>
      <c r="Z27" s="39">
        <f t="shared" si="9"/>
        <v>3.1186773432537507</v>
      </c>
      <c r="AA27" s="11">
        <v>64.293915126009693</v>
      </c>
      <c r="AB27" s="93">
        <v>17.722549991381833</v>
      </c>
      <c r="AC27" s="93">
        <v>23.112480454512202</v>
      </c>
      <c r="AD27" s="93">
        <f t="shared" si="10"/>
        <v>40.835030445894034</v>
      </c>
      <c r="AE27" s="93"/>
      <c r="AF27" s="39">
        <f t="shared" si="11"/>
        <v>3.0783063740929206</v>
      </c>
      <c r="AG27" s="93">
        <v>9.9195473983854772</v>
      </c>
      <c r="AH27" s="93">
        <v>1.4973424642898829</v>
      </c>
      <c r="AI27" s="93">
        <v>3.5131923201060649</v>
      </c>
      <c r="AJ27" s="93">
        <f t="shared" si="12"/>
        <v>5.010534784395948</v>
      </c>
      <c r="AL27" s="39">
        <f t="shared" si="13"/>
        <v>3.1315372831501653</v>
      </c>
      <c r="AM27" s="93">
        <v>25.525698517196087</v>
      </c>
      <c r="AN27" s="93">
        <v>10.147584573449684</v>
      </c>
      <c r="AO27" s="93">
        <v>9.2193201705336563</v>
      </c>
      <c r="AP27" s="93">
        <f t="shared" si="14"/>
        <v>19.366904743983341</v>
      </c>
      <c r="AQ27" s="106"/>
      <c r="AR27" s="39">
        <f t="shared" si="15"/>
        <v>3.121149070624285</v>
      </c>
      <c r="AS27" s="93">
        <v>28.848669210428131</v>
      </c>
      <c r="AT27" s="93">
        <v>6.0776229536422628</v>
      </c>
      <c r="AU27" s="93">
        <v>10.379967963872479</v>
      </c>
      <c r="AV27" s="93">
        <f t="shared" si="16"/>
        <v>16.457590917514743</v>
      </c>
      <c r="AW27" s="90" t="str">
        <f t="shared" si="17"/>
        <v>Health and social work</v>
      </c>
      <c r="AX27" s="39">
        <f t="shared" si="18"/>
        <v>2.6759668403012915</v>
      </c>
      <c r="AY27" s="11">
        <v>16.521747365931887</v>
      </c>
      <c r="AZ27" s="93">
        <v>-0.90533997621618789</v>
      </c>
      <c r="BA27" s="93">
        <v>4.9933832774217386</v>
      </c>
      <c r="BB27" s="93">
        <f t="shared" si="19"/>
        <v>4.088043301205551</v>
      </c>
      <c r="BC27" s="93"/>
      <c r="BD27" s="39">
        <f t="shared" si="20"/>
        <v>2.5787165892088737</v>
      </c>
      <c r="BE27" s="93">
        <v>2.1756544236878499</v>
      </c>
      <c r="BF27" s="93">
        <v>-0.17162265131127769</v>
      </c>
      <c r="BG27" s="93">
        <v>0.63082928217437373</v>
      </c>
      <c r="BH27" s="93">
        <f t="shared" si="21"/>
        <v>0.45920663086309604</v>
      </c>
      <c r="BJ27" s="39">
        <f t="shared" si="22"/>
        <v>2.6312555462310261</v>
      </c>
      <c r="BK27" s="93">
        <v>8.5774116106248197</v>
      </c>
      <c r="BL27" s="93">
        <v>-1.3110321038488253</v>
      </c>
      <c r="BM27" s="93">
        <v>2.5438144946044696</v>
      </c>
      <c r="BN27" s="93">
        <f t="shared" si="23"/>
        <v>1.2327823907556443</v>
      </c>
      <c r="BO27" s="106"/>
      <c r="BP27" s="39">
        <f t="shared" si="24"/>
        <v>2.7783786676990552</v>
      </c>
      <c r="BQ27" s="93">
        <v>5.7686813316192156</v>
      </c>
      <c r="BR27" s="93">
        <v>0.57731477894391503</v>
      </c>
      <c r="BS27" s="93">
        <v>1.8187395006428966</v>
      </c>
      <c r="BT27" s="93">
        <f t="shared" si="25"/>
        <v>2.3960542795868118</v>
      </c>
      <c r="BU27" s="90" t="str">
        <f t="shared" si="26"/>
        <v>Health and social work</v>
      </c>
      <c r="BV27" s="39">
        <f t="shared" si="27"/>
        <v>2.4185311777933372</v>
      </c>
      <c r="BW27" s="11">
        <v>185.64731569674743</v>
      </c>
      <c r="BX27" s="93">
        <v>-20.042065793695048</v>
      </c>
      <c r="BY27" s="93">
        <v>50.114846449207548</v>
      </c>
      <c r="BZ27" s="93">
        <f t="shared" si="28"/>
        <v>30.072780655512499</v>
      </c>
      <c r="CA27" s="93"/>
      <c r="CB27" s="39">
        <f t="shared" si="29"/>
        <v>2.3870453919311752</v>
      </c>
      <c r="CC27" s="93">
        <v>65.07948365464064</v>
      </c>
      <c r="CD27" s="93">
        <v>-20.422001047817911</v>
      </c>
      <c r="CE27" s="93">
        <v>17.314254108560334</v>
      </c>
      <c r="CF27" s="93">
        <f t="shared" si="30"/>
        <v>-3.1077469392575772</v>
      </c>
      <c r="CH27" s="39">
        <f t="shared" si="31"/>
        <v>2.4258065702267961</v>
      </c>
      <c r="CI27" s="93">
        <v>111.69445579336453</v>
      </c>
      <c r="CJ27" s="93">
        <v>-1.7999732059359685</v>
      </c>
      <c r="CK27" s="93">
        <v>30.252323208272195</v>
      </c>
      <c r="CL27" s="93">
        <f t="shared" si="32"/>
        <v>28.452350002336225</v>
      </c>
      <c r="CM27" s="106"/>
      <c r="CN27" s="39">
        <f t="shared" si="33"/>
        <v>2.5566857264312626</v>
      </c>
      <c r="CO27" s="93">
        <v>8.8733762487422378</v>
      </c>
      <c r="CP27" s="93">
        <v>2.1799084600588299</v>
      </c>
      <c r="CQ27" s="93">
        <v>2.5482691323750268</v>
      </c>
      <c r="CR27" s="93">
        <f t="shared" si="34"/>
        <v>4.7281775924338572</v>
      </c>
      <c r="CS27" s="90" t="str">
        <f t="shared" si="35"/>
        <v>Health and social work</v>
      </c>
      <c r="CT27" s="39">
        <f t="shared" si="36"/>
        <v>2.2325047123997521</v>
      </c>
      <c r="CU27" s="11">
        <v>9.139021811310748</v>
      </c>
      <c r="CV27" s="93">
        <v>1.5518557785290545</v>
      </c>
      <c r="CW27" s="93">
        <v>2.2579566074718973</v>
      </c>
      <c r="CX27" s="93">
        <f t="shared" si="37"/>
        <v>3.8098123860009521</v>
      </c>
      <c r="CY27" s="93"/>
      <c r="CZ27" s="39">
        <f t="shared" si="38"/>
        <v>2.2155897378276945</v>
      </c>
      <c r="DA27" s="93">
        <v>4.3369896130690391</v>
      </c>
      <c r="DB27" s="93">
        <v>-0.70143934447333278</v>
      </c>
      <c r="DC27" s="93">
        <v>1.0625877587826875</v>
      </c>
      <c r="DD27" s="93">
        <f t="shared" si="39"/>
        <v>0.36114841430935474</v>
      </c>
      <c r="DF27" s="39">
        <f t="shared" si="40"/>
        <v>2.2465820104417666</v>
      </c>
      <c r="DG27" s="93">
        <v>4.4923524978635268</v>
      </c>
      <c r="DH27" s="93">
        <v>1.6692002594021076</v>
      </c>
      <c r="DI27" s="93">
        <v>1.1176339970952323</v>
      </c>
      <c r="DJ27" s="93">
        <f t="shared" si="41"/>
        <v>2.7868342564973396</v>
      </c>
      <c r="DK27" s="106"/>
      <c r="DL27" s="39">
        <f t="shared" si="42"/>
        <v>2.2648343335861076</v>
      </c>
      <c r="DM27" s="93">
        <v>0.30967970037818215</v>
      </c>
      <c r="DN27" s="93">
        <v>0.58409486360027985</v>
      </c>
      <c r="DO27" s="93">
        <v>7.7734851593977319E-2</v>
      </c>
      <c r="DP27" s="93">
        <f t="shared" si="43"/>
        <v>0.66182971519425715</v>
      </c>
    </row>
    <row r="28" spans="1:120" x14ac:dyDescent="0.3">
      <c r="A28" s="90" t="str">
        <f>name!B24</f>
        <v>Arts and entertainment</v>
      </c>
      <c r="B28" s="39">
        <f t="shared" si="1"/>
        <v>2.6894345447805668</v>
      </c>
      <c r="C28" s="11">
        <v>583.99199872311158</v>
      </c>
      <c r="D28" s="93">
        <v>22.974992839555728</v>
      </c>
      <c r="E28" s="93">
        <v>177.49855672479771</v>
      </c>
      <c r="F28" s="93">
        <f t="shared" si="2"/>
        <v>200.47354956435345</v>
      </c>
      <c r="G28" s="93"/>
      <c r="H28" s="39">
        <f t="shared" si="3"/>
        <v>2.5241340757117703</v>
      </c>
      <c r="I28" s="93">
        <v>112.61142831364945</v>
      </c>
      <c r="J28" s="93">
        <v>-19.950461975362895</v>
      </c>
      <c r="K28" s="93">
        <v>31.880492992433172</v>
      </c>
      <c r="L28" s="93">
        <f t="shared" si="4"/>
        <v>11.930031017070277</v>
      </c>
      <c r="N28" s="39">
        <f t="shared" si="5"/>
        <v>2.5965813402446081</v>
      </c>
      <c r="O28" s="93">
        <v>322.09728549501801</v>
      </c>
      <c r="P28" s="93">
        <v>22.98072850143604</v>
      </c>
      <c r="Q28" s="93">
        <v>94.116022316887069</v>
      </c>
      <c r="R28" s="93">
        <f t="shared" si="6"/>
        <v>117.0967508183231</v>
      </c>
      <c r="S28" s="106"/>
      <c r="T28" s="39">
        <f t="shared" si="7"/>
        <v>3.0082665428908584</v>
      </c>
      <c r="U28" s="93">
        <v>149.28328491444404</v>
      </c>
      <c r="V28" s="93">
        <v>19.94472631348258</v>
      </c>
      <c r="W28" s="93">
        <v>51.5020414154775</v>
      </c>
      <c r="X28" s="93">
        <f t="shared" si="8"/>
        <v>71.446767728960083</v>
      </c>
      <c r="Y28" s="90" t="str">
        <f t="shared" si="0"/>
        <v>Arts and entertainment</v>
      </c>
      <c r="Z28" s="39">
        <f t="shared" si="9"/>
        <v>3.2588943559272998</v>
      </c>
      <c r="AA28" s="11">
        <v>161.66137310285907</v>
      </c>
      <c r="AB28" s="93">
        <v>1.3326548882882316</v>
      </c>
      <c r="AC28" s="93">
        <v>61.121073231490051</v>
      </c>
      <c r="AD28" s="93">
        <f t="shared" si="10"/>
        <v>62.453728119778283</v>
      </c>
      <c r="AE28" s="93"/>
      <c r="AF28" s="39">
        <f t="shared" si="11"/>
        <v>3.2768095159466437</v>
      </c>
      <c r="AG28" s="93">
        <v>13.303128548274954</v>
      </c>
      <c r="AH28" s="93">
        <v>-1.9338514027227476</v>
      </c>
      <c r="AI28" s="93">
        <v>5.0614902397360089</v>
      </c>
      <c r="AJ28" s="93">
        <f t="shared" si="12"/>
        <v>3.1276388370132615</v>
      </c>
      <c r="AL28" s="39">
        <f t="shared" si="13"/>
        <v>3.2222682296140004</v>
      </c>
      <c r="AM28" s="93">
        <v>61.167755464113846</v>
      </c>
      <c r="AN28" s="93">
        <v>-4.1267654969595462</v>
      </c>
      <c r="AO28" s="93">
        <v>22.827842408062001</v>
      </c>
      <c r="AP28" s="93">
        <f t="shared" si="14"/>
        <v>18.701076911102454</v>
      </c>
      <c r="AQ28" s="106"/>
      <c r="AR28" s="39">
        <f t="shared" si="15"/>
        <v>3.2817897264484586</v>
      </c>
      <c r="AS28" s="93">
        <v>87.190489090470265</v>
      </c>
      <c r="AT28" s="93">
        <v>7.3932717879705248</v>
      </c>
      <c r="AU28" s="93">
        <v>33.231740583692044</v>
      </c>
      <c r="AV28" s="93">
        <f t="shared" si="16"/>
        <v>40.625012371662571</v>
      </c>
      <c r="AW28" s="90" t="str">
        <f t="shared" si="17"/>
        <v>Arts and entertainment</v>
      </c>
      <c r="AX28" s="39">
        <f t="shared" si="18"/>
        <v>2.4581982255185597</v>
      </c>
      <c r="AY28" s="11">
        <v>274.12096692663408</v>
      </c>
      <c r="AZ28" s="93">
        <v>19.909375624336565</v>
      </c>
      <c r="BA28" s="93">
        <v>75.348629505054475</v>
      </c>
      <c r="BB28" s="93">
        <f t="shared" si="19"/>
        <v>95.258005129391037</v>
      </c>
      <c r="BC28" s="93"/>
      <c r="BD28" s="39">
        <f t="shared" si="20"/>
        <v>2.3965751535212299</v>
      </c>
      <c r="BE28" s="93">
        <v>52.434042602494252</v>
      </c>
      <c r="BF28" s="93">
        <v>-10.478560037555006</v>
      </c>
      <c r="BG28" s="93">
        <v>14.01177557326081</v>
      </c>
      <c r="BH28" s="93">
        <f t="shared" si="21"/>
        <v>3.5332155357058035</v>
      </c>
      <c r="BJ28" s="39">
        <f t="shared" si="22"/>
        <v>2.4303568044377055</v>
      </c>
      <c r="BK28" s="93">
        <v>169.82026195600062</v>
      </c>
      <c r="BL28" s="93">
        <v>22.045877770222617</v>
      </c>
      <c r="BM28" s="93">
        <v>46.091529986569107</v>
      </c>
      <c r="BN28" s="93">
        <f t="shared" si="23"/>
        <v>68.137407756791731</v>
      </c>
      <c r="BO28" s="106"/>
      <c r="BP28" s="39">
        <f t="shared" si="24"/>
        <v>2.6103523894776215</v>
      </c>
      <c r="BQ28" s="93">
        <v>51.866662368139195</v>
      </c>
      <c r="BR28" s="93">
        <v>8.3420578916689543</v>
      </c>
      <c r="BS28" s="93">
        <v>15.245323945224559</v>
      </c>
      <c r="BT28" s="93">
        <f t="shared" si="25"/>
        <v>23.587381836893513</v>
      </c>
      <c r="BU28" s="90" t="str">
        <f t="shared" si="26"/>
        <v>Arts and entertainment</v>
      </c>
      <c r="BV28" s="39">
        <f t="shared" si="27"/>
        <v>2.5546872517099084</v>
      </c>
      <c r="BW28" s="11">
        <v>107.2598983032326</v>
      </c>
      <c r="BX28" s="93">
        <v>-4.6347125764802879</v>
      </c>
      <c r="BY28" s="93">
        <v>30.776152696349076</v>
      </c>
      <c r="BZ28" s="93">
        <f t="shared" si="28"/>
        <v>26.14144011986879</v>
      </c>
      <c r="CA28" s="93"/>
      <c r="CB28" s="39">
        <f t="shared" si="29"/>
        <v>2.4937117735407188</v>
      </c>
      <c r="CC28" s="93">
        <v>30.58519142119675</v>
      </c>
      <c r="CD28" s="93">
        <v>-4.9664708583329622</v>
      </c>
      <c r="CE28" s="93">
        <v>8.5424270700257328</v>
      </c>
      <c r="CF28" s="93">
        <f t="shared" si="30"/>
        <v>3.5759562116927706</v>
      </c>
      <c r="CH28" s="39">
        <f t="shared" si="31"/>
        <v>2.5657893609980054</v>
      </c>
      <c r="CI28" s="93">
        <v>68.527793794387208</v>
      </c>
      <c r="CJ28" s="93">
        <v>-2.6111534978573356</v>
      </c>
      <c r="CK28" s="93">
        <v>19.75824225652681</v>
      </c>
      <c r="CL28" s="93">
        <f t="shared" si="32"/>
        <v>17.147088758669476</v>
      </c>
      <c r="CM28" s="106"/>
      <c r="CN28" s="39">
        <f t="shared" si="33"/>
        <v>2.6887677275016175</v>
      </c>
      <c r="CO28" s="93">
        <v>8.1469130876486417</v>
      </c>
      <c r="CP28" s="93">
        <v>2.9429117797100104</v>
      </c>
      <c r="CQ28" s="93">
        <v>2.4754833697965344</v>
      </c>
      <c r="CR28" s="93">
        <f t="shared" si="34"/>
        <v>5.4183951495065443</v>
      </c>
      <c r="CS28" s="90" t="str">
        <f t="shared" si="35"/>
        <v>Arts and entertainment</v>
      </c>
      <c r="CT28" s="39">
        <f t="shared" si="36"/>
        <v>2.2595665716523383</v>
      </c>
      <c r="CU28" s="11">
        <v>40.949760390385762</v>
      </c>
      <c r="CV28" s="93">
        <v>6.3676749034112179</v>
      </c>
      <c r="CW28" s="93">
        <v>10.252701291904129</v>
      </c>
      <c r="CX28" s="93">
        <f t="shared" si="37"/>
        <v>16.620376195315348</v>
      </c>
      <c r="CY28" s="93"/>
      <c r="CZ28" s="39">
        <f t="shared" si="38"/>
        <v>2.3528014807572273</v>
      </c>
      <c r="DA28" s="93">
        <v>16.289065741683487</v>
      </c>
      <c r="DB28" s="93">
        <v>-2.5715796767521768</v>
      </c>
      <c r="DC28" s="93">
        <v>4.264800109410622</v>
      </c>
      <c r="DD28" s="93">
        <f t="shared" si="39"/>
        <v>1.6932204326584452</v>
      </c>
      <c r="DF28" s="39">
        <f t="shared" si="40"/>
        <v>2.1812946342883111</v>
      </c>
      <c r="DG28" s="93">
        <v>22.581474280516332</v>
      </c>
      <c r="DH28" s="93">
        <v>7.6727697260303049</v>
      </c>
      <c r="DI28" s="93">
        <v>5.438407665729156</v>
      </c>
      <c r="DJ28" s="93">
        <f t="shared" si="41"/>
        <v>13.111177391759462</v>
      </c>
      <c r="DK28" s="106"/>
      <c r="DL28" s="39">
        <f t="shared" si="42"/>
        <v>2.372728806531299</v>
      </c>
      <c r="DM28" s="93">
        <v>2.0792203681859425</v>
      </c>
      <c r="DN28" s="93">
        <v>1.2664848541330906</v>
      </c>
      <c r="DO28" s="93">
        <v>0.54949351676435321</v>
      </c>
      <c r="DP28" s="93">
        <f t="shared" si="43"/>
        <v>1.8159783708974437</v>
      </c>
    </row>
    <row r="29" spans="1:120" x14ac:dyDescent="0.3">
      <c r="A29" s="90" t="str">
        <f>name!B25</f>
        <v>Other services</v>
      </c>
      <c r="B29" s="39">
        <f t="shared" si="1"/>
        <v>2.7838069142694266</v>
      </c>
      <c r="C29" s="11">
        <v>108.16125170522943</v>
      </c>
      <c r="D29" s="93">
        <v>8.1774730396989117</v>
      </c>
      <c r="E29" s="93">
        <v>34.176039083117807</v>
      </c>
      <c r="F29" s="93">
        <f t="shared" si="2"/>
        <v>42.353512122816717</v>
      </c>
      <c r="G29" s="93"/>
      <c r="H29" s="39">
        <f t="shared" si="3"/>
        <v>2.6834266880037649</v>
      </c>
      <c r="I29" s="93">
        <v>32.326959698464499</v>
      </c>
      <c r="J29" s="93">
        <v>-6.1167969801013387</v>
      </c>
      <c r="K29" s="93">
        <v>9.8008028887364027</v>
      </c>
      <c r="L29" s="93">
        <f t="shared" si="4"/>
        <v>3.6840059086350641</v>
      </c>
      <c r="N29" s="39">
        <f t="shared" si="5"/>
        <v>2.7760834170330817</v>
      </c>
      <c r="O29" s="93">
        <v>57.398886868822629</v>
      </c>
      <c r="P29" s="93">
        <v>7.6406602287910461</v>
      </c>
      <c r="Q29" s="93">
        <v>18.079760081959783</v>
      </c>
      <c r="R29" s="93">
        <f t="shared" si="6"/>
        <v>25.720420310750828</v>
      </c>
      <c r="S29" s="106"/>
      <c r="T29" s="39">
        <f t="shared" si="7"/>
        <v>2.981376043016648</v>
      </c>
      <c r="U29" s="93">
        <v>18.435405137942325</v>
      </c>
      <c r="V29" s="93">
        <v>6.6536097910092034</v>
      </c>
      <c r="W29" s="93">
        <v>6.2954761124216301</v>
      </c>
      <c r="X29" s="93">
        <f t="shared" si="8"/>
        <v>12.949085903430834</v>
      </c>
      <c r="Y29" s="90" t="str">
        <f t="shared" si="0"/>
        <v>Other services</v>
      </c>
      <c r="Z29" s="39">
        <f t="shared" si="9"/>
        <v>3.3946693153821483</v>
      </c>
      <c r="AA29" s="11">
        <v>18.73707769261355</v>
      </c>
      <c r="AB29" s="93">
        <v>3.9696712217231607</v>
      </c>
      <c r="AC29" s="93">
        <v>7.4256694078981278</v>
      </c>
      <c r="AD29" s="93">
        <f t="shared" si="10"/>
        <v>11.395340629621288</v>
      </c>
      <c r="AE29" s="93"/>
      <c r="AF29" s="39">
        <f t="shared" si="11"/>
        <v>3.6016336348735356</v>
      </c>
      <c r="AG29" s="93">
        <v>2.3415431027696858</v>
      </c>
      <c r="AH29" s="93">
        <v>0.24514900613498003</v>
      </c>
      <c r="AI29" s="93">
        <v>0.99401256180311637</v>
      </c>
      <c r="AJ29" s="93">
        <f t="shared" si="12"/>
        <v>1.2391615679380963</v>
      </c>
      <c r="AL29" s="39">
        <f t="shared" si="13"/>
        <v>3.5014338519299582</v>
      </c>
      <c r="AM29" s="93">
        <v>8.1965364975682427</v>
      </c>
      <c r="AN29" s="93">
        <v>1.8824630168780692</v>
      </c>
      <c r="AO29" s="93">
        <v>3.3670895885720658</v>
      </c>
      <c r="AP29" s="93">
        <f t="shared" si="14"/>
        <v>5.2495526054501349</v>
      </c>
      <c r="AQ29" s="106"/>
      <c r="AR29" s="39">
        <f t="shared" si="15"/>
        <v>3.2265730612790922</v>
      </c>
      <c r="AS29" s="93">
        <v>8.1989980922756232</v>
      </c>
      <c r="AT29" s="93">
        <v>1.8420591987101114</v>
      </c>
      <c r="AU29" s="93">
        <v>3.0645672575229463</v>
      </c>
      <c r="AV29" s="93">
        <f t="shared" si="16"/>
        <v>4.9066264562330577</v>
      </c>
      <c r="AW29" s="90" t="str">
        <f t="shared" si="17"/>
        <v>Other services</v>
      </c>
      <c r="AX29" s="39">
        <f t="shared" si="18"/>
        <v>2.6483238273837584</v>
      </c>
      <c r="AY29" s="11">
        <v>19.032176889267678</v>
      </c>
      <c r="AZ29" s="93">
        <v>1.0956652491419592</v>
      </c>
      <c r="BA29" s="93">
        <v>5.685467852803928</v>
      </c>
      <c r="BB29" s="93">
        <f t="shared" si="19"/>
        <v>6.7811331019458869</v>
      </c>
      <c r="BC29" s="93"/>
      <c r="BD29" s="39">
        <f t="shared" si="20"/>
        <v>2.5698311582555533</v>
      </c>
      <c r="BE29" s="93">
        <v>3.4123327833961343</v>
      </c>
      <c r="BF29" s="93">
        <v>-0.44962292514756064</v>
      </c>
      <c r="BG29" s="93">
        <v>0.9855918713750732</v>
      </c>
      <c r="BH29" s="93">
        <f t="shared" si="21"/>
        <v>0.53596894622751257</v>
      </c>
      <c r="BJ29" s="39">
        <f t="shared" si="22"/>
        <v>2.6113519594407553</v>
      </c>
      <c r="BK29" s="93">
        <v>10.441678809376455</v>
      </c>
      <c r="BL29" s="93">
        <v>0.67813132541245391</v>
      </c>
      <c r="BM29" s="93">
        <v>3.0704702368243959</v>
      </c>
      <c r="BN29" s="93">
        <f t="shared" si="23"/>
        <v>3.7486015622368498</v>
      </c>
      <c r="BO29" s="106"/>
      <c r="BP29" s="39">
        <f t="shared" si="24"/>
        <v>2.7736136732418482</v>
      </c>
      <c r="BQ29" s="93">
        <v>5.1781652964950879</v>
      </c>
      <c r="BR29" s="93">
        <v>0.86715684887706568</v>
      </c>
      <c r="BS29" s="93">
        <v>1.6294057446044583</v>
      </c>
      <c r="BT29" s="93">
        <f t="shared" si="25"/>
        <v>2.4965625934815239</v>
      </c>
      <c r="BU29" s="90" t="str">
        <f t="shared" si="26"/>
        <v>Other services</v>
      </c>
      <c r="BV29" s="39">
        <f t="shared" si="27"/>
        <v>2.6772484709001398</v>
      </c>
      <c r="BW29" s="11">
        <v>66.201397878138252</v>
      </c>
      <c r="BX29" s="93">
        <v>1.2456325163985658</v>
      </c>
      <c r="BY29" s="93">
        <v>20.01887239295467</v>
      </c>
      <c r="BZ29" s="93">
        <f t="shared" si="28"/>
        <v>21.264504909353235</v>
      </c>
      <c r="CA29" s="93"/>
      <c r="CB29" s="39">
        <f t="shared" si="29"/>
        <v>2.6461497895164943</v>
      </c>
      <c r="CC29" s="93">
        <v>24.360601420401576</v>
      </c>
      <c r="CD29" s="93">
        <v>-5.6900213912272246</v>
      </c>
      <c r="CE29" s="93">
        <v>7.2705240080694988</v>
      </c>
      <c r="CF29" s="93">
        <f t="shared" si="30"/>
        <v>1.5805026168422742</v>
      </c>
      <c r="CH29" s="39">
        <f t="shared" si="31"/>
        <v>2.6783758996457463</v>
      </c>
      <c r="CI29" s="93">
        <v>37.050128855405674</v>
      </c>
      <c r="CJ29" s="93">
        <v>3.896536363658667</v>
      </c>
      <c r="CK29" s="93">
        <v>11.209016818125267</v>
      </c>
      <c r="CL29" s="93">
        <f t="shared" si="32"/>
        <v>15.105553181783934</v>
      </c>
      <c r="CM29" s="106"/>
      <c r="CN29" s="39">
        <f t="shared" si="33"/>
        <v>2.8254837692558654</v>
      </c>
      <c r="CO29" s="93">
        <v>4.7906676023310046</v>
      </c>
      <c r="CP29" s="93">
        <v>3.0391175439671234</v>
      </c>
      <c r="CQ29" s="93">
        <v>1.5393315667599037</v>
      </c>
      <c r="CR29" s="93">
        <f t="shared" si="34"/>
        <v>4.5784491107270266</v>
      </c>
      <c r="CS29" s="90" t="str">
        <f t="shared" si="35"/>
        <v>Other services</v>
      </c>
      <c r="CT29" s="39">
        <f t="shared" si="36"/>
        <v>2.2533546481934286</v>
      </c>
      <c r="CU29" s="11">
        <v>4.1905992452099587</v>
      </c>
      <c r="CV29" s="93">
        <v>1.8665040524352257</v>
      </c>
      <c r="CW29" s="93">
        <v>1.046029429461087</v>
      </c>
      <c r="CX29" s="93">
        <f t="shared" si="37"/>
        <v>2.9125334818963129</v>
      </c>
      <c r="CY29" s="93"/>
      <c r="CZ29" s="39">
        <f t="shared" si="38"/>
        <v>2.2474701591650437</v>
      </c>
      <c r="DA29" s="93">
        <v>2.2124823918971015</v>
      </c>
      <c r="DB29" s="93">
        <v>-0.22230166986153393</v>
      </c>
      <c r="DC29" s="93">
        <v>0.55067444748871397</v>
      </c>
      <c r="DD29" s="93">
        <f t="shared" si="39"/>
        <v>0.32837277762718003</v>
      </c>
      <c r="DF29" s="39">
        <f t="shared" si="40"/>
        <v>2.2830190168655617</v>
      </c>
      <c r="DG29" s="93">
        <v>1.7105427064722503</v>
      </c>
      <c r="DH29" s="93">
        <v>1.1835295228418568</v>
      </c>
      <c r="DI29" s="93">
        <v>0.43318343843805091</v>
      </c>
      <c r="DJ29" s="93">
        <f t="shared" si="41"/>
        <v>1.6167129612799076</v>
      </c>
      <c r="DK29" s="106"/>
      <c r="DL29" s="39">
        <f t="shared" si="42"/>
        <v>2.1112277164391235</v>
      </c>
      <c r="DM29" s="93">
        <v>0.26757414684060715</v>
      </c>
      <c r="DN29" s="93">
        <v>0.90527619945490279</v>
      </c>
      <c r="DO29" s="93">
        <v>6.2171543534321853E-2</v>
      </c>
      <c r="DP29" s="93">
        <f t="shared" si="43"/>
        <v>0.96744774298922465</v>
      </c>
    </row>
    <row r="30" spans="1:120" x14ac:dyDescent="0.3">
      <c r="A30" s="90">
        <f>name!B26</f>
        <v>0</v>
      </c>
      <c r="B30" s="39">
        <f t="shared" si="1"/>
        <v>2.81853341281606</v>
      </c>
      <c r="C30" s="11">
        <v>3.6239999999999957</v>
      </c>
      <c r="D30" s="93">
        <v>0.24699999999999425</v>
      </c>
      <c r="E30" s="93">
        <v>1.161223619177874</v>
      </c>
      <c r="F30" s="93">
        <f t="shared" si="2"/>
        <v>1.4082236191778683</v>
      </c>
      <c r="G30" s="93"/>
      <c r="H30" s="39">
        <f t="shared" si="3"/>
        <v>2.6181998345442992</v>
      </c>
      <c r="I30" s="93">
        <v>0.8854137576985297</v>
      </c>
      <c r="J30" s="93">
        <v>-0.37920842251297887</v>
      </c>
      <c r="K30" s="93">
        <v>0.26112881202833382</v>
      </c>
      <c r="L30" s="93">
        <f t="shared" si="4"/>
        <v>-0.11807961048464505</v>
      </c>
      <c r="N30" s="39">
        <f t="shared" si="5"/>
        <v>2.6529788153066836</v>
      </c>
      <c r="O30" s="93">
        <v>1.3832584282800451</v>
      </c>
      <c r="P30" s="93">
        <v>0.23337200314420425</v>
      </c>
      <c r="Q30" s="93">
        <v>0.41403459662136033</v>
      </c>
      <c r="R30" s="93">
        <f t="shared" si="6"/>
        <v>0.64740659976556458</v>
      </c>
      <c r="S30" s="106"/>
      <c r="T30" s="39">
        <f t="shared" si="7"/>
        <v>3.1122102767148885</v>
      </c>
      <c r="U30" s="93">
        <v>1.3553278140214204</v>
      </c>
      <c r="V30" s="93">
        <v>0.39283641936876895</v>
      </c>
      <c r="W30" s="93">
        <v>0.48606021052817994</v>
      </c>
      <c r="X30" s="93">
        <f t="shared" si="8"/>
        <v>0.87889662989694894</v>
      </c>
      <c r="Y30" s="90">
        <f t="shared" si="0"/>
        <v>0</v>
      </c>
      <c r="Z30" s="39">
        <f t="shared" si="9"/>
        <v>2.9443653428279148</v>
      </c>
      <c r="AA30" s="11">
        <v>1.8811280324430137</v>
      </c>
      <c r="AB30" s="93">
        <v>0.12648602226143923</v>
      </c>
      <c r="AC30" s="93">
        <v>0.63332866226922047</v>
      </c>
      <c r="AD30" s="93">
        <f t="shared" si="10"/>
        <v>0.7598146845306597</v>
      </c>
      <c r="AE30" s="93"/>
      <c r="AF30" s="39">
        <f t="shared" si="11"/>
        <v>2.5616056481945648</v>
      </c>
      <c r="AG30" s="93">
        <v>0.39195326978431944</v>
      </c>
      <c r="AH30" s="93">
        <v>-0.20952388317933862</v>
      </c>
      <c r="AI30" s="93">
        <v>0.11280379340146277</v>
      </c>
      <c r="AJ30" s="93">
        <f t="shared" si="12"/>
        <v>-9.6720089777875856E-2</v>
      </c>
      <c r="AL30" s="39">
        <f t="shared" si="13"/>
        <v>2.6346340495356335</v>
      </c>
      <c r="AM30" s="93">
        <v>0.4129117991411031</v>
      </c>
      <c r="AN30" s="93">
        <v>-1.2440580648808345E-2</v>
      </c>
      <c r="AO30" s="93">
        <v>0.1226340711227917</v>
      </c>
      <c r="AP30" s="93">
        <f t="shared" si="14"/>
        <v>0.11019349047398336</v>
      </c>
      <c r="AQ30" s="106"/>
      <c r="AR30" s="39">
        <f t="shared" si="15"/>
        <v>3.1958990333170068</v>
      </c>
      <c r="AS30" s="93">
        <v>1.0762629635175913</v>
      </c>
      <c r="AT30" s="93">
        <v>0.34845048608958623</v>
      </c>
      <c r="AU30" s="93">
        <v>0.39789079774496594</v>
      </c>
      <c r="AV30" s="93">
        <f t="shared" si="16"/>
        <v>0.74634128383455223</v>
      </c>
      <c r="AW30" s="90">
        <f t="shared" si="17"/>
        <v>0</v>
      </c>
      <c r="AX30" s="39">
        <f t="shared" si="18"/>
        <v>2.6556901882889949</v>
      </c>
      <c r="AY30" s="11">
        <v>0.79016052016002847</v>
      </c>
      <c r="AZ30" s="93">
        <v>-5.5512159780558507E-3</v>
      </c>
      <c r="BA30" s="93">
        <v>0.23678073042517134</v>
      </c>
      <c r="BB30" s="93">
        <f t="shared" si="19"/>
        <v>0.23122951444711548</v>
      </c>
      <c r="BC30" s="93"/>
      <c r="BD30" s="39">
        <f t="shared" si="20"/>
        <v>2.6320188411371737</v>
      </c>
      <c r="BE30" s="93">
        <v>0.10890628043772764</v>
      </c>
      <c r="BF30" s="93">
        <v>-3.6714040606319942E-2</v>
      </c>
      <c r="BG30" s="93">
        <v>3.2308984136424024E-2</v>
      </c>
      <c r="BH30" s="93">
        <f t="shared" si="21"/>
        <v>-4.4050564698959183E-3</v>
      </c>
      <c r="BJ30" s="39">
        <f t="shared" si="22"/>
        <v>2.632798184440821</v>
      </c>
      <c r="BK30" s="93">
        <v>0.54343409949213617</v>
      </c>
      <c r="BL30" s="93">
        <v>6.5977065103502874E-2</v>
      </c>
      <c r="BM30" s="93">
        <v>0.16127289650651028</v>
      </c>
      <c r="BN30" s="93">
        <f t="shared" si="23"/>
        <v>0.22724996161001315</v>
      </c>
      <c r="BO30" s="106"/>
      <c r="BP30" s="39">
        <f t="shared" si="24"/>
        <v>2.7640342004974006</v>
      </c>
      <c r="BQ30" s="93">
        <v>0.13782014023016467</v>
      </c>
      <c r="BR30" s="93">
        <v>-3.4814240475238789E-2</v>
      </c>
      <c r="BS30" s="93">
        <v>4.319884978223705E-2</v>
      </c>
      <c r="BT30" s="93">
        <f t="shared" si="25"/>
        <v>8.3846093069982613E-3</v>
      </c>
      <c r="BU30" s="90">
        <f t="shared" si="26"/>
        <v>0</v>
      </c>
      <c r="BV30" s="39">
        <f t="shared" si="27"/>
        <v>2.7443857826882523</v>
      </c>
      <c r="BW30" s="11">
        <v>0.71149816309577474</v>
      </c>
      <c r="BX30" s="93">
        <v>0.24504437900903087</v>
      </c>
      <c r="BY30" s="93">
        <v>0.22122934558787391</v>
      </c>
      <c r="BZ30" s="93">
        <f t="shared" si="28"/>
        <v>0.46627372459690475</v>
      </c>
      <c r="CA30" s="93"/>
      <c r="CB30" s="39">
        <f t="shared" si="29"/>
        <v>2.6198589066564582</v>
      </c>
      <c r="CC30" s="93">
        <v>0.18443335988879814</v>
      </c>
      <c r="CD30" s="93">
        <v>-4.0323210155314967E-2</v>
      </c>
      <c r="CE30" s="93">
        <v>5.4432240278174497E-2</v>
      </c>
      <c r="CF30" s="93">
        <f t="shared" si="30"/>
        <v>1.410903012285953E-2</v>
      </c>
      <c r="CH30" s="39">
        <f t="shared" si="31"/>
        <v>2.782142672137855</v>
      </c>
      <c r="CI30" s="93">
        <v>0.38582009293331226</v>
      </c>
      <c r="CJ30" s="93">
        <v>0.20616741540992439</v>
      </c>
      <c r="CK30" s="93">
        <v>0.12182654230872253</v>
      </c>
      <c r="CL30" s="93">
        <f t="shared" si="32"/>
        <v>0.32799395771864692</v>
      </c>
      <c r="CM30" s="106"/>
      <c r="CN30" s="39">
        <f t="shared" si="33"/>
        <v>2.802650191366185</v>
      </c>
      <c r="CO30" s="93">
        <v>0.14124471027366434</v>
      </c>
      <c r="CP30" s="93">
        <v>7.9200173754421455E-2</v>
      </c>
      <c r="CQ30" s="93">
        <v>4.4970563000976925E-2</v>
      </c>
      <c r="CR30" s="93">
        <f t="shared" si="34"/>
        <v>0.12417073675539839</v>
      </c>
      <c r="CS30" s="90">
        <f t="shared" si="35"/>
        <v>0</v>
      </c>
      <c r="CT30" s="39">
        <f t="shared" si="36"/>
        <v>2.5769124618272299</v>
      </c>
      <c r="CU30" s="11">
        <v>0.24121328430117833</v>
      </c>
      <c r="CV30" s="93">
        <v>-0.11897918529242003</v>
      </c>
      <c r="CW30" s="93">
        <v>6.9884880895608265E-2</v>
      </c>
      <c r="CX30" s="93">
        <f t="shared" si="37"/>
        <v>-4.9094304396811769E-2</v>
      </c>
      <c r="CY30" s="93"/>
      <c r="CZ30" s="39">
        <f t="shared" si="38"/>
        <v>2.7192664271063816</v>
      </c>
      <c r="DA30" s="93">
        <v>0.20012084758768453</v>
      </c>
      <c r="DB30" s="93">
        <v>-9.2647288572005396E-2</v>
      </c>
      <c r="DC30" s="93">
        <v>6.1583794212272509E-2</v>
      </c>
      <c r="DD30" s="93">
        <f t="shared" si="39"/>
        <v>-3.1063494359732886E-2</v>
      </c>
      <c r="DF30" s="39">
        <f t="shared" si="40"/>
        <v>1.8569836908540527</v>
      </c>
      <c r="DG30" s="93">
        <v>4.1092436713493816E-2</v>
      </c>
      <c r="DH30" s="93">
        <v>-2.6331896720414642E-2</v>
      </c>
      <c r="DI30" s="93">
        <v>8.3010866833357552E-3</v>
      </c>
      <c r="DJ30" s="93">
        <f t="shared" si="41"/>
        <v>-1.8030810037078886E-2</v>
      </c>
      <c r="DK30" s="106"/>
      <c r="DL30" s="39">
        <f t="shared" si="42"/>
        <v>0</v>
      </c>
      <c r="DM30" s="93">
        <v>0</v>
      </c>
      <c r="DN30" s="93">
        <v>0</v>
      </c>
      <c r="DO30" s="93">
        <v>0</v>
      </c>
      <c r="DP30" s="93">
        <f t="shared" si="43"/>
        <v>0</v>
      </c>
    </row>
    <row r="31" spans="1:120" x14ac:dyDescent="0.3">
      <c r="A31" s="90">
        <f>name!B27</f>
        <v>0</v>
      </c>
      <c r="B31" s="39">
        <f t="shared" si="1"/>
        <v>2.6734729787020628</v>
      </c>
      <c r="C31" s="11">
        <v>5.3973840679838156</v>
      </c>
      <c r="D31" s="93">
        <v>1.1408021816129781</v>
      </c>
      <c r="E31" s="93">
        <v>1.6295494976716494</v>
      </c>
      <c r="F31" s="93">
        <f t="shared" si="2"/>
        <v>2.7703516792846274</v>
      </c>
      <c r="G31" s="93"/>
      <c r="H31" s="39">
        <f t="shared" si="3"/>
        <v>2.4242144760953321</v>
      </c>
      <c r="I31" s="93">
        <v>0.66792410715744144</v>
      </c>
      <c r="J31" s="93">
        <v>8.7081733597755159E-2</v>
      </c>
      <c r="K31" s="93">
        <v>0.18077459401533136</v>
      </c>
      <c r="L31" s="93">
        <f t="shared" si="4"/>
        <v>0.26785632761308653</v>
      </c>
      <c r="N31" s="39">
        <f t="shared" si="5"/>
        <v>2.609263332573919</v>
      </c>
      <c r="O31" s="93">
        <v>2.0775695012091084</v>
      </c>
      <c r="P31" s="93">
        <v>0.2544737074116219</v>
      </c>
      <c r="Q31" s="93">
        <v>0.6103809444492555</v>
      </c>
      <c r="R31" s="93">
        <f t="shared" si="6"/>
        <v>0.8648546518608774</v>
      </c>
      <c r="S31" s="106"/>
      <c r="T31" s="39">
        <f t="shared" si="7"/>
        <v>2.7851854419137734</v>
      </c>
      <c r="U31" s="93">
        <v>2.6518904596172663</v>
      </c>
      <c r="V31" s="93">
        <v>0.79924674060360146</v>
      </c>
      <c r="W31" s="93">
        <v>0.83839395920706195</v>
      </c>
      <c r="X31" s="93">
        <f t="shared" si="8"/>
        <v>1.6376406998106634</v>
      </c>
      <c r="Y31" s="90">
        <f t="shared" si="0"/>
        <v>0</v>
      </c>
      <c r="Z31" s="39">
        <f t="shared" si="9"/>
        <v>2.8165513572584899</v>
      </c>
      <c r="AA31" s="11">
        <v>2.214362158393115</v>
      </c>
      <c r="AB31" s="93">
        <v>0.76697330164247091</v>
      </c>
      <c r="AC31" s="93">
        <v>0.7089754858112105</v>
      </c>
      <c r="AD31" s="93">
        <f t="shared" si="10"/>
        <v>1.4759487874536814</v>
      </c>
      <c r="AE31" s="93"/>
      <c r="AF31" s="39">
        <f t="shared" si="11"/>
        <v>2.4947991741868014</v>
      </c>
      <c r="AG31" s="93">
        <v>9.3295900311954727E-2</v>
      </c>
      <c r="AH31" s="93">
        <v>7.3611029159494539E-3</v>
      </c>
      <c r="AI31" s="93">
        <v>2.6070156753053058E-2</v>
      </c>
      <c r="AJ31" s="93">
        <f t="shared" si="12"/>
        <v>3.3431259669002511E-2</v>
      </c>
      <c r="AL31" s="39">
        <f t="shared" si="13"/>
        <v>2.7753358006801676</v>
      </c>
      <c r="AM31" s="93">
        <v>0.4972447918516455</v>
      </c>
      <c r="AN31" s="93">
        <v>9.6394295735497987E-2</v>
      </c>
      <c r="AO31" s="93">
        <v>0.15657684325353696</v>
      </c>
      <c r="AP31" s="93">
        <f t="shared" si="14"/>
        <v>0.25297113898903495</v>
      </c>
      <c r="AQ31" s="106"/>
      <c r="AR31" s="39">
        <f t="shared" si="15"/>
        <v>2.8473360407721415</v>
      </c>
      <c r="AS31" s="93">
        <v>1.6238214662295147</v>
      </c>
      <c r="AT31" s="93">
        <v>0.66321790299102346</v>
      </c>
      <c r="AU31" s="93">
        <v>0.52632848580462055</v>
      </c>
      <c r="AV31" s="93">
        <f t="shared" si="16"/>
        <v>1.1895463887956441</v>
      </c>
      <c r="AW31" s="90">
        <f t="shared" si="17"/>
        <v>0</v>
      </c>
      <c r="AX31" s="39">
        <f t="shared" si="18"/>
        <v>2.6299606183572521</v>
      </c>
      <c r="AY31" s="11">
        <v>2.2783095768098032</v>
      </c>
      <c r="AZ31" s="93">
        <v>0.28087299486229567</v>
      </c>
      <c r="BA31" s="93">
        <v>0.67530864231188981</v>
      </c>
      <c r="BB31" s="93">
        <f t="shared" si="19"/>
        <v>0.95618163717418547</v>
      </c>
      <c r="BC31" s="93"/>
      <c r="BD31" s="39">
        <f t="shared" si="20"/>
        <v>2.5631080985660804</v>
      </c>
      <c r="BE31" s="93">
        <v>0.22101247964060855</v>
      </c>
      <c r="BF31" s="93">
        <v>-1.6947941898083588E-2</v>
      </c>
      <c r="BG31" s="93">
        <v>6.3648887364331108E-2</v>
      </c>
      <c r="BH31" s="93">
        <f t="shared" si="21"/>
        <v>4.670094546624752E-2</v>
      </c>
      <c r="BJ31" s="39">
        <f t="shared" si="22"/>
        <v>2.5856877347969265</v>
      </c>
      <c r="BK31" s="93">
        <v>1.1148096584511451</v>
      </c>
      <c r="BL31" s="93">
        <v>0.19268434666122614</v>
      </c>
      <c r="BM31" s="93">
        <v>0.32421576182958223</v>
      </c>
      <c r="BN31" s="93">
        <f t="shared" si="23"/>
        <v>0.51690010849080836</v>
      </c>
      <c r="BO31" s="106"/>
      <c r="BP31" s="39">
        <f t="shared" si="24"/>
        <v>2.6976564051442775</v>
      </c>
      <c r="BQ31" s="93">
        <v>0.94248743871804974</v>
      </c>
      <c r="BR31" s="93">
        <v>0.10513659009915316</v>
      </c>
      <c r="BS31" s="93">
        <v>0.28744399311797653</v>
      </c>
      <c r="BT31" s="93">
        <f t="shared" si="25"/>
        <v>0.39258058321712969</v>
      </c>
      <c r="BU31" s="90">
        <f t="shared" si="26"/>
        <v>0</v>
      </c>
      <c r="BV31" s="39">
        <f t="shared" si="27"/>
        <v>2.6073314286228833</v>
      </c>
      <c r="BW31" s="11">
        <v>0.44551231145339021</v>
      </c>
      <c r="BX31" s="93">
        <v>-8.3373030656131442E-3</v>
      </c>
      <c r="BY31" s="93">
        <v>0.13078107806231981</v>
      </c>
      <c r="BZ31" s="93">
        <f t="shared" si="28"/>
        <v>0.12244377499670667</v>
      </c>
      <c r="CA31" s="93"/>
      <c r="CB31" s="39">
        <f t="shared" si="29"/>
        <v>2.4365291604826034</v>
      </c>
      <c r="CC31" s="93">
        <v>8.6276945213152031E-2</v>
      </c>
      <c r="CD31" s="93">
        <v>-4.2074055456051036E-2</v>
      </c>
      <c r="CE31" s="93">
        <v>2.3482855274529982E-2</v>
      </c>
      <c r="CF31" s="93">
        <f t="shared" si="30"/>
        <v>-1.8591200181521054E-2</v>
      </c>
      <c r="CH31" s="39">
        <f t="shared" si="31"/>
        <v>2.6262299218310803</v>
      </c>
      <c r="CI31" s="93">
        <v>0.29498731949520918</v>
      </c>
      <c r="CJ31" s="93">
        <v>2.0855293533474064E-2</v>
      </c>
      <c r="CK31" s="93">
        <v>8.7297539162572352E-2</v>
      </c>
      <c r="CL31" s="93">
        <f t="shared" si="32"/>
        <v>0.10815283269604642</v>
      </c>
      <c r="CM31" s="106"/>
      <c r="CN31" s="39">
        <f t="shared" si="33"/>
        <v>2.7472823291570414</v>
      </c>
      <c r="CO31" s="93">
        <v>6.4248046745029E-2</v>
      </c>
      <c r="CP31" s="93">
        <v>1.2881458856963826E-2</v>
      </c>
      <c r="CQ31" s="93">
        <v>2.000068362521747E-2</v>
      </c>
      <c r="CR31" s="93">
        <f t="shared" si="34"/>
        <v>3.2882142482181298E-2</v>
      </c>
      <c r="CS31" s="90">
        <f t="shared" si="35"/>
        <v>0</v>
      </c>
      <c r="CT31" s="39">
        <f t="shared" si="36"/>
        <v>2.2508925088840614</v>
      </c>
      <c r="CU31" s="11">
        <v>0.45920002132750753</v>
      </c>
      <c r="CV31" s="93">
        <v>0.10129318817382489</v>
      </c>
      <c r="CW31" s="93">
        <v>0.11448429148622874</v>
      </c>
      <c r="CX31" s="93">
        <f t="shared" si="37"/>
        <v>0.21577747966005362</v>
      </c>
      <c r="CY31" s="93"/>
      <c r="CZ31" s="39">
        <f t="shared" si="38"/>
        <v>2.2790784934704211</v>
      </c>
      <c r="DA31" s="93">
        <v>0.26733878199172612</v>
      </c>
      <c r="DB31" s="93">
        <v>0.13874262803594034</v>
      </c>
      <c r="DC31" s="93">
        <v>6.7572694623417223E-2</v>
      </c>
      <c r="DD31" s="93">
        <f t="shared" si="39"/>
        <v>0.20631532265935756</v>
      </c>
      <c r="DF31" s="39">
        <f t="shared" si="40"/>
        <v>2.2401417134240154</v>
      </c>
      <c r="DG31" s="93">
        <v>0.17052773141110822</v>
      </c>
      <c r="DH31" s="93">
        <v>-5.5460228518576328E-2</v>
      </c>
      <c r="DI31" s="93">
        <v>4.2290800203563968E-2</v>
      </c>
      <c r="DJ31" s="93">
        <f t="shared" si="41"/>
        <v>-1.316942831501236E-2</v>
      </c>
      <c r="DK31" s="106"/>
      <c r="DL31" s="39">
        <f t="shared" si="42"/>
        <v>1.9799306613629053</v>
      </c>
      <c r="DM31" s="93">
        <v>2.1333507924673225E-2</v>
      </c>
      <c r="DN31" s="93">
        <v>1.8010788656460896E-2</v>
      </c>
      <c r="DO31" s="93">
        <v>4.6207966592475454E-3</v>
      </c>
      <c r="DP31" s="93">
        <f t="shared" si="43"/>
        <v>2.2631585315708441E-2</v>
      </c>
    </row>
    <row r="32" spans="1:120" x14ac:dyDescent="0.3">
      <c r="A32" s="90">
        <f>name!B28</f>
        <v>0</v>
      </c>
      <c r="B32" s="39">
        <f t="shared" si="1"/>
        <v>2.7212419765566098</v>
      </c>
      <c r="C32" s="11">
        <v>123.7608458367669</v>
      </c>
      <c r="D32" s="93">
        <v>13.119074771958418</v>
      </c>
      <c r="E32" s="93">
        <v>38.116429497024313</v>
      </c>
      <c r="F32" s="93">
        <f t="shared" si="2"/>
        <v>51.23550426898273</v>
      </c>
      <c r="G32" s="93"/>
      <c r="H32" s="39">
        <f t="shared" si="3"/>
        <v>2.5243885852895165</v>
      </c>
      <c r="I32" s="93">
        <v>26.847077802333636</v>
      </c>
      <c r="J32" s="93">
        <v>-7.8031435741815161</v>
      </c>
      <c r="K32" s="93">
        <v>7.6013099907891046</v>
      </c>
      <c r="L32" s="93">
        <f t="shared" si="4"/>
        <v>-0.20183358339241142</v>
      </c>
      <c r="N32" s="39">
        <f t="shared" si="5"/>
        <v>2.6624455318525975</v>
      </c>
      <c r="O32" s="93">
        <v>63.941359181744446</v>
      </c>
      <c r="P32" s="93">
        <v>7.8349731558739144</v>
      </c>
      <c r="Q32" s="93">
        <v>19.215469387990549</v>
      </c>
      <c r="R32" s="93">
        <f t="shared" si="6"/>
        <v>27.050442543864463</v>
      </c>
      <c r="S32" s="106"/>
      <c r="T32" s="39">
        <f t="shared" si="7"/>
        <v>2.9906749697417023</v>
      </c>
      <c r="U32" s="93">
        <v>32.972408852688829</v>
      </c>
      <c r="V32" s="93">
        <v>13.087245190266019</v>
      </c>
      <c r="W32" s="93">
        <v>11.299650118244649</v>
      </c>
      <c r="X32" s="93">
        <f t="shared" si="8"/>
        <v>24.386895308510667</v>
      </c>
      <c r="Y32" s="90">
        <f t="shared" si="0"/>
        <v>0</v>
      </c>
      <c r="Z32" s="39">
        <f t="shared" si="9"/>
        <v>3.0765850108950499</v>
      </c>
      <c r="AA32" s="11">
        <v>38.83635765848959</v>
      </c>
      <c r="AB32" s="93">
        <v>9.7986800365741935</v>
      </c>
      <c r="AC32" s="93">
        <v>13.745837027625093</v>
      </c>
      <c r="AD32" s="93">
        <f t="shared" si="10"/>
        <v>23.544517064199287</v>
      </c>
      <c r="AE32" s="93"/>
      <c r="AF32" s="39">
        <f t="shared" si="11"/>
        <v>3.0191901547181432</v>
      </c>
      <c r="AG32" s="93">
        <v>2.7303033528832836</v>
      </c>
      <c r="AH32" s="93">
        <v>7.5430584829441968E-2</v>
      </c>
      <c r="AI32" s="93">
        <v>0.94583812987341553</v>
      </c>
      <c r="AJ32" s="93">
        <f t="shared" si="12"/>
        <v>1.0212687147028574</v>
      </c>
      <c r="AL32" s="39">
        <f t="shared" si="13"/>
        <v>3.0173281094963533</v>
      </c>
      <c r="AM32" s="93">
        <v>15.834000720976697</v>
      </c>
      <c r="AN32" s="93">
        <v>4.2727073292572078</v>
      </c>
      <c r="AO32" s="93">
        <v>5.4813988049700901</v>
      </c>
      <c r="AP32" s="93">
        <f t="shared" si="14"/>
        <v>9.7541061342272979</v>
      </c>
      <c r="AQ32" s="106"/>
      <c r="AR32" s="39">
        <f t="shared" si="15"/>
        <v>3.1303340410858471</v>
      </c>
      <c r="AS32" s="93">
        <v>20.272053584629607</v>
      </c>
      <c r="AT32" s="93">
        <v>5.4505421224875432</v>
      </c>
      <c r="AU32" s="93">
        <v>7.3186000927815886</v>
      </c>
      <c r="AV32" s="93">
        <f t="shared" si="16"/>
        <v>12.769142215269131</v>
      </c>
      <c r="AW32" s="90">
        <f t="shared" si="17"/>
        <v>0</v>
      </c>
      <c r="AX32" s="39">
        <f t="shared" si="18"/>
        <v>2.6584881857450782</v>
      </c>
      <c r="AY32" s="11">
        <v>47.806403154901318</v>
      </c>
      <c r="AZ32" s="93">
        <v>-7.0421609841178725</v>
      </c>
      <c r="BA32" s="93">
        <v>14.342678022761262</v>
      </c>
      <c r="BB32" s="93">
        <f t="shared" si="19"/>
        <v>7.30051703864339</v>
      </c>
      <c r="BC32" s="93"/>
      <c r="BD32" s="39">
        <f t="shared" si="20"/>
        <v>2.6161806421257428</v>
      </c>
      <c r="BE32" s="93">
        <v>10.847301910693686</v>
      </c>
      <c r="BF32" s="93">
        <v>-4.5098176413100948</v>
      </c>
      <c r="BG32" s="93">
        <v>3.196354334448817</v>
      </c>
      <c r="BH32" s="93">
        <f t="shared" si="21"/>
        <v>-1.3134633068612778</v>
      </c>
      <c r="BJ32" s="39">
        <f t="shared" si="22"/>
        <v>2.6374751567947108</v>
      </c>
      <c r="BK32" s="93">
        <v>28.371369231702417</v>
      </c>
      <c r="BL32" s="93">
        <v>-3.0931884379730161</v>
      </c>
      <c r="BM32" s="93">
        <v>8.4364337781793513</v>
      </c>
      <c r="BN32" s="93">
        <f t="shared" si="23"/>
        <v>5.3432453402063356</v>
      </c>
      <c r="BO32" s="106"/>
      <c r="BP32" s="39">
        <f t="shared" si="24"/>
        <v>2.7805305911498435</v>
      </c>
      <c r="BQ32" s="93">
        <v>8.5877320125052172</v>
      </c>
      <c r="BR32" s="93">
        <v>0.56084509516523873</v>
      </c>
      <c r="BS32" s="93">
        <v>2.7098899101330933</v>
      </c>
      <c r="BT32" s="93">
        <f t="shared" si="25"/>
        <v>3.2707350052983322</v>
      </c>
      <c r="BU32" s="90">
        <f t="shared" si="26"/>
        <v>0</v>
      </c>
      <c r="BV32" s="39">
        <f t="shared" si="27"/>
        <v>2.6565095608896083</v>
      </c>
      <c r="BW32" s="11">
        <v>19.849533341962385</v>
      </c>
      <c r="BX32" s="93">
        <v>1.9836189361300114</v>
      </c>
      <c r="BY32" s="93">
        <v>5.9502012149531671</v>
      </c>
      <c r="BZ32" s="93">
        <f t="shared" si="28"/>
        <v>7.9338201510831787</v>
      </c>
      <c r="CA32" s="93"/>
      <c r="CB32" s="39">
        <f t="shared" si="29"/>
        <v>2.6205599538537738</v>
      </c>
      <c r="CC32" s="93">
        <v>6.8203543745401731</v>
      </c>
      <c r="CD32" s="93">
        <v>-1.6267924145713057</v>
      </c>
      <c r="CE32" s="93">
        <v>2.0135102832400635</v>
      </c>
      <c r="CF32" s="93">
        <f t="shared" si="30"/>
        <v>0.38671786866875779</v>
      </c>
      <c r="CH32" s="39">
        <f t="shared" si="31"/>
        <v>2.6438862721386736</v>
      </c>
      <c r="CI32" s="93">
        <v>10.586487257709154</v>
      </c>
      <c r="CJ32" s="93">
        <v>1.7602610215326151</v>
      </c>
      <c r="CK32" s="93">
        <v>3.1565507372840993</v>
      </c>
      <c r="CL32" s="93">
        <f t="shared" si="32"/>
        <v>4.9168117588167144</v>
      </c>
      <c r="CM32" s="106"/>
      <c r="CN32" s="39">
        <f t="shared" si="33"/>
        <v>2.8103646649090264</v>
      </c>
      <c r="CO32" s="93">
        <v>2.4426917097130554</v>
      </c>
      <c r="CP32" s="93">
        <v>1.850150329168702</v>
      </c>
      <c r="CQ32" s="93">
        <v>0.78014019442900417</v>
      </c>
      <c r="CR32" s="93">
        <f t="shared" si="34"/>
        <v>2.6302905235977061</v>
      </c>
      <c r="CS32" s="90">
        <f t="shared" si="35"/>
        <v>0</v>
      </c>
      <c r="CT32" s="39">
        <f t="shared" si="36"/>
        <v>2.1425269866725216</v>
      </c>
      <c r="CU32" s="11">
        <v>17.268551681413616</v>
      </c>
      <c r="CV32" s="93">
        <v>8.3789367833720867</v>
      </c>
      <c r="CW32" s="93">
        <v>4.0777132316847844</v>
      </c>
      <c r="CX32" s="93">
        <f t="shared" si="37"/>
        <v>12.456650015056871</v>
      </c>
      <c r="CY32" s="93"/>
      <c r="CZ32" s="39">
        <f t="shared" si="38"/>
        <v>2.0431060525095246</v>
      </c>
      <c r="DA32" s="93">
        <v>6.4491181642164932</v>
      </c>
      <c r="DB32" s="93">
        <v>-1.7419641031295572</v>
      </c>
      <c r="DC32" s="93">
        <v>1.4456072432268086</v>
      </c>
      <c r="DD32" s="93">
        <f t="shared" si="39"/>
        <v>-0.29635685990274863</v>
      </c>
      <c r="DF32" s="39">
        <f t="shared" si="40"/>
        <v>2.1249626362792373</v>
      </c>
      <c r="DG32" s="93">
        <v>9.1495019713561767</v>
      </c>
      <c r="DH32" s="93">
        <v>4.8951932430571077</v>
      </c>
      <c r="DI32" s="93">
        <v>2.1410860675570116</v>
      </c>
      <c r="DJ32" s="93">
        <f t="shared" si="41"/>
        <v>7.0362793106141197</v>
      </c>
      <c r="DK32" s="106"/>
      <c r="DL32" s="39">
        <f t="shared" si="42"/>
        <v>2.6111687821135154</v>
      </c>
      <c r="DM32" s="93">
        <v>1.6699315458409487</v>
      </c>
      <c r="DN32" s="93">
        <v>5.2257076434445349</v>
      </c>
      <c r="DO32" s="93">
        <v>0.49101992090096452</v>
      </c>
      <c r="DP32" s="93">
        <f t="shared" si="43"/>
        <v>5.7167275643454998</v>
      </c>
    </row>
    <row r="33" spans="1:120" x14ac:dyDescent="0.3">
      <c r="A33" s="90">
        <f>name!B29</f>
        <v>0</v>
      </c>
      <c r="B33" s="39">
        <f t="shared" si="1"/>
        <v>3.0653273318685947</v>
      </c>
      <c r="C33" s="11">
        <v>154.97099999999972</v>
      </c>
      <c r="D33" s="93">
        <v>3.3030000000000879</v>
      </c>
      <c r="E33" s="93">
        <v>54.621773436017577</v>
      </c>
      <c r="F33" s="93">
        <f t="shared" si="2"/>
        <v>57.924773436017666</v>
      </c>
      <c r="G33" s="93"/>
      <c r="H33" s="39">
        <f t="shared" si="3"/>
        <v>2.9436319407800893</v>
      </c>
      <c r="I33" s="93">
        <v>50.957790570188273</v>
      </c>
      <c r="J33" s="93">
        <v>-5.207332958391917</v>
      </c>
      <c r="K33" s="93">
        <v>17.151358481765701</v>
      </c>
      <c r="L33" s="93">
        <f t="shared" si="4"/>
        <v>11.944025523373785</v>
      </c>
      <c r="N33" s="39">
        <f t="shared" si="5"/>
        <v>3.080091904459592</v>
      </c>
      <c r="O33" s="93">
        <v>82.75191339584687</v>
      </c>
      <c r="P33" s="93">
        <v>5.6365125249630674</v>
      </c>
      <c r="Q33" s="93">
        <v>29.327542834156286</v>
      </c>
      <c r="R33" s="93">
        <f t="shared" si="6"/>
        <v>34.964055359119357</v>
      </c>
      <c r="S33" s="106"/>
      <c r="T33" s="39">
        <f t="shared" si="7"/>
        <v>3.2956222869682472</v>
      </c>
      <c r="U33" s="93">
        <v>21.261296033964598</v>
      </c>
      <c r="V33" s="93">
        <v>2.873820433428937</v>
      </c>
      <c r="W33" s="93">
        <v>8.1428721200955785</v>
      </c>
      <c r="X33" s="93">
        <f t="shared" si="8"/>
        <v>11.016692553524516</v>
      </c>
      <c r="Y33" s="90">
        <f t="shared" si="0"/>
        <v>0</v>
      </c>
      <c r="Z33" s="39">
        <f t="shared" si="9"/>
        <v>4.0504340600003408</v>
      </c>
      <c r="AA33" s="11">
        <v>43.296648877844632</v>
      </c>
      <c r="AB33" s="93">
        <v>-7.3473712231151156</v>
      </c>
      <c r="AC33" s="93">
        <v>21.104445332065058</v>
      </c>
      <c r="AD33" s="93">
        <f t="shared" si="10"/>
        <v>13.757074108949944</v>
      </c>
      <c r="AE33" s="93"/>
      <c r="AF33" s="39">
        <f t="shared" si="11"/>
        <v>4.0754800931313673</v>
      </c>
      <c r="AG33" s="93">
        <v>10.106732188154798</v>
      </c>
      <c r="AH33" s="93">
        <v>-4.7657768055697005</v>
      </c>
      <c r="AI33" s="93">
        <v>4.9626340231866539</v>
      </c>
      <c r="AJ33" s="93">
        <f t="shared" si="12"/>
        <v>0.19685721761695341</v>
      </c>
      <c r="AL33" s="39">
        <f t="shared" si="13"/>
        <v>4.032928627335286</v>
      </c>
      <c r="AM33" s="93">
        <v>24.904995907126381</v>
      </c>
      <c r="AN33" s="93">
        <v>-2.8493267756162344</v>
      </c>
      <c r="AO33" s="93">
        <v>12.077372396997415</v>
      </c>
      <c r="AP33" s="93">
        <f t="shared" si="14"/>
        <v>9.228045621381181</v>
      </c>
      <c r="AQ33" s="106"/>
      <c r="AR33" s="39">
        <f t="shared" si="15"/>
        <v>4.0724091362593917</v>
      </c>
      <c r="AS33" s="93">
        <v>8.2849207825634537</v>
      </c>
      <c r="AT33" s="93">
        <v>0.26773235807081874</v>
      </c>
      <c r="AU33" s="93">
        <v>4.0644389118809876</v>
      </c>
      <c r="AV33" s="93">
        <f t="shared" si="16"/>
        <v>4.3321712699518065</v>
      </c>
      <c r="AW33" s="90">
        <f t="shared" si="17"/>
        <v>0</v>
      </c>
      <c r="AX33" s="39">
        <f t="shared" si="18"/>
        <v>2.5547598396461035</v>
      </c>
      <c r="AY33" s="11">
        <v>78.997845710276223</v>
      </c>
      <c r="AZ33" s="93">
        <v>9.7021663700437788</v>
      </c>
      <c r="BA33" s="93">
        <v>22.667623064076533</v>
      </c>
      <c r="BB33" s="93">
        <f t="shared" si="19"/>
        <v>32.369789434120314</v>
      </c>
      <c r="BC33" s="93"/>
      <c r="BD33" s="39">
        <f t="shared" si="20"/>
        <v>2.5174195387168252</v>
      </c>
      <c r="BE33" s="93">
        <v>26.37395315468379</v>
      </c>
      <c r="BF33" s="93">
        <v>1.6686028083983007</v>
      </c>
      <c r="BG33" s="93">
        <v>7.4443560709851919</v>
      </c>
      <c r="BH33" s="93">
        <f t="shared" si="21"/>
        <v>9.112958879383493</v>
      </c>
      <c r="BJ33" s="39">
        <f t="shared" si="22"/>
        <v>2.5486671581746334</v>
      </c>
      <c r="BK33" s="93">
        <v>42.663657472306795</v>
      </c>
      <c r="BL33" s="93">
        <v>6.2773062085895344</v>
      </c>
      <c r="BM33" s="93">
        <v>12.209289576322305</v>
      </c>
      <c r="BN33" s="93">
        <f t="shared" si="23"/>
        <v>18.486595784911842</v>
      </c>
      <c r="BO33" s="106"/>
      <c r="BP33" s="39">
        <f t="shared" si="24"/>
        <v>2.6788844840362147</v>
      </c>
      <c r="BQ33" s="93">
        <v>9.9602350832856388</v>
      </c>
      <c r="BR33" s="93">
        <v>1.7562573530559429</v>
      </c>
      <c r="BS33" s="93">
        <v>3.0139774167690323</v>
      </c>
      <c r="BT33" s="93">
        <f t="shared" si="25"/>
        <v>4.7702347698249756</v>
      </c>
      <c r="BU33" s="90">
        <f t="shared" si="26"/>
        <v>0</v>
      </c>
      <c r="BV33" s="39">
        <f t="shared" si="27"/>
        <v>2.6173395636761576</v>
      </c>
      <c r="BW33" s="11">
        <v>3.1913404184740064</v>
      </c>
      <c r="BX33" s="93">
        <v>1.1226335486044625</v>
      </c>
      <c r="BY33" s="93">
        <v>0.94085301244670572</v>
      </c>
      <c r="BZ33" s="93">
        <f t="shared" si="28"/>
        <v>2.0634865610511683</v>
      </c>
      <c r="CA33" s="93"/>
      <c r="CB33" s="39">
        <f t="shared" si="29"/>
        <v>2.5929383707474774</v>
      </c>
      <c r="CC33" s="93">
        <v>1.3470262007787908</v>
      </c>
      <c r="CD33" s="93">
        <v>-0.26599294418410591</v>
      </c>
      <c r="CE33" s="93">
        <v>0.39297973448013812</v>
      </c>
      <c r="CF33" s="93">
        <f t="shared" si="30"/>
        <v>0.12698679029603221</v>
      </c>
      <c r="CH33" s="39">
        <f t="shared" si="31"/>
        <v>2.6512654768499289</v>
      </c>
      <c r="CI33" s="93">
        <v>1.6842985207880887</v>
      </c>
      <c r="CJ33" s="93">
        <v>1.2839192112138034</v>
      </c>
      <c r="CK33" s="93">
        <v>0.50377617701394806</v>
      </c>
      <c r="CL33" s="93">
        <f t="shared" si="32"/>
        <v>1.7876953882277515</v>
      </c>
      <c r="CM33" s="106"/>
      <c r="CN33" s="39">
        <f t="shared" si="33"/>
        <v>2.4638723480357561</v>
      </c>
      <c r="CO33" s="93">
        <v>0.16001569690712689</v>
      </c>
      <c r="CP33" s="93">
        <v>0.10470728157476483</v>
      </c>
      <c r="CQ33" s="93">
        <v>4.4097100952619553E-2</v>
      </c>
      <c r="CR33" s="93">
        <f t="shared" si="34"/>
        <v>0.14880438252738437</v>
      </c>
      <c r="CS33" s="90">
        <f t="shared" si="35"/>
        <v>0</v>
      </c>
      <c r="CT33" s="39">
        <f t="shared" si="36"/>
        <v>2.939646040038868</v>
      </c>
      <c r="CU33" s="11">
        <v>29.485164993404876</v>
      </c>
      <c r="CV33" s="93">
        <v>-0.17442869553303728</v>
      </c>
      <c r="CW33" s="93">
        <v>9.9088520274292744</v>
      </c>
      <c r="CX33" s="93">
        <f t="shared" si="37"/>
        <v>9.7344233318962363</v>
      </c>
      <c r="CY33" s="93"/>
      <c r="CZ33" s="39">
        <f t="shared" si="38"/>
        <v>2.9037153176336705</v>
      </c>
      <c r="DA33" s="93">
        <v>13.13007902657089</v>
      </c>
      <c r="DB33" s="93">
        <v>-1.8441660170364109</v>
      </c>
      <c r="DC33" s="93">
        <v>4.3513886531137187</v>
      </c>
      <c r="DD33" s="93">
        <f t="shared" si="39"/>
        <v>2.5072226360773078</v>
      </c>
      <c r="DF33" s="39">
        <f t="shared" si="40"/>
        <v>2.9399957923162523</v>
      </c>
      <c r="DG33" s="93">
        <v>13.498961495625606</v>
      </c>
      <c r="DH33" s="93">
        <v>0.92461388077596329</v>
      </c>
      <c r="DI33" s="93">
        <v>4.5371046838226157</v>
      </c>
      <c r="DJ33" s="93">
        <f t="shared" si="41"/>
        <v>5.4617185645985789</v>
      </c>
      <c r="DK33" s="106"/>
      <c r="DL33" s="39">
        <f t="shared" si="42"/>
        <v>3.1017595685842725</v>
      </c>
      <c r="DM33" s="93">
        <v>2.856124471208378</v>
      </c>
      <c r="DN33" s="93">
        <v>0.74512344072741044</v>
      </c>
      <c r="DO33" s="93">
        <v>1.0203586904929389</v>
      </c>
      <c r="DP33" s="93">
        <f t="shared" si="43"/>
        <v>1.7654821312203492</v>
      </c>
    </row>
    <row r="34" spans="1:120" x14ac:dyDescent="0.3">
      <c r="A34" s="90">
        <f>name!B30</f>
        <v>0</v>
      </c>
      <c r="B34" s="39">
        <f t="shared" si="1"/>
        <v>2.9160956930703641</v>
      </c>
      <c r="C34" s="11">
        <v>23.473999999999943</v>
      </c>
      <c r="D34" s="93">
        <v>1.4800000000000508</v>
      </c>
      <c r="E34" s="93">
        <v>7.8170489049169243</v>
      </c>
      <c r="F34" s="93">
        <f t="shared" si="2"/>
        <v>9.2970489049169753</v>
      </c>
      <c r="G34" s="93"/>
      <c r="H34" s="39">
        <f t="shared" si="3"/>
        <v>2.8413998152179376</v>
      </c>
      <c r="I34" s="93">
        <v>1.0959429864268337</v>
      </c>
      <c r="J34" s="93">
        <v>-0.1037259015403591</v>
      </c>
      <c r="K34" s="93">
        <v>0.35439010241011099</v>
      </c>
      <c r="L34" s="93">
        <f t="shared" si="4"/>
        <v>0.25066420086975189</v>
      </c>
      <c r="N34" s="39">
        <f t="shared" si="5"/>
        <v>2.7368083593868553</v>
      </c>
      <c r="O34" s="93">
        <v>5.7095877901633001</v>
      </c>
      <c r="P34" s="93">
        <v>-0.37327834266091714</v>
      </c>
      <c r="Q34" s="93">
        <v>1.7697896880944277</v>
      </c>
      <c r="R34" s="93">
        <f t="shared" si="6"/>
        <v>1.3965113454335105</v>
      </c>
      <c r="S34" s="106"/>
      <c r="T34" s="39">
        <f t="shared" si="7"/>
        <v>2.9817357423914226</v>
      </c>
      <c r="U34" s="93">
        <v>16.668469223409804</v>
      </c>
      <c r="V34" s="93">
        <v>1.9570042442013271</v>
      </c>
      <c r="W34" s="93">
        <v>5.6928691144123853</v>
      </c>
      <c r="X34" s="93">
        <f t="shared" si="8"/>
        <v>7.6498733586137124</v>
      </c>
      <c r="Y34" s="90">
        <f t="shared" si="0"/>
        <v>0</v>
      </c>
      <c r="Z34" s="39">
        <f t="shared" si="9"/>
        <v>2.9622047611067126</v>
      </c>
      <c r="AA34" s="11">
        <v>19.751750114413298</v>
      </c>
      <c r="AB34" s="93">
        <v>1.9847428369989049</v>
      </c>
      <c r="AC34" s="93">
        <v>6.6957068627363743</v>
      </c>
      <c r="AD34" s="93">
        <f t="shared" si="10"/>
        <v>8.6804496997352789</v>
      </c>
      <c r="AE34" s="93"/>
      <c r="AF34" s="39">
        <f t="shared" si="11"/>
        <v>2.8503434562277441</v>
      </c>
      <c r="AG34" s="93">
        <v>0.53141404120681335</v>
      </c>
      <c r="AH34" s="93">
        <v>5.7773207866578854E-3</v>
      </c>
      <c r="AI34" s="93">
        <v>0.17245277094298822</v>
      </c>
      <c r="AJ34" s="93">
        <f t="shared" si="12"/>
        <v>0.1782300917296461</v>
      </c>
      <c r="AL34" s="39">
        <f t="shared" si="13"/>
        <v>2.8052118952712313</v>
      </c>
      <c r="AM34" s="93">
        <v>3.8176590294715562</v>
      </c>
      <c r="AN34" s="93">
        <v>-9.3651610208796005E-2</v>
      </c>
      <c r="AO34" s="93">
        <v>1.2167495955135688</v>
      </c>
      <c r="AP34" s="93">
        <f t="shared" si="14"/>
        <v>1.1230979853047727</v>
      </c>
      <c r="AQ34" s="106"/>
      <c r="AR34" s="39">
        <f t="shared" si="15"/>
        <v>3.0046124829515852</v>
      </c>
      <c r="AS34" s="93">
        <v>15.402677043734929</v>
      </c>
      <c r="AT34" s="93">
        <v>2.0726171264210431</v>
      </c>
      <c r="AU34" s="93">
        <v>5.3065044962798176</v>
      </c>
      <c r="AV34" s="93">
        <f t="shared" si="16"/>
        <v>7.3791216227008611</v>
      </c>
      <c r="AW34" s="90">
        <f t="shared" si="17"/>
        <v>0</v>
      </c>
      <c r="AX34" s="39">
        <f t="shared" si="18"/>
        <v>2.6373612310459427</v>
      </c>
      <c r="AY34" s="11">
        <v>2.374731535280187</v>
      </c>
      <c r="AZ34" s="93">
        <v>-0.52610301968475415</v>
      </c>
      <c r="BA34" s="93">
        <v>0.70610956275344761</v>
      </c>
      <c r="BB34" s="93">
        <f t="shared" si="19"/>
        <v>0.18000654306869346</v>
      </c>
      <c r="BC34" s="93"/>
      <c r="BD34" s="39">
        <f t="shared" si="20"/>
        <v>2.6142974667533903</v>
      </c>
      <c r="BE34" s="93">
        <v>0.19374258077031151</v>
      </c>
      <c r="BF34" s="93">
        <v>-6.9067346278153099E-2</v>
      </c>
      <c r="BG34" s="93">
        <v>5.7043738869553398E-2</v>
      </c>
      <c r="BH34" s="93">
        <f t="shared" si="21"/>
        <v>-1.2023607408599701E-2</v>
      </c>
      <c r="BJ34" s="39">
        <f t="shared" si="22"/>
        <v>2.5779959595980673</v>
      </c>
      <c r="BK34" s="93">
        <v>1.3032102618231316</v>
      </c>
      <c r="BL34" s="93">
        <v>-0.29057782168208351</v>
      </c>
      <c r="BM34" s="93">
        <v>0.37774669225068269</v>
      </c>
      <c r="BN34" s="93">
        <f t="shared" si="23"/>
        <v>8.7168870568599177E-2</v>
      </c>
      <c r="BO34" s="106"/>
      <c r="BP34" s="39">
        <f t="shared" si="24"/>
        <v>2.7299783965388569</v>
      </c>
      <c r="BQ34" s="93">
        <v>0.87777869268674391</v>
      </c>
      <c r="BR34" s="93">
        <v>-0.16645785172451752</v>
      </c>
      <c r="BS34" s="93">
        <v>0.27131913163321136</v>
      </c>
      <c r="BT34" s="93">
        <f t="shared" si="25"/>
        <v>0.10486127990869384</v>
      </c>
      <c r="BU34" s="90">
        <f t="shared" si="26"/>
        <v>0</v>
      </c>
      <c r="BV34" s="39">
        <f t="shared" si="27"/>
        <v>2.6468617353205159</v>
      </c>
      <c r="BW34" s="11">
        <v>1.0085113638560528</v>
      </c>
      <c r="BX34" s="93">
        <v>-2.6892226884003306E-2</v>
      </c>
      <c r="BY34" s="93">
        <v>0.30108528970707676</v>
      </c>
      <c r="BZ34" s="93">
        <f t="shared" si="28"/>
        <v>0.27419306282307343</v>
      </c>
      <c r="CA34" s="93"/>
      <c r="CB34" s="39">
        <f t="shared" si="29"/>
        <v>2.9715317472071456</v>
      </c>
      <c r="CC34" s="93">
        <v>0.11005468485323042</v>
      </c>
      <c r="CD34" s="93">
        <v>-1.7792453645316623E-2</v>
      </c>
      <c r="CE34" s="93">
        <v>3.7441322944962968E-2</v>
      </c>
      <c r="CF34" s="93">
        <f t="shared" si="30"/>
        <v>1.9648869299646345E-2</v>
      </c>
      <c r="CH34" s="39">
        <f t="shared" si="31"/>
        <v>2.6078916675794428</v>
      </c>
      <c r="CI34" s="93">
        <v>0.53681981591731076</v>
      </c>
      <c r="CJ34" s="93">
        <v>-2.205025681449153E-2</v>
      </c>
      <c r="CK34" s="93">
        <v>0.1576225040625937</v>
      </c>
      <c r="CL34" s="93">
        <f t="shared" si="32"/>
        <v>0.13557224724810218</v>
      </c>
      <c r="CM34" s="106"/>
      <c r="CN34" s="39">
        <f t="shared" si="33"/>
        <v>2.604308479860018</v>
      </c>
      <c r="CO34" s="93">
        <v>0.36163686308551168</v>
      </c>
      <c r="CP34" s="93">
        <v>1.2950483575804845E-2</v>
      </c>
      <c r="CQ34" s="93">
        <v>0.10602146269952011</v>
      </c>
      <c r="CR34" s="93">
        <f t="shared" si="34"/>
        <v>0.11897194627532495</v>
      </c>
      <c r="CS34" s="90">
        <f t="shared" si="35"/>
        <v>0</v>
      </c>
      <c r="CT34" s="39">
        <f t="shared" si="36"/>
        <v>2.9446387229132842</v>
      </c>
      <c r="CU34" s="11">
        <v>0.33900698645039778</v>
      </c>
      <c r="CV34" s="93">
        <v>4.8252409569903426E-2</v>
      </c>
      <c r="CW34" s="93">
        <v>0.11414718972002513</v>
      </c>
      <c r="CX34" s="93">
        <f t="shared" si="37"/>
        <v>0.16239959928992856</v>
      </c>
      <c r="CY34" s="93"/>
      <c r="CZ34" s="39">
        <f t="shared" si="38"/>
        <v>2.9346268426516664</v>
      </c>
      <c r="DA34" s="93">
        <v>0.26073167959647875</v>
      </c>
      <c r="DB34" s="93">
        <v>-2.2643422403547261E-2</v>
      </c>
      <c r="DC34" s="93">
        <v>8.7452269652606385E-2</v>
      </c>
      <c r="DD34" s="93">
        <f t="shared" si="39"/>
        <v>6.4808847249059123E-2</v>
      </c>
      <c r="DF34" s="39">
        <f t="shared" si="40"/>
        <v>2.9736967059325492</v>
      </c>
      <c r="DG34" s="93">
        <v>5.1898682951301692E-2</v>
      </c>
      <c r="DH34" s="93">
        <v>3.3001346044453983E-2</v>
      </c>
      <c r="DI34" s="93">
        <v>1.7670896267582607E-2</v>
      </c>
      <c r="DJ34" s="93">
        <f t="shared" si="41"/>
        <v>5.067224231203659E-2</v>
      </c>
      <c r="DK34" s="106"/>
      <c r="DL34" s="39">
        <f t="shared" si="42"/>
        <v>2.986239445321015</v>
      </c>
      <c r="DM34" s="93">
        <v>2.637662390261741E-2</v>
      </c>
      <c r="DN34" s="93">
        <v>3.7894485928996711E-2</v>
      </c>
      <c r="DO34" s="93">
        <v>9.0240237998361478E-3</v>
      </c>
      <c r="DP34" s="93">
        <f t="shared" si="43"/>
        <v>4.6918509728832859E-2</v>
      </c>
    </row>
    <row r="35" spans="1:120" x14ac:dyDescent="0.3">
      <c r="A35" s="90">
        <f>name!B31</f>
        <v>0</v>
      </c>
      <c r="B35" s="39">
        <f t="shared" si="1"/>
        <v>2.8621080323697479</v>
      </c>
      <c r="C35" s="11">
        <v>28.894999999999936</v>
      </c>
      <c r="D35" s="93">
        <v>1.6460000000000381</v>
      </c>
      <c r="E35" s="93">
        <v>9.420712233917067</v>
      </c>
      <c r="F35" s="93">
        <f t="shared" si="2"/>
        <v>11.066712233917105</v>
      </c>
      <c r="G35" s="93"/>
      <c r="H35" s="39">
        <f t="shared" si="3"/>
        <v>2.6633825373017173</v>
      </c>
      <c r="I35" s="93">
        <v>1.9794220652335754</v>
      </c>
      <c r="J35" s="93">
        <v>-0.35248216003289656</v>
      </c>
      <c r="K35" s="93">
        <v>0.59508506788336712</v>
      </c>
      <c r="L35" s="93">
        <f t="shared" si="4"/>
        <v>0.24260290785047056</v>
      </c>
      <c r="N35" s="39">
        <f t="shared" si="5"/>
        <v>2.6696771260062091</v>
      </c>
      <c r="O35" s="93">
        <v>10.289648262531291</v>
      </c>
      <c r="P35" s="93">
        <v>0.71798490602012099</v>
      </c>
      <c r="Q35" s="93">
        <v>3.1016441026996522</v>
      </c>
      <c r="R35" s="93">
        <f t="shared" si="6"/>
        <v>3.8196290087197733</v>
      </c>
      <c r="S35" s="106"/>
      <c r="T35" s="39">
        <f t="shared" si="7"/>
        <v>3.0027901952621061</v>
      </c>
      <c r="U35" s="93">
        <v>16.625929672235067</v>
      </c>
      <c r="V35" s="93">
        <v>1.2804972540128137</v>
      </c>
      <c r="W35" s="93">
        <v>5.7239830633340478</v>
      </c>
      <c r="X35" s="93">
        <f t="shared" si="8"/>
        <v>7.0044803173468617</v>
      </c>
      <c r="Y35" s="90">
        <f t="shared" si="0"/>
        <v>0</v>
      </c>
      <c r="Z35" s="39">
        <f t="shared" si="9"/>
        <v>3.0215443790052143</v>
      </c>
      <c r="AA35" s="11">
        <v>17.580481963655998</v>
      </c>
      <c r="AB35" s="93">
        <v>2.8098087008328023</v>
      </c>
      <c r="AC35" s="93">
        <v>6.095681909765899</v>
      </c>
      <c r="AD35" s="93">
        <f t="shared" si="10"/>
        <v>8.9054906105987008</v>
      </c>
      <c r="AE35" s="93"/>
      <c r="AF35" s="39">
        <f t="shared" si="11"/>
        <v>2.9707695648767851</v>
      </c>
      <c r="AG35" s="93">
        <v>0.5967101275394916</v>
      </c>
      <c r="AH35" s="93">
        <v>0.21095192443473093</v>
      </c>
      <c r="AI35" s="93">
        <v>0.20294549270816775</v>
      </c>
      <c r="AJ35" s="93">
        <f t="shared" si="12"/>
        <v>0.41389741714289868</v>
      </c>
      <c r="AL35" s="39">
        <f t="shared" si="13"/>
        <v>2.828445336027241</v>
      </c>
      <c r="AM35" s="93">
        <v>4.2778021615675197</v>
      </c>
      <c r="AN35" s="93">
        <v>1.1605153808737563</v>
      </c>
      <c r="AO35" s="93">
        <v>1.3761664496642632</v>
      </c>
      <c r="AP35" s="93">
        <f t="shared" si="14"/>
        <v>2.5366818305380194</v>
      </c>
      <c r="AQ35" s="106"/>
      <c r="AR35" s="39">
        <f t="shared" si="15"/>
        <v>3.0881955582803711</v>
      </c>
      <c r="AS35" s="93">
        <v>12.705969674548985</v>
      </c>
      <c r="AT35" s="93">
        <v>1.4383413955243152</v>
      </c>
      <c r="AU35" s="93">
        <v>4.5165699673934689</v>
      </c>
      <c r="AV35" s="93">
        <f t="shared" si="16"/>
        <v>5.9549113629177839</v>
      </c>
      <c r="AW35" s="90">
        <f t="shared" si="17"/>
        <v>0</v>
      </c>
      <c r="AX35" s="39">
        <f t="shared" si="18"/>
        <v>2.6020134806948869</v>
      </c>
      <c r="AY35" s="11">
        <v>7.0600510279774715</v>
      </c>
      <c r="AZ35" s="93">
        <v>-0.82070299664328927</v>
      </c>
      <c r="BA35" s="93">
        <v>2.067760735617695</v>
      </c>
      <c r="BB35" s="93">
        <f t="shared" si="19"/>
        <v>1.2470577389744057</v>
      </c>
      <c r="BC35" s="93"/>
      <c r="BD35" s="39">
        <f t="shared" si="20"/>
        <v>2.5053318006841074</v>
      </c>
      <c r="BE35" s="93">
        <v>0.58242692656334427</v>
      </c>
      <c r="BF35" s="93">
        <v>-0.32828833435573068</v>
      </c>
      <c r="BG35" s="93">
        <v>0.16351669099146005</v>
      </c>
      <c r="BH35" s="93">
        <f t="shared" si="21"/>
        <v>-0.16477164336427064</v>
      </c>
      <c r="BJ35" s="39">
        <f t="shared" si="22"/>
        <v>2.528922957277846</v>
      </c>
      <c r="BK35" s="93">
        <v>3.4980513979754475</v>
      </c>
      <c r="BL35" s="93">
        <v>-0.21403758136916518</v>
      </c>
      <c r="BM35" s="93">
        <v>0.99240143264883662</v>
      </c>
      <c r="BN35" s="93">
        <f t="shared" si="23"/>
        <v>0.77836385127967145</v>
      </c>
      <c r="BO35" s="106"/>
      <c r="BP35" s="39">
        <f t="shared" si="24"/>
        <v>2.7058922134773455</v>
      </c>
      <c r="BQ35" s="93">
        <v>2.9795727034386803</v>
      </c>
      <c r="BR35" s="93">
        <v>-0.27837708091839342</v>
      </c>
      <c r="BS35" s="93">
        <v>0.91184261197739835</v>
      </c>
      <c r="BT35" s="93">
        <f t="shared" si="25"/>
        <v>0.63346553105900494</v>
      </c>
      <c r="BU35" s="90">
        <f t="shared" si="26"/>
        <v>0</v>
      </c>
      <c r="BV35" s="39">
        <f t="shared" si="27"/>
        <v>2.6025333799874595</v>
      </c>
      <c r="BW35" s="11">
        <v>3.9916086369088277</v>
      </c>
      <c r="BX35" s="93">
        <v>-0.36860749517507152</v>
      </c>
      <c r="BY35" s="93">
        <v>1.1693311871886336</v>
      </c>
      <c r="BZ35" s="93">
        <f t="shared" si="28"/>
        <v>0.80072369201356208</v>
      </c>
      <c r="CA35" s="93"/>
      <c r="CB35" s="39">
        <f t="shared" si="29"/>
        <v>2.5262794249925946</v>
      </c>
      <c r="CC35" s="93">
        <v>0.76479151317239202</v>
      </c>
      <c r="CD35" s="93">
        <v>-0.20773686960970486</v>
      </c>
      <c r="CE35" s="93">
        <v>0.21671918013294533</v>
      </c>
      <c r="CF35" s="93">
        <f t="shared" si="30"/>
        <v>8.9823105232404721E-3</v>
      </c>
      <c r="CH35" s="39">
        <f t="shared" si="31"/>
        <v>2.5896950806788999</v>
      </c>
      <c r="CI35" s="93">
        <v>2.4153471822787229</v>
      </c>
      <c r="CJ35" s="93">
        <v>-0.2502303844660983</v>
      </c>
      <c r="CK35" s="93">
        <v>0.70366416736616388</v>
      </c>
      <c r="CL35" s="93">
        <f t="shared" si="32"/>
        <v>0.45343378290006559</v>
      </c>
      <c r="CM35" s="106"/>
      <c r="CN35" s="39">
        <f t="shared" si="33"/>
        <v>2.7118274856430702</v>
      </c>
      <c r="CO35" s="93">
        <v>0.81146994145771245</v>
      </c>
      <c r="CP35" s="93">
        <v>8.9359758900731598E-2</v>
      </c>
      <c r="CQ35" s="93">
        <v>0.24894783968952428</v>
      </c>
      <c r="CR35" s="93">
        <f t="shared" si="34"/>
        <v>0.33830759859025589</v>
      </c>
      <c r="CS35" s="90">
        <f t="shared" si="35"/>
        <v>0</v>
      </c>
      <c r="CT35" s="39">
        <f t="shared" si="36"/>
        <v>2.9279629310322131</v>
      </c>
      <c r="CU35" s="11">
        <v>0.26285837145763702</v>
      </c>
      <c r="CV35" s="93">
        <v>2.5501790985596576E-2</v>
      </c>
      <c r="CW35" s="93">
        <v>8.7938401344838837E-2</v>
      </c>
      <c r="CX35" s="93">
        <f t="shared" si="37"/>
        <v>0.11344019233043541</v>
      </c>
      <c r="CY35" s="93"/>
      <c r="CZ35" s="39">
        <f t="shared" si="38"/>
        <v>2.9343651326463327</v>
      </c>
      <c r="DA35" s="93">
        <v>3.5493497958347456E-2</v>
      </c>
      <c r="DB35" s="93">
        <v>-2.740888050219192E-2</v>
      </c>
      <c r="DC35" s="93">
        <v>1.1903704050793999E-2</v>
      </c>
      <c r="DD35" s="93">
        <f t="shared" si="39"/>
        <v>-1.5505176451397921E-2</v>
      </c>
      <c r="DF35" s="39">
        <f t="shared" si="40"/>
        <v>2.6485565988142667</v>
      </c>
      <c r="DG35" s="93">
        <v>9.8447520709600847E-2</v>
      </c>
      <c r="DH35" s="93">
        <v>2.1737490981628024E-2</v>
      </c>
      <c r="DI35" s="93">
        <v>2.941205302038874E-2</v>
      </c>
      <c r="DJ35" s="93">
        <f t="shared" si="41"/>
        <v>5.1149544002016767E-2</v>
      </c>
      <c r="DK35" s="106"/>
      <c r="DL35" s="39">
        <f t="shared" si="42"/>
        <v>3.1350944801386671</v>
      </c>
      <c r="DM35" s="93">
        <v>0.12891735278968872</v>
      </c>
      <c r="DN35" s="93">
        <v>3.1173180506160469E-2</v>
      </c>
      <c r="DO35" s="93">
        <v>4.6622644273656109E-2</v>
      </c>
      <c r="DP35" s="93">
        <f t="shared" si="43"/>
        <v>7.7795824779816586E-2</v>
      </c>
    </row>
    <row r="36" spans="1:120" x14ac:dyDescent="0.3">
      <c r="A36" s="90">
        <f>name!B32</f>
        <v>0</v>
      </c>
      <c r="B36" s="39">
        <f t="shared" si="1"/>
        <v>2.9945367077332863</v>
      </c>
      <c r="C36" s="11">
        <v>56.486999999999881</v>
      </c>
      <c r="D36" s="93">
        <v>9.4270000000000458</v>
      </c>
      <c r="E36" s="93">
        <v>19.386548178062384</v>
      </c>
      <c r="F36" s="93">
        <f t="shared" si="2"/>
        <v>28.81354817806243</v>
      </c>
      <c r="G36" s="93"/>
      <c r="H36" s="39">
        <f t="shared" si="3"/>
        <v>2.6683655064911882</v>
      </c>
      <c r="I36" s="93">
        <v>3.0739661220094856</v>
      </c>
      <c r="J36" s="93">
        <v>1.6985913874363638</v>
      </c>
      <c r="K36" s="93">
        <v>0.92608514366015537</v>
      </c>
      <c r="L36" s="93">
        <f t="shared" si="4"/>
        <v>2.6246765310965192</v>
      </c>
      <c r="N36" s="39">
        <f t="shared" si="5"/>
        <v>2.7983270973520824</v>
      </c>
      <c r="O36" s="93">
        <v>10.80483185043264</v>
      </c>
      <c r="P36" s="93">
        <v>0.32429358730751345</v>
      </c>
      <c r="Q36" s="93">
        <v>3.4341351738504251</v>
      </c>
      <c r="R36" s="93">
        <f t="shared" si="6"/>
        <v>3.7584287611579388</v>
      </c>
      <c r="S36" s="106"/>
      <c r="T36" s="39">
        <f t="shared" si="7"/>
        <v>3.0668385216106264</v>
      </c>
      <c r="U36" s="93">
        <v>42.608202027557752</v>
      </c>
      <c r="V36" s="93">
        <v>7.4041150252561669</v>
      </c>
      <c r="W36" s="93">
        <v>15.026327860551801</v>
      </c>
      <c r="X36" s="93">
        <f t="shared" si="8"/>
        <v>22.430442885807967</v>
      </c>
      <c r="Y36" s="90">
        <f t="shared" si="0"/>
        <v>0</v>
      </c>
      <c r="Z36" s="39">
        <f t="shared" si="9"/>
        <v>3.0309771831799281</v>
      </c>
      <c r="AA36" s="11">
        <v>51.021735996170101</v>
      </c>
      <c r="AB36" s="93">
        <v>9.5647099325395999</v>
      </c>
      <c r="AC36" s="93">
        <v>17.753710691282151</v>
      </c>
      <c r="AD36" s="93">
        <f t="shared" si="10"/>
        <v>27.318420623821751</v>
      </c>
      <c r="AE36" s="93"/>
      <c r="AF36" s="39">
        <f t="shared" si="11"/>
        <v>2.7156970530987756</v>
      </c>
      <c r="AG36" s="93">
        <v>1.8966772091595998</v>
      </c>
      <c r="AH36" s="93">
        <v>1.1084660999032749</v>
      </c>
      <c r="AI36" s="93">
        <v>0.58280846211724435</v>
      </c>
      <c r="AJ36" s="93">
        <f t="shared" si="12"/>
        <v>1.6912745620205194</v>
      </c>
      <c r="AL36" s="39">
        <f t="shared" si="13"/>
        <v>2.8544377950161515</v>
      </c>
      <c r="AM36" s="93">
        <v>8.7151787782400429</v>
      </c>
      <c r="AN36" s="93">
        <v>0.37231764916359472</v>
      </c>
      <c r="AO36" s="93">
        <v>2.8328178136294691</v>
      </c>
      <c r="AP36" s="93">
        <f t="shared" si="14"/>
        <v>3.2051354627930637</v>
      </c>
      <c r="AQ36" s="106"/>
      <c r="AR36" s="39">
        <f t="shared" si="15"/>
        <v>3.0832355344662776</v>
      </c>
      <c r="AS36" s="93">
        <v>40.409880008770457</v>
      </c>
      <c r="AT36" s="93">
        <v>8.0839261834727303</v>
      </c>
      <c r="AU36" s="93">
        <v>14.338084415535439</v>
      </c>
      <c r="AV36" s="93">
        <f t="shared" si="16"/>
        <v>22.422010599008168</v>
      </c>
      <c r="AW36" s="90">
        <f t="shared" si="17"/>
        <v>0</v>
      </c>
      <c r="AX36" s="39">
        <f t="shared" si="18"/>
        <v>2.6442828612915692</v>
      </c>
      <c r="AY36" s="11">
        <v>4.1117223502687619</v>
      </c>
      <c r="AZ36" s="93">
        <v>-1.2602457015033561</v>
      </c>
      <c r="BA36" s="93">
        <v>1.2261898817352725</v>
      </c>
      <c r="BB36" s="93">
        <f t="shared" si="19"/>
        <v>-3.4055819768083584E-2</v>
      </c>
      <c r="BC36" s="93"/>
      <c r="BD36" s="39">
        <f t="shared" si="20"/>
        <v>2.5250973136344612</v>
      </c>
      <c r="BE36" s="93">
        <v>0.59212142104784216</v>
      </c>
      <c r="BF36" s="93">
        <v>5.5003227893673415E-2</v>
      </c>
      <c r="BG36" s="93">
        <v>0.1677019969682341</v>
      </c>
      <c r="BH36" s="93">
        <f t="shared" si="21"/>
        <v>0.22270522486190752</v>
      </c>
      <c r="BJ36" s="39">
        <f t="shared" si="22"/>
        <v>2.5953522288273634</v>
      </c>
      <c r="BK36" s="93">
        <v>1.6781048923637909</v>
      </c>
      <c r="BL36" s="93">
        <v>-0.50299398657548378</v>
      </c>
      <c r="BM36" s="93">
        <v>0.49007829174845352</v>
      </c>
      <c r="BN36" s="93">
        <f t="shared" si="23"/>
        <v>-1.2915694827030255E-2</v>
      </c>
      <c r="BO36" s="106"/>
      <c r="BP36" s="39">
        <f t="shared" si="24"/>
        <v>2.7266024857339533</v>
      </c>
      <c r="BQ36" s="93">
        <v>1.8414960368571291</v>
      </c>
      <c r="BR36" s="93">
        <v>-0.81225494282154564</v>
      </c>
      <c r="BS36" s="93">
        <v>0.56840959301858496</v>
      </c>
      <c r="BT36" s="93">
        <f t="shared" si="25"/>
        <v>-0.24384534980296069</v>
      </c>
      <c r="BU36" s="90">
        <f t="shared" si="26"/>
        <v>0</v>
      </c>
      <c r="BV36" s="39">
        <f t="shared" si="27"/>
        <v>2.6699286086445007</v>
      </c>
      <c r="BW36" s="11">
        <v>0.94096087042845011</v>
      </c>
      <c r="BX36" s="93">
        <v>1.0673588590067584</v>
      </c>
      <c r="BY36" s="93">
        <v>0.28366707092484866</v>
      </c>
      <c r="BZ36" s="93">
        <f t="shared" si="28"/>
        <v>1.3510259299316072</v>
      </c>
      <c r="CA36" s="93"/>
      <c r="CB36" s="39">
        <f t="shared" si="29"/>
        <v>2.4755931087015126</v>
      </c>
      <c r="CC36" s="93">
        <v>0.24637925552867021</v>
      </c>
      <c r="CD36" s="93">
        <v>0.45294770729803285</v>
      </c>
      <c r="CE36" s="93">
        <v>6.8256840443345096E-2</v>
      </c>
      <c r="CF36" s="93">
        <f t="shared" si="30"/>
        <v>0.52120454774137792</v>
      </c>
      <c r="CH36" s="39">
        <f t="shared" si="31"/>
        <v>2.5317857369329788</v>
      </c>
      <c r="CI36" s="93">
        <v>0.34250238229029917</v>
      </c>
      <c r="CJ36" s="93">
        <v>0.47722061778305425</v>
      </c>
      <c r="CK36" s="93">
        <v>9.7291120958866453E-2</v>
      </c>
      <c r="CL36" s="93">
        <f t="shared" si="32"/>
        <v>0.57451173874192074</v>
      </c>
      <c r="CM36" s="106"/>
      <c r="CN36" s="39">
        <f t="shared" si="33"/>
        <v>2.9352369214464158</v>
      </c>
      <c r="CO36" s="93">
        <v>0.35207923260948076</v>
      </c>
      <c r="CP36" s="93">
        <v>0.13719053392567115</v>
      </c>
      <c r="CQ36" s="93">
        <v>0.1181191095226371</v>
      </c>
      <c r="CR36" s="93">
        <f t="shared" si="34"/>
        <v>0.25530964344830825</v>
      </c>
      <c r="CS36" s="90">
        <f t="shared" si="35"/>
        <v>0</v>
      </c>
      <c r="CT36" s="39">
        <f t="shared" si="36"/>
        <v>2.6431615692057875</v>
      </c>
      <c r="CU36" s="11">
        <v>0.41258078313257079</v>
      </c>
      <c r="CV36" s="93">
        <v>5.5176909957042726E-2</v>
      </c>
      <c r="CW36" s="93">
        <v>0.12298053412010829</v>
      </c>
      <c r="CX36" s="93">
        <f t="shared" si="37"/>
        <v>0.17815744407715101</v>
      </c>
      <c r="CY36" s="93"/>
      <c r="CZ36" s="39">
        <f t="shared" si="38"/>
        <v>2.7900274591234453</v>
      </c>
      <c r="DA36" s="93">
        <v>0.33878823627337318</v>
      </c>
      <c r="DB36" s="93">
        <v>8.2174352341382664E-2</v>
      </c>
      <c r="DC36" s="93">
        <v>0.10731784413133177</v>
      </c>
      <c r="DD36" s="93">
        <f t="shared" si="39"/>
        <v>0.18949219647271442</v>
      </c>
      <c r="DF36" s="39">
        <f t="shared" si="40"/>
        <v>1.8569836908540527</v>
      </c>
      <c r="DG36" s="93">
        <v>6.9045797538509451E-2</v>
      </c>
      <c r="DH36" s="93">
        <v>-2.2250693063651759E-2</v>
      </c>
      <c r="DI36" s="93">
        <v>1.3947947513635921E-2</v>
      </c>
      <c r="DJ36" s="93">
        <f t="shared" si="41"/>
        <v>-8.3027455500158387E-3</v>
      </c>
      <c r="DK36" s="106"/>
      <c r="DL36" s="39">
        <f t="shared" si="42"/>
        <v>3.1320498905442085</v>
      </c>
      <c r="DM36" s="93">
        <v>4.7467493206881754E-3</v>
      </c>
      <c r="DN36" s="93">
        <v>-4.7467493206881754E-3</v>
      </c>
      <c r="DO36" s="93">
        <v>1.714742475140592E-3</v>
      </c>
      <c r="DP36" s="93">
        <f t="shared" si="43"/>
        <v>-3.0320068455475836E-3</v>
      </c>
    </row>
    <row r="37" spans="1:120" x14ac:dyDescent="0.3">
      <c r="A37" s="90">
        <f>name!B33</f>
        <v>0</v>
      </c>
      <c r="B37" s="39">
        <f t="shared" si="1"/>
        <v>3.0105219210724066</v>
      </c>
      <c r="C37" s="11">
        <v>138.06999999999971</v>
      </c>
      <c r="D37" s="93">
        <v>5.2479999999998874</v>
      </c>
      <c r="E37" s="93">
        <v>47.674174099563118</v>
      </c>
      <c r="F37" s="93">
        <f t="shared" si="2"/>
        <v>52.922174099563009</v>
      </c>
      <c r="G37" s="93"/>
      <c r="H37" s="39">
        <f t="shared" si="3"/>
        <v>2.7387217667445674</v>
      </c>
      <c r="I37" s="93">
        <v>5.0762170042485808</v>
      </c>
      <c r="J37" s="93">
        <v>-1.6886317271375544</v>
      </c>
      <c r="K37" s="93">
        <v>1.5747035569122914</v>
      </c>
      <c r="L37" s="93">
        <f t="shared" si="4"/>
        <v>-0.11392817022526303</v>
      </c>
      <c r="N37" s="39">
        <f t="shared" si="5"/>
        <v>2.8045296362573024</v>
      </c>
      <c r="O37" s="93">
        <v>28.306731283971203</v>
      </c>
      <c r="P37" s="93">
        <v>-8.2765906536960721</v>
      </c>
      <c r="Q37" s="93">
        <v>9.0193352638725663</v>
      </c>
      <c r="R37" s="93">
        <f t="shared" si="6"/>
        <v>0.74274461017649429</v>
      </c>
      <c r="S37" s="106"/>
      <c r="T37" s="39">
        <f t="shared" si="7"/>
        <v>3.078543964604763</v>
      </c>
      <c r="U37" s="93">
        <v>104.68705171177994</v>
      </c>
      <c r="V37" s="93">
        <v>15.213222380833514</v>
      </c>
      <c r="W37" s="93">
        <v>37.080135278778265</v>
      </c>
      <c r="X37" s="93">
        <f t="shared" si="8"/>
        <v>52.293357659611779</v>
      </c>
      <c r="Y37" s="90">
        <f t="shared" si="0"/>
        <v>0</v>
      </c>
      <c r="Z37" s="39">
        <f t="shared" si="9"/>
        <v>3.1854311581563932</v>
      </c>
      <c r="AA37" s="11">
        <v>84.169352157623123</v>
      </c>
      <c r="AB37" s="93">
        <v>11.293223881137797</v>
      </c>
      <c r="AC37" s="93">
        <v>31.000236702092703</v>
      </c>
      <c r="AD37" s="93">
        <f t="shared" si="10"/>
        <v>42.293460583230498</v>
      </c>
      <c r="AE37" s="93"/>
      <c r="AF37" s="39">
        <f t="shared" si="11"/>
        <v>2.8758144240809802</v>
      </c>
      <c r="AG37" s="93">
        <v>1.561209729824472</v>
      </c>
      <c r="AH37" s="93">
        <v>-0.14303116627554172</v>
      </c>
      <c r="AI37" s="93">
        <v>0.51176550062084825</v>
      </c>
      <c r="AJ37" s="93">
        <f t="shared" si="12"/>
        <v>0.36873433434530656</v>
      </c>
      <c r="AL37" s="39">
        <f t="shared" si="13"/>
        <v>3.0188955093647607</v>
      </c>
      <c r="AM37" s="93">
        <v>12.208732860551185</v>
      </c>
      <c r="AN37" s="93">
        <v>-2.5285459351532285</v>
      </c>
      <c r="AO37" s="93">
        <v>4.2289079044003817</v>
      </c>
      <c r="AP37" s="93">
        <f t="shared" si="14"/>
        <v>1.7003619692471532</v>
      </c>
      <c r="AQ37" s="106"/>
      <c r="AR37" s="39">
        <f t="shared" si="15"/>
        <v>3.2208226301510656</v>
      </c>
      <c r="AS37" s="93">
        <v>70.39940956724746</v>
      </c>
      <c r="AT37" s="93">
        <v>13.964800982566569</v>
      </c>
      <c r="AU37" s="93">
        <v>26.259563297071477</v>
      </c>
      <c r="AV37" s="93">
        <f t="shared" si="16"/>
        <v>40.224364279638046</v>
      </c>
      <c r="AW37" s="90">
        <f t="shared" si="17"/>
        <v>0</v>
      </c>
      <c r="AX37" s="39">
        <f t="shared" si="18"/>
        <v>2.7267134522667158</v>
      </c>
      <c r="AY37" s="11">
        <v>51.927409634180037</v>
      </c>
      <c r="AZ37" s="93">
        <v>-6.0856524291559531</v>
      </c>
      <c r="BA37" s="93">
        <v>16.029026927967443</v>
      </c>
      <c r="BB37" s="93">
        <f t="shared" si="19"/>
        <v>9.9433744988114903</v>
      </c>
      <c r="BC37" s="93"/>
      <c r="BD37" s="39">
        <f t="shared" si="20"/>
        <v>2.6091217857213467</v>
      </c>
      <c r="BE37" s="93">
        <v>2.7243795006504485</v>
      </c>
      <c r="BF37" s="93">
        <v>-1.1532037322243214</v>
      </c>
      <c r="BG37" s="93">
        <v>0.80036230481528592</v>
      </c>
      <c r="BH37" s="93">
        <f t="shared" si="21"/>
        <v>-0.35284142740903546</v>
      </c>
      <c r="BJ37" s="39">
        <f t="shared" si="22"/>
        <v>2.6299443244254261</v>
      </c>
      <c r="BK37" s="93">
        <v>15.359163285338358</v>
      </c>
      <c r="BL37" s="93">
        <v>-5.9558823651697637</v>
      </c>
      <c r="BM37" s="93">
        <v>4.5525435996448893</v>
      </c>
      <c r="BN37" s="93">
        <f t="shared" si="23"/>
        <v>-1.4033387655248744</v>
      </c>
      <c r="BO37" s="106"/>
      <c r="BP37" s="39">
        <f t="shared" si="24"/>
        <v>2.7797379262401334</v>
      </c>
      <c r="BQ37" s="93">
        <v>33.843866848191233</v>
      </c>
      <c r="BR37" s="93">
        <v>1.0234336682381324</v>
      </c>
      <c r="BS37" s="93">
        <v>10.676121023507269</v>
      </c>
      <c r="BT37" s="93">
        <f t="shared" si="25"/>
        <v>11.699554691745401</v>
      </c>
      <c r="BU37" s="90">
        <f t="shared" si="26"/>
        <v>0</v>
      </c>
      <c r="BV37" s="39">
        <f t="shared" si="27"/>
        <v>2.6792477491861755</v>
      </c>
      <c r="BW37" s="11">
        <v>0.56980182682378044</v>
      </c>
      <c r="BX37" s="93">
        <v>1.0313467302711063E-2</v>
      </c>
      <c r="BY37" s="93">
        <v>0.17244888032198771</v>
      </c>
      <c r="BZ37" s="93">
        <f t="shared" si="28"/>
        <v>0.18276234762469878</v>
      </c>
      <c r="CA37" s="93"/>
      <c r="CB37" s="39">
        <f t="shared" si="29"/>
        <v>2.8367883930212612</v>
      </c>
      <c r="CC37" s="93">
        <v>0.20099431010344829</v>
      </c>
      <c r="CD37" s="93">
        <v>-5.7907920738398629E-2</v>
      </c>
      <c r="CE37" s="93">
        <v>6.4875370800946713E-2</v>
      </c>
      <c r="CF37" s="93">
        <f t="shared" si="30"/>
        <v>6.9674500625480848E-3</v>
      </c>
      <c r="CH37" s="39">
        <f t="shared" si="31"/>
        <v>2.5723272891071236</v>
      </c>
      <c r="CI37" s="93">
        <v>0.24513927427280902</v>
      </c>
      <c r="CJ37" s="93">
        <v>6.3410914542454982E-2</v>
      </c>
      <c r="CK37" s="93">
        <v>7.0881032615846981E-2</v>
      </c>
      <c r="CL37" s="93">
        <f t="shared" si="32"/>
        <v>0.13429194715830195</v>
      </c>
      <c r="CM37" s="106"/>
      <c r="CN37" s="39">
        <f t="shared" si="33"/>
        <v>2.6322808837923928</v>
      </c>
      <c r="CO37" s="93">
        <v>0.12366824244752304</v>
      </c>
      <c r="CP37" s="93">
        <v>4.8104734986547104E-3</v>
      </c>
      <c r="CQ37" s="93">
        <v>3.6692476905194005E-2</v>
      </c>
      <c r="CR37" s="93">
        <f t="shared" si="34"/>
        <v>4.1502950403848715E-2</v>
      </c>
      <c r="CS37" s="90">
        <f t="shared" si="35"/>
        <v>0</v>
      </c>
      <c r="CT37" s="39">
        <f t="shared" si="36"/>
        <v>2.9441443737506567</v>
      </c>
      <c r="CU37" s="11">
        <v>1.4034363813727799</v>
      </c>
      <c r="CV37" s="93">
        <v>3.0115080715330519E-2</v>
      </c>
      <c r="CW37" s="93">
        <v>0.47246158918098952</v>
      </c>
      <c r="CX37" s="93">
        <f t="shared" si="37"/>
        <v>0.50257666989631999</v>
      </c>
      <c r="CY37" s="93"/>
      <c r="CZ37" s="39">
        <f t="shared" si="38"/>
        <v>2.9337226933785931</v>
      </c>
      <c r="DA37" s="93">
        <v>0.58963346367021108</v>
      </c>
      <c r="DB37" s="93">
        <v>-0.33448890789929281</v>
      </c>
      <c r="DC37" s="93">
        <v>0.19770038067521037</v>
      </c>
      <c r="DD37" s="93">
        <f t="shared" si="39"/>
        <v>-0.13678852722408244</v>
      </c>
      <c r="DF37" s="39">
        <f t="shared" si="40"/>
        <v>2.9566467111862726</v>
      </c>
      <c r="DG37" s="93">
        <v>0.49369586380885072</v>
      </c>
      <c r="DH37" s="93">
        <v>0.14442673208446449</v>
      </c>
      <c r="DI37" s="93">
        <v>0.16700272721144677</v>
      </c>
      <c r="DJ37" s="93">
        <f t="shared" si="41"/>
        <v>0.31142945929591126</v>
      </c>
      <c r="DK37" s="106"/>
      <c r="DL37" s="39">
        <f t="shared" si="42"/>
        <v>2.944039552625588</v>
      </c>
      <c r="DM37" s="93">
        <v>0.32010705389371841</v>
      </c>
      <c r="DN37" s="93">
        <v>0.22017725653015885</v>
      </c>
      <c r="DO37" s="93">
        <v>0.10775848129433241</v>
      </c>
      <c r="DP37" s="93">
        <f t="shared" si="43"/>
        <v>0.32793573782449126</v>
      </c>
    </row>
    <row r="38" spans="1:120" x14ac:dyDescent="0.3">
      <c r="A38" s="90">
        <f>name!B34</f>
        <v>0</v>
      </c>
      <c r="B38" s="39">
        <f t="shared" si="1"/>
        <v>2.8257154904523185</v>
      </c>
      <c r="C38" s="11">
        <v>26.81499999999993</v>
      </c>
      <c r="D38" s="93">
        <v>7.5369999999999937</v>
      </c>
      <c r="E38" s="93">
        <v>8.6169620938889029</v>
      </c>
      <c r="F38" s="93">
        <f t="shared" si="2"/>
        <v>16.153962093888897</v>
      </c>
      <c r="G38" s="93"/>
      <c r="H38" s="39">
        <f t="shared" si="3"/>
        <v>2.7595137651860391</v>
      </c>
      <c r="I38" s="93">
        <v>9.6078449399321268</v>
      </c>
      <c r="J38" s="93">
        <v>1.1945418938920125</v>
      </c>
      <c r="K38" s="93">
        <v>3.0059681556585636</v>
      </c>
      <c r="L38" s="93">
        <f t="shared" si="4"/>
        <v>4.2005100495505765</v>
      </c>
      <c r="N38" s="39">
        <f t="shared" si="5"/>
        <v>2.7341953758082793</v>
      </c>
      <c r="O38" s="93">
        <v>9.4171479489873615</v>
      </c>
      <c r="P38" s="93">
        <v>4.3258837135697759</v>
      </c>
      <c r="Q38" s="93">
        <v>2.9158776210009156</v>
      </c>
      <c r="R38" s="93">
        <f t="shared" si="6"/>
        <v>7.2417613345706915</v>
      </c>
      <c r="S38" s="106"/>
      <c r="T38" s="39">
        <f t="shared" si="7"/>
        <v>3.0157359045575483</v>
      </c>
      <c r="U38" s="93">
        <v>7.7900071110804436</v>
      </c>
      <c r="V38" s="93">
        <v>2.0165743925382058</v>
      </c>
      <c r="W38" s="93">
        <v>2.6951163172294232</v>
      </c>
      <c r="X38" s="93">
        <f t="shared" si="8"/>
        <v>4.7116907097676286</v>
      </c>
      <c r="Y38" s="90">
        <f t="shared" si="0"/>
        <v>0</v>
      </c>
      <c r="Z38" s="39">
        <f t="shared" si="9"/>
        <v>2.9620533437984875</v>
      </c>
      <c r="AA38" s="11">
        <v>14.110138053458403</v>
      </c>
      <c r="AB38" s="93">
        <v>3.9764107081502162</v>
      </c>
      <c r="AC38" s="93">
        <v>4.782961494721258</v>
      </c>
      <c r="AD38" s="93">
        <f t="shared" si="10"/>
        <v>8.7593722028714751</v>
      </c>
      <c r="AE38" s="93"/>
      <c r="AF38" s="39">
        <f t="shared" si="11"/>
        <v>3.0508290138248517</v>
      </c>
      <c r="AG38" s="93">
        <v>2.6202275395242833</v>
      </c>
      <c r="AH38" s="93">
        <v>0.73551593091479284</v>
      </c>
      <c r="AI38" s="93">
        <v>0.91855524570148372</v>
      </c>
      <c r="AJ38" s="93">
        <f t="shared" si="12"/>
        <v>1.6540711766162766</v>
      </c>
      <c r="AL38" s="39">
        <f t="shared" si="13"/>
        <v>2.7890299588156253</v>
      </c>
      <c r="AM38" s="93">
        <v>5.0463247440146821</v>
      </c>
      <c r="AN38" s="93">
        <v>1.6277822226639092</v>
      </c>
      <c r="AO38" s="93">
        <v>1.5978779135482615</v>
      </c>
      <c r="AP38" s="93">
        <f t="shared" si="14"/>
        <v>3.2256601362121708</v>
      </c>
      <c r="AQ38" s="106"/>
      <c r="AR38" s="39">
        <f t="shared" si="15"/>
        <v>3.0598777753332529</v>
      </c>
      <c r="AS38" s="93">
        <v>6.4435857699194363</v>
      </c>
      <c r="AT38" s="93">
        <v>1.6131125545715137</v>
      </c>
      <c r="AU38" s="93">
        <v>2.266528335471512</v>
      </c>
      <c r="AV38" s="93">
        <f t="shared" si="16"/>
        <v>3.8796408900430257</v>
      </c>
      <c r="AW38" s="90">
        <f t="shared" si="17"/>
        <v>0</v>
      </c>
      <c r="AX38" s="39">
        <f t="shared" si="18"/>
        <v>2.6178151526021098</v>
      </c>
      <c r="AY38" s="11">
        <v>7.6620754162084248</v>
      </c>
      <c r="AZ38" s="93">
        <v>4.1655399185813149</v>
      </c>
      <c r="BA38" s="93">
        <v>2.2593497360645594</v>
      </c>
      <c r="BB38" s="93">
        <f t="shared" si="19"/>
        <v>6.4248896546458738</v>
      </c>
      <c r="BC38" s="93"/>
      <c r="BD38" s="39">
        <f t="shared" si="20"/>
        <v>2.5608888175541633</v>
      </c>
      <c r="BE38" s="93">
        <v>3.3773615761310447</v>
      </c>
      <c r="BF38" s="93">
        <v>1.945929096670862</v>
      </c>
      <c r="BG38" s="93">
        <v>0.97169760077091438</v>
      </c>
      <c r="BH38" s="93">
        <f t="shared" si="21"/>
        <v>2.9176266974417766</v>
      </c>
      <c r="BJ38" s="39">
        <f t="shared" si="22"/>
        <v>2.6173073729337526</v>
      </c>
      <c r="BK38" s="93">
        <v>3.0704844325527145</v>
      </c>
      <c r="BL38" s="93">
        <v>1.9069257326115823</v>
      </c>
      <c r="BM38" s="93">
        <v>0.90521045953698565</v>
      </c>
      <c r="BN38" s="93">
        <f t="shared" si="23"/>
        <v>2.8121361921485679</v>
      </c>
      <c r="BO38" s="106"/>
      <c r="BP38" s="39">
        <f t="shared" si="24"/>
        <v>2.7759432511544002</v>
      </c>
      <c r="BQ38" s="93">
        <v>1.2142294075246651</v>
      </c>
      <c r="BR38" s="93">
        <v>0.31268508929887001</v>
      </c>
      <c r="BS38" s="93">
        <v>0.38244167575665899</v>
      </c>
      <c r="BT38" s="93">
        <f t="shared" si="25"/>
        <v>0.69512676505552906</v>
      </c>
      <c r="BU38" s="90">
        <f t="shared" si="26"/>
        <v>0</v>
      </c>
      <c r="BV38" s="39">
        <f t="shared" si="27"/>
        <v>2.414473236517467</v>
      </c>
      <c r="BW38" s="11">
        <v>1.7431494173157795</v>
      </c>
      <c r="BX38" s="93">
        <v>0.61248561781568023</v>
      </c>
      <c r="BY38" s="93">
        <v>0.46968017566679687</v>
      </c>
      <c r="BZ38" s="93">
        <f t="shared" si="28"/>
        <v>1.0821657934824771</v>
      </c>
      <c r="CA38" s="93"/>
      <c r="CB38" s="39">
        <f t="shared" si="29"/>
        <v>2.3405169267602499</v>
      </c>
      <c r="CC38" s="93">
        <v>1.2042700345147108</v>
      </c>
      <c r="CD38" s="93">
        <v>0.30980767932272152</v>
      </c>
      <c r="CE38" s="93">
        <v>0.31347892181305265</v>
      </c>
      <c r="CF38" s="93">
        <f t="shared" si="30"/>
        <v>0.62328660113577417</v>
      </c>
      <c r="CH38" s="39">
        <f t="shared" si="31"/>
        <v>2.5716323827520871</v>
      </c>
      <c r="CI38" s="93">
        <v>0.51030481802269645</v>
      </c>
      <c r="CJ38" s="93">
        <v>0.30519047738461286</v>
      </c>
      <c r="CK38" s="93">
        <v>0.14750801317099851</v>
      </c>
      <c r="CL38" s="93">
        <f t="shared" si="32"/>
        <v>0.4526984905556114</v>
      </c>
      <c r="CM38" s="106"/>
      <c r="CN38" s="39">
        <f t="shared" si="33"/>
        <v>2.6917180041436728</v>
      </c>
      <c r="CO38" s="93">
        <v>2.8574564778372218E-2</v>
      </c>
      <c r="CP38" s="93">
        <v>-2.5125388916541216E-3</v>
      </c>
      <c r="CQ38" s="93">
        <v>8.6932406827457485E-3</v>
      </c>
      <c r="CR38" s="93">
        <f t="shared" si="34"/>
        <v>6.1807017910916265E-3</v>
      </c>
      <c r="CS38" s="90">
        <f t="shared" si="35"/>
        <v>0</v>
      </c>
      <c r="CT38" s="39">
        <f t="shared" si="36"/>
        <v>2.930505677421591</v>
      </c>
      <c r="CU38" s="11">
        <v>3.299637113017325</v>
      </c>
      <c r="CV38" s="93">
        <v>-1.2174362445472158</v>
      </c>
      <c r="CW38" s="93">
        <v>1.1049706874362895</v>
      </c>
      <c r="CX38" s="93">
        <f t="shared" si="37"/>
        <v>-0.11246555711092632</v>
      </c>
      <c r="CY38" s="93"/>
      <c r="CZ38" s="39">
        <f t="shared" si="38"/>
        <v>2.919374445859102</v>
      </c>
      <c r="DA38" s="93">
        <v>2.4059857897620875</v>
      </c>
      <c r="DB38" s="93">
        <v>-1.7967108130163638</v>
      </c>
      <c r="DC38" s="93">
        <v>0.80223638737311287</v>
      </c>
      <c r="DD38" s="93">
        <f t="shared" si="39"/>
        <v>-0.99447442564325095</v>
      </c>
      <c r="DF38" s="39">
        <f t="shared" si="40"/>
        <v>2.937506325372885</v>
      </c>
      <c r="DG38" s="93">
        <v>0.79003395439726709</v>
      </c>
      <c r="DH38" s="93">
        <v>0.48598528090967197</v>
      </c>
      <c r="DI38" s="93">
        <v>0.26528123474467041</v>
      </c>
      <c r="DJ38" s="93">
        <f t="shared" si="41"/>
        <v>0.75126651565434233</v>
      </c>
      <c r="DK38" s="106"/>
      <c r="DL38" s="39">
        <f t="shared" si="42"/>
        <v>3.1336395897629599</v>
      </c>
      <c r="DM38" s="93">
        <v>0.10361736885797046</v>
      </c>
      <c r="DN38" s="93">
        <v>9.3289287559476172E-2</v>
      </c>
      <c r="DO38" s="93">
        <v>3.7453065318506049E-2</v>
      </c>
      <c r="DP38" s="93">
        <f t="shared" si="43"/>
        <v>0.13074235287798222</v>
      </c>
    </row>
    <row r="39" spans="1:120" x14ac:dyDescent="0.3">
      <c r="A39" s="90">
        <f>name!B35</f>
        <v>0</v>
      </c>
      <c r="B39" s="39">
        <f t="shared" si="1"/>
        <v>2.9211108203484271</v>
      </c>
      <c r="C39" s="11">
        <v>368.77606295320101</v>
      </c>
      <c r="D39" s="93">
        <v>84.761622092085645</v>
      </c>
      <c r="E39" s="93">
        <v>123.04528099391801</v>
      </c>
      <c r="F39" s="93">
        <f t="shared" si="2"/>
        <v>207.80690308600367</v>
      </c>
      <c r="G39" s="93"/>
      <c r="H39" s="39">
        <f t="shared" si="3"/>
        <v>2.7717249598931071</v>
      </c>
      <c r="I39" s="93">
        <v>32.837927119185728</v>
      </c>
      <c r="J39" s="93">
        <v>4.3237049506459986</v>
      </c>
      <c r="K39" s="93">
        <v>10.325129723137874</v>
      </c>
      <c r="L39" s="93">
        <f t="shared" si="4"/>
        <v>14.648834673783872</v>
      </c>
      <c r="N39" s="39">
        <f t="shared" si="5"/>
        <v>2.7656612940708758</v>
      </c>
      <c r="O39" s="93">
        <v>92.687769994006359</v>
      </c>
      <c r="P39" s="93">
        <v>19.710235186067983</v>
      </c>
      <c r="Q39" s="93">
        <v>29.071671128619347</v>
      </c>
      <c r="R39" s="93">
        <f t="shared" si="6"/>
        <v>48.781906314687333</v>
      </c>
      <c r="S39" s="106"/>
      <c r="T39" s="39">
        <f t="shared" si="7"/>
        <v>2.9997068221470746</v>
      </c>
      <c r="U39" s="93">
        <v>243.25036584000898</v>
      </c>
      <c r="V39" s="93">
        <v>60.727681955371672</v>
      </c>
      <c r="W39" s="93">
        <v>83.648480142160807</v>
      </c>
      <c r="X39" s="93">
        <f t="shared" si="8"/>
        <v>144.37616209753247</v>
      </c>
      <c r="Y39" s="90">
        <f t="shared" si="0"/>
        <v>0</v>
      </c>
      <c r="Z39" s="39">
        <f t="shared" si="9"/>
        <v>2.9792358460889012</v>
      </c>
      <c r="AA39" s="11">
        <v>289.04342517306725</v>
      </c>
      <c r="AB39" s="93">
        <v>66.861243610511465</v>
      </c>
      <c r="AC39" s="93">
        <v>98.624387051621596</v>
      </c>
      <c r="AD39" s="93">
        <f t="shared" si="10"/>
        <v>165.48563066213308</v>
      </c>
      <c r="AE39" s="93"/>
      <c r="AF39" s="39">
        <f t="shared" si="11"/>
        <v>2.8543057167711661</v>
      </c>
      <c r="AG39" s="93">
        <v>18.48236538854206</v>
      </c>
      <c r="AH39" s="93">
        <v>4.0960252972031945</v>
      </c>
      <c r="AI39" s="93">
        <v>6.0072701306023175</v>
      </c>
      <c r="AJ39" s="93">
        <f t="shared" si="12"/>
        <v>10.103295427805513</v>
      </c>
      <c r="AL39" s="39">
        <f t="shared" si="13"/>
        <v>2.8320236000210164</v>
      </c>
      <c r="AM39" s="93">
        <v>54.824002647872582</v>
      </c>
      <c r="AN39" s="93">
        <v>11.073850669427829</v>
      </c>
      <c r="AO39" s="93">
        <v>17.662068695155931</v>
      </c>
      <c r="AP39" s="93">
        <f t="shared" si="14"/>
        <v>28.735919364583758</v>
      </c>
      <c r="AQ39" s="106"/>
      <c r="AR39" s="39">
        <f t="shared" si="15"/>
        <v>3.0269513060553033</v>
      </c>
      <c r="AS39" s="93">
        <v>215.73705713665262</v>
      </c>
      <c r="AT39" s="93">
        <v>51.691367643880433</v>
      </c>
      <c r="AU39" s="93">
        <v>74.955048225863351</v>
      </c>
      <c r="AV39" s="93">
        <f t="shared" si="16"/>
        <v>126.64641586974378</v>
      </c>
      <c r="AW39" s="90">
        <f t="shared" si="17"/>
        <v>0</v>
      </c>
      <c r="AX39" s="39">
        <f t="shared" si="18"/>
        <v>2.6968748254135422</v>
      </c>
      <c r="AY39" s="11">
        <v>69.208761822942577</v>
      </c>
      <c r="AZ39" s="93">
        <v>17.364813908921313</v>
      </c>
      <c r="BA39" s="93">
        <v>21.100721406247324</v>
      </c>
      <c r="BB39" s="93">
        <f t="shared" si="19"/>
        <v>38.465535315168637</v>
      </c>
      <c r="BC39" s="93"/>
      <c r="BD39" s="39">
        <f t="shared" si="20"/>
        <v>2.6111478879813799</v>
      </c>
      <c r="BE39" s="93">
        <v>8.5643903989708114</v>
      </c>
      <c r="BF39" s="93">
        <v>2.5133510791903837</v>
      </c>
      <c r="BG39" s="93">
        <v>2.5182161637376153</v>
      </c>
      <c r="BH39" s="93">
        <f t="shared" si="21"/>
        <v>5.0315672429279985</v>
      </c>
      <c r="BJ39" s="39">
        <f t="shared" si="22"/>
        <v>2.646322122033018</v>
      </c>
      <c r="BK39" s="93">
        <v>33.438393051364635</v>
      </c>
      <c r="BL39" s="93">
        <v>5.8534198050841955</v>
      </c>
      <c r="BM39" s="93">
        <v>9.9805580750418521</v>
      </c>
      <c r="BN39" s="93">
        <f t="shared" si="23"/>
        <v>15.833977880126048</v>
      </c>
      <c r="BO39" s="106"/>
      <c r="BP39" s="39">
        <f t="shared" si="24"/>
        <v>2.7854120715325115</v>
      </c>
      <c r="BQ39" s="93">
        <v>27.205978372607124</v>
      </c>
      <c r="BR39" s="93">
        <v>8.9980430246467371</v>
      </c>
      <c r="BS39" s="93">
        <v>8.6019471674678574</v>
      </c>
      <c r="BT39" s="93">
        <f t="shared" si="25"/>
        <v>17.599990192114596</v>
      </c>
      <c r="BU39" s="90">
        <f t="shared" si="26"/>
        <v>0</v>
      </c>
      <c r="BV39" s="39">
        <f t="shared" si="27"/>
        <v>2.5118352045522041</v>
      </c>
      <c r="BW39" s="11">
        <v>3.8656530906609365</v>
      </c>
      <c r="BX39" s="93">
        <v>1.3479415735600602</v>
      </c>
      <c r="BY39" s="93">
        <v>1.08842630099127</v>
      </c>
      <c r="BZ39" s="93">
        <f t="shared" si="28"/>
        <v>2.4363678745513302</v>
      </c>
      <c r="CA39" s="93"/>
      <c r="CB39" s="39">
        <f t="shared" si="29"/>
        <v>2.415283547581426</v>
      </c>
      <c r="CC39" s="93">
        <v>1.9483930173046786</v>
      </c>
      <c r="CD39" s="93">
        <v>0.36760454555590533</v>
      </c>
      <c r="CE39" s="93">
        <v>0.52517741956185582</v>
      </c>
      <c r="CF39" s="93">
        <f t="shared" si="30"/>
        <v>0.89278196511776109</v>
      </c>
      <c r="CH39" s="39">
        <f t="shared" si="31"/>
        <v>2.60322084904967</v>
      </c>
      <c r="CI39" s="93">
        <v>1.6099297426070227</v>
      </c>
      <c r="CJ39" s="93">
        <v>0.94206574115965114</v>
      </c>
      <c r="CK39" s="93">
        <v>0.47176413259982158</v>
      </c>
      <c r="CL39" s="93">
        <f t="shared" si="32"/>
        <v>1.4138298737594728</v>
      </c>
      <c r="CM39" s="106"/>
      <c r="CN39" s="39">
        <f t="shared" si="33"/>
        <v>2.6399932413593952</v>
      </c>
      <c r="CO39" s="93">
        <v>0.30733033074923499</v>
      </c>
      <c r="CP39" s="93">
        <v>3.8271286844503753E-2</v>
      </c>
      <c r="CQ39" s="93">
        <v>9.148474882959258E-2</v>
      </c>
      <c r="CR39" s="93">
        <f t="shared" si="34"/>
        <v>0.12975603567409633</v>
      </c>
      <c r="CS39" s="90">
        <f t="shared" si="35"/>
        <v>0</v>
      </c>
      <c r="CT39" s="39">
        <f t="shared" si="36"/>
        <v>2.9328961439813339</v>
      </c>
      <c r="CU39" s="11">
        <v>6.6582228665302994</v>
      </c>
      <c r="CV39" s="93">
        <v>-0.81237700090717724</v>
      </c>
      <c r="CW39" s="93">
        <v>2.2317462350578254</v>
      </c>
      <c r="CX39" s="93">
        <f t="shared" si="37"/>
        <v>1.4193692341506483</v>
      </c>
      <c r="CY39" s="93"/>
      <c r="CZ39" s="39">
        <f t="shared" si="38"/>
        <v>2.9056172918835443</v>
      </c>
      <c r="DA39" s="93">
        <v>3.8427783143681786</v>
      </c>
      <c r="DB39" s="93">
        <v>-2.6532759713034841</v>
      </c>
      <c r="DC39" s="93">
        <v>1.2744660092360849</v>
      </c>
      <c r="DD39" s="93">
        <f t="shared" si="39"/>
        <v>-1.3788099620673993</v>
      </c>
      <c r="DF39" s="39">
        <f t="shared" si="40"/>
        <v>2.9700241427257357</v>
      </c>
      <c r="DG39" s="93">
        <v>2.8154445521621203</v>
      </c>
      <c r="DH39" s="93">
        <v>1.840898970396307</v>
      </c>
      <c r="DI39" s="93">
        <v>0.95728022582174022</v>
      </c>
      <c r="DJ39" s="93">
        <f t="shared" si="41"/>
        <v>2.7981791962180473</v>
      </c>
      <c r="DK39" s="106"/>
      <c r="DL39" s="39">
        <f t="shared" si="42"/>
        <v>0</v>
      </c>
      <c r="DM39" s="93">
        <v>0</v>
      </c>
      <c r="DN39" s="93">
        <v>0</v>
      </c>
      <c r="DO39" s="93">
        <v>0</v>
      </c>
      <c r="DP39" s="93">
        <f t="shared" si="43"/>
        <v>0</v>
      </c>
    </row>
    <row r="40" spans="1:120" x14ac:dyDescent="0.3">
      <c r="A40" s="90">
        <f>name!B36</f>
        <v>0</v>
      </c>
      <c r="B40" s="39">
        <f t="shared" si="1"/>
        <v>2.6156670918794589</v>
      </c>
      <c r="C40" s="11">
        <v>59.103598741996336</v>
      </c>
      <c r="D40" s="93">
        <v>10.931351340026987</v>
      </c>
      <c r="E40" s="93">
        <v>17.412118425033665</v>
      </c>
      <c r="F40" s="93">
        <f t="shared" si="2"/>
        <v>28.343469765060654</v>
      </c>
      <c r="G40" s="93"/>
      <c r="H40" s="39">
        <f t="shared" si="3"/>
        <v>2.9162137159606694</v>
      </c>
      <c r="I40" s="93">
        <v>7.0907516731659292</v>
      </c>
      <c r="J40" s="93">
        <v>1.9187056475680879</v>
      </c>
      <c r="K40" s="93">
        <v>2.3613912018919283</v>
      </c>
      <c r="L40" s="93">
        <f t="shared" si="4"/>
        <v>4.2800968494600165</v>
      </c>
      <c r="N40" s="39">
        <f t="shared" si="5"/>
        <v>2.7970408811855085</v>
      </c>
      <c r="O40" s="93">
        <v>18.191156691215305</v>
      </c>
      <c r="P40" s="93">
        <v>8.022238906562599</v>
      </c>
      <c r="Q40" s="93">
        <v>5.7787557135900602</v>
      </c>
      <c r="R40" s="93">
        <f t="shared" si="6"/>
        <v>13.800994620152659</v>
      </c>
      <c r="S40" s="106"/>
      <c r="T40" s="39">
        <f t="shared" si="7"/>
        <v>2.4523227678848292</v>
      </c>
      <c r="U40" s="93">
        <v>33.821690377615099</v>
      </c>
      <c r="V40" s="93">
        <v>0.99040678589629894</v>
      </c>
      <c r="W40" s="93">
        <v>9.2719715095516726</v>
      </c>
      <c r="X40" s="93">
        <f t="shared" si="8"/>
        <v>10.262378295447972</v>
      </c>
      <c r="Y40" s="90">
        <f t="shared" si="0"/>
        <v>0</v>
      </c>
      <c r="Z40" s="39">
        <f t="shared" si="9"/>
        <v>2.484409578072122</v>
      </c>
      <c r="AA40" s="11">
        <v>44.995646288457721</v>
      </c>
      <c r="AB40" s="93">
        <v>0.7961289357498379</v>
      </c>
      <c r="AC40" s="93">
        <v>12.515037145045216</v>
      </c>
      <c r="AD40" s="93">
        <f t="shared" si="10"/>
        <v>13.311166080795054</v>
      </c>
      <c r="AE40" s="93"/>
      <c r="AF40" s="39">
        <f t="shared" si="11"/>
        <v>2.5511173362787742</v>
      </c>
      <c r="AG40" s="93">
        <v>2.5406257516550319</v>
      </c>
      <c r="AH40" s="93">
        <v>0.3259075522826399</v>
      </c>
      <c r="AI40" s="93">
        <v>0.72784543832994497</v>
      </c>
      <c r="AJ40" s="93">
        <f t="shared" si="12"/>
        <v>1.0537529906125849</v>
      </c>
      <c r="AL40" s="39">
        <f t="shared" si="13"/>
        <v>2.6421330232528906</v>
      </c>
      <c r="AM40" s="93">
        <v>11.02643601927363</v>
      </c>
      <c r="AN40" s="93">
        <v>-0.16285332189494414</v>
      </c>
      <c r="AO40" s="93">
        <v>3.2852845394032442</v>
      </c>
      <c r="AP40" s="93">
        <f t="shared" si="14"/>
        <v>3.1224312175083</v>
      </c>
      <c r="AQ40" s="106"/>
      <c r="AR40" s="39">
        <f t="shared" si="15"/>
        <v>2.4231158731658597</v>
      </c>
      <c r="AS40" s="93">
        <v>31.42858451752906</v>
      </c>
      <c r="AT40" s="93">
        <v>0.63307470536214216</v>
      </c>
      <c r="AU40" s="93">
        <v>8.5019071673120266</v>
      </c>
      <c r="AV40" s="93">
        <f t="shared" si="16"/>
        <v>9.1349818726741692</v>
      </c>
      <c r="AW40" s="90">
        <f t="shared" si="17"/>
        <v>0</v>
      </c>
      <c r="AX40" s="39">
        <f t="shared" si="18"/>
        <v>2.675817093692956</v>
      </c>
      <c r="AY40" s="11">
        <v>5.0502971452334489</v>
      </c>
      <c r="AZ40" s="93">
        <v>0.88079477764455349</v>
      </c>
      <c r="BA40" s="93">
        <v>1.5262601500564552</v>
      </c>
      <c r="BB40" s="93">
        <f t="shared" si="19"/>
        <v>2.4070549277010089</v>
      </c>
      <c r="BC40" s="93"/>
      <c r="BD40" s="39">
        <f t="shared" si="20"/>
        <v>2.6176394496400412</v>
      </c>
      <c r="BE40" s="93">
        <v>0.56332121807974112</v>
      </c>
      <c r="BF40" s="93">
        <v>6.7884082218324399E-2</v>
      </c>
      <c r="BG40" s="93">
        <v>0.16609650552913752</v>
      </c>
      <c r="BH40" s="93">
        <f t="shared" si="21"/>
        <v>0.23398058774746192</v>
      </c>
      <c r="BJ40" s="39">
        <f t="shared" si="22"/>
        <v>2.6168774278747309</v>
      </c>
      <c r="BK40" s="93">
        <v>2.8001519292734307</v>
      </c>
      <c r="BL40" s="93">
        <v>0.57994096053429567</v>
      </c>
      <c r="BM40" s="93">
        <v>0.8253617461934516</v>
      </c>
      <c r="BN40" s="93">
        <f t="shared" si="23"/>
        <v>1.4053027067277473</v>
      </c>
      <c r="BO40" s="106"/>
      <c r="BP40" s="39">
        <f t="shared" si="24"/>
        <v>2.7921892804910087</v>
      </c>
      <c r="BQ40" s="93">
        <v>1.6868239978802764</v>
      </c>
      <c r="BR40" s="93">
        <v>0.23296973489193351</v>
      </c>
      <c r="BS40" s="93">
        <v>0.53480189833386615</v>
      </c>
      <c r="BT40" s="93">
        <f t="shared" si="25"/>
        <v>0.76777163322579967</v>
      </c>
      <c r="BU40" s="90">
        <f t="shared" si="26"/>
        <v>0</v>
      </c>
      <c r="BV40" s="39">
        <f t="shared" si="27"/>
        <v>3.3032406781256851</v>
      </c>
      <c r="BW40" s="11">
        <v>7.5734451294849583</v>
      </c>
      <c r="BX40" s="93">
        <v>9.9445968505973621</v>
      </c>
      <c r="BY40" s="93">
        <v>2.9082842096564585</v>
      </c>
      <c r="BZ40" s="93">
        <f t="shared" si="28"/>
        <v>12.852881060253821</v>
      </c>
      <c r="CA40" s="93"/>
      <c r="CB40" s="39">
        <f t="shared" si="29"/>
        <v>3.3739759257654933</v>
      </c>
      <c r="CC40" s="93">
        <v>2.7837448344029059</v>
      </c>
      <c r="CD40" s="93">
        <v>2.278224621913898</v>
      </c>
      <c r="CE40" s="93">
        <v>1.0954503018874868</v>
      </c>
      <c r="CF40" s="93">
        <f t="shared" si="30"/>
        <v>3.373674923801385</v>
      </c>
      <c r="CH40" s="39">
        <f t="shared" si="31"/>
        <v>3.3175945471649371</v>
      </c>
      <c r="CI40" s="93">
        <v>4.0993032054196004</v>
      </c>
      <c r="CJ40" s="93">
        <v>7.5439376770551005</v>
      </c>
      <c r="CK40" s="93">
        <v>1.582064592612429</v>
      </c>
      <c r="CL40" s="93">
        <f t="shared" si="32"/>
        <v>9.1260022696675289</v>
      </c>
      <c r="CM40" s="106"/>
      <c r="CN40" s="39">
        <f t="shared" si="33"/>
        <v>2.9257200385051085</v>
      </c>
      <c r="CO40" s="93">
        <v>0.69039708966245217</v>
      </c>
      <c r="CP40" s="93">
        <v>0.1224345516283623</v>
      </c>
      <c r="CQ40" s="93">
        <v>0.23076931515654289</v>
      </c>
      <c r="CR40" s="93">
        <f t="shared" si="34"/>
        <v>0.35320386678490517</v>
      </c>
      <c r="CS40" s="90">
        <f t="shared" si="35"/>
        <v>0</v>
      </c>
      <c r="CT40" s="39">
        <f t="shared" si="36"/>
        <v>2.7499012245735921</v>
      </c>
      <c r="CU40" s="11">
        <v>1.4842101788202127</v>
      </c>
      <c r="CV40" s="93">
        <v>-0.69016922396476632</v>
      </c>
      <c r="CW40" s="93">
        <v>0.46253692027553084</v>
      </c>
      <c r="CX40" s="93">
        <f t="shared" si="37"/>
        <v>-0.22763230368923548</v>
      </c>
      <c r="CY40" s="93"/>
      <c r="CZ40" s="39">
        <f t="shared" si="38"/>
        <v>2.7308671095884973</v>
      </c>
      <c r="DA40" s="93">
        <v>1.2030598690282495</v>
      </c>
      <c r="DB40" s="93">
        <v>-0.75331060884677437</v>
      </c>
      <c r="DC40" s="93">
        <v>0.37199895614535888</v>
      </c>
      <c r="DD40" s="93">
        <f t="shared" si="39"/>
        <v>-0.38131165270141548</v>
      </c>
      <c r="DF40" s="39">
        <f t="shared" si="40"/>
        <v>2.8492227911662393</v>
      </c>
      <c r="DG40" s="93">
        <v>0.26526553724864882</v>
      </c>
      <c r="DH40" s="93">
        <v>6.1213590868147122E-2</v>
      </c>
      <c r="DI40" s="93">
        <v>8.6044835380935866E-2</v>
      </c>
      <c r="DJ40" s="93">
        <f t="shared" si="41"/>
        <v>0.14725842624908297</v>
      </c>
      <c r="DK40" s="106"/>
      <c r="DL40" s="39">
        <f t="shared" si="42"/>
        <v>2.5221830839160519</v>
      </c>
      <c r="DM40" s="93">
        <v>1.5884772543314236E-2</v>
      </c>
      <c r="DN40" s="93">
        <v>1.9277940138610408E-3</v>
      </c>
      <c r="DO40" s="93">
        <v>4.4931287492361305E-3</v>
      </c>
      <c r="DP40" s="93">
        <f t="shared" si="43"/>
        <v>6.4209227630971713E-3</v>
      </c>
    </row>
    <row r="41" spans="1:120" x14ac:dyDescent="0.3">
      <c r="A41" s="90">
        <f>name!B37</f>
        <v>0</v>
      </c>
      <c r="B41" s="39">
        <f t="shared" si="1"/>
        <v>2.6219584526235851</v>
      </c>
      <c r="C41" s="11">
        <v>9.5199829855549893</v>
      </c>
      <c r="D41" s="93">
        <v>1.2808958930051737</v>
      </c>
      <c r="E41" s="93">
        <v>2.8121772094303279</v>
      </c>
      <c r="F41" s="93">
        <f t="shared" si="2"/>
        <v>4.0930731024355014</v>
      </c>
      <c r="G41" s="93"/>
      <c r="H41" s="39">
        <f t="shared" si="3"/>
        <v>2.4658199500782629</v>
      </c>
      <c r="I41" s="93">
        <v>0.81619786230081037</v>
      </c>
      <c r="J41" s="93">
        <v>0.237585138792064</v>
      </c>
      <c r="K41" s="93">
        <v>0.22512559128548079</v>
      </c>
      <c r="L41" s="93">
        <f t="shared" si="4"/>
        <v>0.46271073007754482</v>
      </c>
      <c r="N41" s="39">
        <f t="shared" si="5"/>
        <v>2.6634862095569645</v>
      </c>
      <c r="O41" s="93">
        <v>2.0711276399167695</v>
      </c>
      <c r="P41" s="93">
        <v>0.44161042637100889</v>
      </c>
      <c r="Q41" s="93">
        <v>0.62268224619976209</v>
      </c>
      <c r="R41" s="93">
        <f t="shared" si="6"/>
        <v>1.0642926725707711</v>
      </c>
      <c r="S41" s="106"/>
      <c r="T41" s="39">
        <f t="shared" si="7"/>
        <v>2.628048625603352</v>
      </c>
      <c r="U41" s="93">
        <v>6.6326574833374119</v>
      </c>
      <c r="V41" s="93">
        <v>0.60170032784210092</v>
      </c>
      <c r="W41" s="93">
        <v>1.9643693719450848</v>
      </c>
      <c r="X41" s="93">
        <f t="shared" si="8"/>
        <v>2.5660696997871857</v>
      </c>
      <c r="Y41" s="90">
        <f t="shared" si="0"/>
        <v>0</v>
      </c>
      <c r="Z41" s="39">
        <f t="shared" si="9"/>
        <v>2.6231625982701789</v>
      </c>
      <c r="AA41" s="11">
        <v>7.8178668346409639</v>
      </c>
      <c r="AB41" s="93">
        <v>0.85873650454850714</v>
      </c>
      <c r="AC41" s="93">
        <v>2.3105650783484251</v>
      </c>
      <c r="AD41" s="93">
        <f t="shared" si="10"/>
        <v>3.1693015828969324</v>
      </c>
      <c r="AE41" s="93"/>
      <c r="AF41" s="39">
        <f t="shared" si="11"/>
        <v>2.4078323200257934</v>
      </c>
      <c r="AG41" s="93">
        <v>0.42302413000387928</v>
      </c>
      <c r="AH41" s="93">
        <v>0.33710538828897285</v>
      </c>
      <c r="AI41" s="93">
        <v>0.11363296527709778</v>
      </c>
      <c r="AJ41" s="93">
        <f t="shared" si="12"/>
        <v>0.45073835356607062</v>
      </c>
      <c r="AL41" s="39">
        <f t="shared" si="13"/>
        <v>2.7256227849607129</v>
      </c>
      <c r="AM41" s="93">
        <v>1.0976496509709948</v>
      </c>
      <c r="AN41" s="93">
        <v>1.0248190705673856E-3</v>
      </c>
      <c r="AO41" s="93">
        <v>0.33867155545083699</v>
      </c>
      <c r="AP41" s="93">
        <f t="shared" si="14"/>
        <v>0.33969637452140439</v>
      </c>
      <c r="AQ41" s="106"/>
      <c r="AR41" s="39">
        <f t="shared" si="15"/>
        <v>2.6195513042214014</v>
      </c>
      <c r="AS41" s="93">
        <v>6.2971930536660903</v>
      </c>
      <c r="AT41" s="93">
        <v>0.52060629718896689</v>
      </c>
      <c r="AU41" s="93">
        <v>1.8582605576204905</v>
      </c>
      <c r="AV41" s="93">
        <f t="shared" si="16"/>
        <v>2.3788668548094574</v>
      </c>
      <c r="AW41" s="90">
        <f t="shared" si="17"/>
        <v>0</v>
      </c>
      <c r="AX41" s="39">
        <f t="shared" si="18"/>
        <v>2.6785764491621844</v>
      </c>
      <c r="AY41" s="11">
        <v>0.96217009441048162</v>
      </c>
      <c r="AZ41" s="93">
        <v>0.19915521880321993</v>
      </c>
      <c r="BA41" s="93">
        <v>0.29111606469515938</v>
      </c>
      <c r="BB41" s="93">
        <f t="shared" si="19"/>
        <v>0.49027128349837934</v>
      </c>
      <c r="BC41" s="93"/>
      <c r="BD41" s="39">
        <f t="shared" si="20"/>
        <v>2.6372048618027666</v>
      </c>
      <c r="BE41" s="93">
        <v>0.12023971653791019</v>
      </c>
      <c r="BF41" s="93">
        <v>4.7709276205164207E-3</v>
      </c>
      <c r="BG41" s="93">
        <v>3.5750049535400286E-2</v>
      </c>
      <c r="BH41" s="93">
        <f t="shared" si="21"/>
        <v>4.052097715591671E-2</v>
      </c>
      <c r="BJ41" s="39">
        <f t="shared" si="22"/>
        <v>2.6370907343919114</v>
      </c>
      <c r="BK41" s="93">
        <v>0.59167940202908853</v>
      </c>
      <c r="BL41" s="93">
        <v>0.15764745541630559</v>
      </c>
      <c r="BM41" s="93">
        <v>0.17591143975903728</v>
      </c>
      <c r="BN41" s="93">
        <f t="shared" si="23"/>
        <v>0.33355889517534287</v>
      </c>
      <c r="BO41" s="106"/>
      <c r="BP41" s="39">
        <f t="shared" si="24"/>
        <v>2.7957236007542408</v>
      </c>
      <c r="BQ41" s="93">
        <v>0.25025097584348277</v>
      </c>
      <c r="BR41" s="93">
        <v>3.6736835766397878E-2</v>
      </c>
      <c r="BS41" s="93">
        <v>7.945457540072183E-2</v>
      </c>
      <c r="BT41" s="93">
        <f t="shared" si="25"/>
        <v>0.1161914111671197</v>
      </c>
      <c r="BU41" s="90">
        <f t="shared" si="26"/>
        <v>0</v>
      </c>
      <c r="BV41" s="39">
        <f t="shared" si="27"/>
        <v>2.5508183926929773</v>
      </c>
      <c r="BW41" s="11">
        <v>0.50584005818189604</v>
      </c>
      <c r="BX41" s="93">
        <v>0.32238456824668921</v>
      </c>
      <c r="BY41" s="93">
        <v>0.1448954785012399</v>
      </c>
      <c r="BZ41" s="93">
        <f t="shared" si="28"/>
        <v>0.46728004674792911</v>
      </c>
      <c r="CA41" s="93"/>
      <c r="CB41" s="39">
        <f t="shared" si="29"/>
        <v>2.5367449852401247</v>
      </c>
      <c r="CC41" s="93">
        <v>9.1589573227019994E-2</v>
      </c>
      <c r="CD41" s="93">
        <v>-4.2808638867016524E-3</v>
      </c>
      <c r="CE41" s="93">
        <v>2.6073802070792795E-2</v>
      </c>
      <c r="CF41" s="93">
        <f t="shared" si="30"/>
        <v>2.1792938184091143E-2</v>
      </c>
      <c r="CH41" s="39">
        <f t="shared" si="31"/>
        <v>2.5204548632431933</v>
      </c>
      <c r="CI41" s="93">
        <v>0.33966700342259021</v>
      </c>
      <c r="CJ41" s="93">
        <v>0.28850292379729831</v>
      </c>
      <c r="CK41" s="93">
        <v>9.6003947721158597E-2</v>
      </c>
      <c r="CL41" s="93">
        <f t="shared" si="32"/>
        <v>0.38450687151845692</v>
      </c>
      <c r="CM41" s="106"/>
      <c r="CN41" s="39">
        <f t="shared" si="33"/>
        <v>2.7051379124598762</v>
      </c>
      <c r="CO41" s="93">
        <v>7.458348153228582E-2</v>
      </c>
      <c r="CP41" s="93">
        <v>3.8162508336092499E-2</v>
      </c>
      <c r="CQ41" s="93">
        <v>2.2817728709288516E-2</v>
      </c>
      <c r="CR41" s="93">
        <f t="shared" si="34"/>
        <v>6.0980237045381011E-2</v>
      </c>
      <c r="CS41" s="90">
        <f t="shared" si="35"/>
        <v>0</v>
      </c>
      <c r="CT41" s="39">
        <f t="shared" si="36"/>
        <v>2.5010642333554323</v>
      </c>
      <c r="CU41" s="11">
        <v>0.23410599832164924</v>
      </c>
      <c r="CV41" s="93">
        <v>-9.9380398593242464E-2</v>
      </c>
      <c r="CW41" s="93">
        <v>6.5600587885503062E-2</v>
      </c>
      <c r="CX41" s="93">
        <f t="shared" si="37"/>
        <v>-3.3779810707739402E-2</v>
      </c>
      <c r="CY41" s="93"/>
      <c r="CZ41" s="39">
        <f t="shared" si="38"/>
        <v>2.4503054838948435</v>
      </c>
      <c r="DA41" s="93">
        <v>0.18134444253200094</v>
      </c>
      <c r="DB41" s="93">
        <v>-0.10001031323072365</v>
      </c>
      <c r="DC41" s="93">
        <v>4.9668774402189947E-2</v>
      </c>
      <c r="DD41" s="93">
        <f t="shared" si="39"/>
        <v>-5.0341538828533705E-2</v>
      </c>
      <c r="DF41" s="39">
        <f t="shared" si="40"/>
        <v>2.5559091493363884</v>
      </c>
      <c r="DG41" s="93">
        <v>4.2131583494095966E-2</v>
      </c>
      <c r="DH41" s="93">
        <v>-5.5647719131624168E-3</v>
      </c>
      <c r="DI41" s="93">
        <v>1.2095303268729192E-2</v>
      </c>
      <c r="DJ41" s="93">
        <f t="shared" si="41"/>
        <v>6.5305313555667748E-3</v>
      </c>
      <c r="DK41" s="106"/>
      <c r="DL41" s="39">
        <f t="shared" si="42"/>
        <v>3.1295401767871711</v>
      </c>
      <c r="DM41" s="93">
        <v>1.0629972295552376E-2</v>
      </c>
      <c r="DN41" s="93">
        <v>6.1946865506436119E-3</v>
      </c>
      <c r="DO41" s="93">
        <v>3.8365102145839292E-3</v>
      </c>
      <c r="DP41" s="93">
        <f t="shared" si="43"/>
        <v>1.003119676522754E-2</v>
      </c>
    </row>
    <row r="42" spans="1:120" x14ac:dyDescent="0.3">
      <c r="A42" s="90">
        <f>name!B38</f>
        <v>0</v>
      </c>
      <c r="B42" s="39">
        <f t="shared" si="1"/>
        <v>2.7659066814350819</v>
      </c>
      <c r="C42" s="11">
        <v>41.327917877507424</v>
      </c>
      <c r="D42" s="93">
        <v>5.5428905332373821</v>
      </c>
      <c r="E42" s="93">
        <v>12.963865628503205</v>
      </c>
      <c r="F42" s="93">
        <f t="shared" si="2"/>
        <v>18.506756161740586</v>
      </c>
      <c r="G42" s="93"/>
      <c r="H42" s="39">
        <f t="shared" si="3"/>
        <v>2.5883895459776651</v>
      </c>
      <c r="I42" s="93">
        <v>6.6477909633603698</v>
      </c>
      <c r="J42" s="93">
        <v>0.46903863547743174</v>
      </c>
      <c r="K42" s="93">
        <v>1.9356115118566004</v>
      </c>
      <c r="L42" s="93">
        <f t="shared" si="4"/>
        <v>2.4046501473340323</v>
      </c>
      <c r="N42" s="39">
        <f t="shared" si="5"/>
        <v>2.6369495607399429</v>
      </c>
      <c r="O42" s="93">
        <v>13.326579267199337</v>
      </c>
      <c r="P42" s="93">
        <v>1.877839557749986</v>
      </c>
      <c r="Q42" s="93">
        <v>3.9618702925814446</v>
      </c>
      <c r="R42" s="93">
        <f t="shared" si="6"/>
        <v>5.8397098503314311</v>
      </c>
      <c r="S42" s="106"/>
      <c r="T42" s="39">
        <f t="shared" si="7"/>
        <v>2.8999820012332478</v>
      </c>
      <c r="U42" s="93">
        <v>21.35354764694771</v>
      </c>
      <c r="V42" s="93">
        <v>3.1960123400099647</v>
      </c>
      <c r="W42" s="93">
        <v>7.0663838240651593</v>
      </c>
      <c r="X42" s="93">
        <f t="shared" si="8"/>
        <v>10.262396164075124</v>
      </c>
      <c r="Y42" s="90">
        <f t="shared" si="0"/>
        <v>0</v>
      </c>
      <c r="Z42" s="39">
        <f t="shared" si="9"/>
        <v>2.8515281797403702</v>
      </c>
      <c r="AA42" s="11">
        <v>28.851400371214467</v>
      </c>
      <c r="AB42" s="93">
        <v>2.9117941769720685</v>
      </c>
      <c r="AC42" s="93">
        <v>9.3671654902328125</v>
      </c>
      <c r="AD42" s="93">
        <f t="shared" si="10"/>
        <v>12.27895966720488</v>
      </c>
      <c r="AE42" s="93"/>
      <c r="AF42" s="39">
        <f t="shared" si="11"/>
        <v>2.7312978006911237</v>
      </c>
      <c r="AG42" s="93">
        <v>2.3074493769266002</v>
      </c>
      <c r="AH42" s="93">
        <v>8.8154748807107802E-2</v>
      </c>
      <c r="AI42" s="93">
        <v>0.7136146359797787</v>
      </c>
      <c r="AJ42" s="93">
        <f t="shared" si="12"/>
        <v>0.80176938478688653</v>
      </c>
      <c r="AL42" s="39">
        <f t="shared" si="13"/>
        <v>2.6978647455589311</v>
      </c>
      <c r="AM42" s="93">
        <v>7.996889456722271</v>
      </c>
      <c r="AN42" s="93">
        <v>0.23978644928801202</v>
      </c>
      <c r="AO42" s="93">
        <v>2.4391384738532835</v>
      </c>
      <c r="AP42" s="93">
        <f t="shared" si="14"/>
        <v>2.6789249231412957</v>
      </c>
      <c r="AQ42" s="106"/>
      <c r="AR42" s="39">
        <f t="shared" si="15"/>
        <v>2.9319352041224489</v>
      </c>
      <c r="AS42" s="93">
        <v>18.547061537565593</v>
      </c>
      <c r="AT42" s="93">
        <v>2.5838529788769486</v>
      </c>
      <c r="AU42" s="93">
        <v>6.2144123803997511</v>
      </c>
      <c r="AV42" s="93">
        <f t="shared" si="16"/>
        <v>8.7982653592766997</v>
      </c>
      <c r="AW42" s="90">
        <f t="shared" si="17"/>
        <v>0</v>
      </c>
      <c r="AX42" s="39">
        <f t="shared" si="18"/>
        <v>2.5785306073743852</v>
      </c>
      <c r="AY42" s="11">
        <v>6.5037812929444394</v>
      </c>
      <c r="AZ42" s="93">
        <v>1.0757665767010658</v>
      </c>
      <c r="BA42" s="93">
        <v>1.8856141436015186</v>
      </c>
      <c r="BB42" s="93">
        <f t="shared" si="19"/>
        <v>2.9613807203025844</v>
      </c>
      <c r="BC42" s="93"/>
      <c r="BD42" s="39">
        <f t="shared" si="20"/>
        <v>2.4818332070334348</v>
      </c>
      <c r="BE42" s="93">
        <v>1.8237775728680967</v>
      </c>
      <c r="BF42" s="93">
        <v>0.40035255591572777</v>
      </c>
      <c r="BG42" s="93">
        <v>0.50667745232067052</v>
      </c>
      <c r="BH42" s="93">
        <f t="shared" si="21"/>
        <v>0.90703000823639823</v>
      </c>
      <c r="BJ42" s="39">
        <f t="shared" si="22"/>
        <v>2.5440839893432932</v>
      </c>
      <c r="BK42" s="93">
        <v>2.6329814450846953</v>
      </c>
      <c r="BL42" s="93">
        <v>0.36645710610714699</v>
      </c>
      <c r="BM42" s="93">
        <v>0.75198133827523139</v>
      </c>
      <c r="BN42" s="93">
        <f t="shared" si="23"/>
        <v>1.1184384443823783</v>
      </c>
      <c r="BO42" s="106"/>
      <c r="BP42" s="39">
        <f t="shared" si="24"/>
        <v>2.7078220766586059</v>
      </c>
      <c r="BQ42" s="93">
        <v>2.0470222749916469</v>
      </c>
      <c r="BR42" s="93">
        <v>0.30895691467819097</v>
      </c>
      <c r="BS42" s="93">
        <v>0.62695535300561678</v>
      </c>
      <c r="BT42" s="93">
        <f t="shared" si="25"/>
        <v>0.93591226768380775</v>
      </c>
      <c r="BU42" s="90">
        <f t="shared" si="26"/>
        <v>0</v>
      </c>
      <c r="BV42" s="39">
        <f t="shared" si="27"/>
        <v>2.4352549002091939</v>
      </c>
      <c r="BW42" s="11">
        <v>3.9926676757116213</v>
      </c>
      <c r="BX42" s="93">
        <v>1.3942061283114771</v>
      </c>
      <c r="BY42" s="93">
        <v>1.0860923018676825</v>
      </c>
      <c r="BZ42" s="93">
        <f t="shared" si="28"/>
        <v>2.4802984301791593</v>
      </c>
      <c r="CA42" s="93"/>
      <c r="CB42" s="39">
        <f t="shared" si="29"/>
        <v>2.3820319758712349</v>
      </c>
      <c r="CC42" s="93">
        <v>1.5804510737327937</v>
      </c>
      <c r="CD42" s="93">
        <v>0.54763313458440666</v>
      </c>
      <c r="CE42" s="93">
        <v>0.41949600254904829</v>
      </c>
      <c r="CF42" s="93">
        <f t="shared" si="30"/>
        <v>0.96712913713345494</v>
      </c>
      <c r="CH42" s="39">
        <f t="shared" si="31"/>
        <v>2.4397967914120189</v>
      </c>
      <c r="CI42" s="93">
        <v>1.8177774091588061</v>
      </c>
      <c r="CJ42" s="93">
        <v>0.71493905267938562</v>
      </c>
      <c r="CK42" s="93">
        <v>0.49550036268130071</v>
      </c>
      <c r="CL42" s="93">
        <f t="shared" si="32"/>
        <v>1.2104394153606863</v>
      </c>
      <c r="CM42" s="106"/>
      <c r="CN42" s="39">
        <f t="shared" si="33"/>
        <v>2.5618317898631338</v>
      </c>
      <c r="CO42" s="93">
        <v>0.59443919282002144</v>
      </c>
      <c r="CP42" s="93">
        <v>0.13163394104768467</v>
      </c>
      <c r="CQ42" s="93">
        <v>0.1710959366373333</v>
      </c>
      <c r="CR42" s="93">
        <f t="shared" si="34"/>
        <v>0.30272987768501797</v>
      </c>
      <c r="CS42" s="90">
        <f t="shared" si="35"/>
        <v>0</v>
      </c>
      <c r="CT42" s="39">
        <f t="shared" si="36"/>
        <v>2.7812246199814927</v>
      </c>
      <c r="CU42" s="11">
        <v>1.9800685376368916</v>
      </c>
      <c r="CV42" s="93">
        <v>0.16112365125277109</v>
      </c>
      <c r="CW42" s="93">
        <v>0.62499369280119021</v>
      </c>
      <c r="CX42" s="93">
        <f t="shared" si="37"/>
        <v>0.78611734405396128</v>
      </c>
      <c r="CY42" s="93"/>
      <c r="CZ42" s="39">
        <f t="shared" si="38"/>
        <v>2.7841153979467625</v>
      </c>
      <c r="DA42" s="93">
        <v>0.93611293983287924</v>
      </c>
      <c r="DB42" s="93">
        <v>-0.56710180382981035</v>
      </c>
      <c r="DC42" s="93">
        <v>0.29582342100710285</v>
      </c>
      <c r="DD42" s="93">
        <f t="shared" si="39"/>
        <v>-0.2712783828227075</v>
      </c>
      <c r="DF42" s="39">
        <f t="shared" si="40"/>
        <v>2.7618510900035087</v>
      </c>
      <c r="DG42" s="93">
        <v>0.87893095623356221</v>
      </c>
      <c r="DH42" s="93">
        <v>0.55665694967544133</v>
      </c>
      <c r="DI42" s="93">
        <v>0.275250117771629</v>
      </c>
      <c r="DJ42" s="93">
        <f t="shared" si="41"/>
        <v>0.83190706744707033</v>
      </c>
      <c r="DK42" s="106"/>
      <c r="DL42" s="39">
        <f t="shared" si="42"/>
        <v>2.8675941660104565</v>
      </c>
      <c r="DM42" s="93">
        <v>0.16502464157045005</v>
      </c>
      <c r="DN42" s="93">
        <v>0.17156850540714014</v>
      </c>
      <c r="DO42" s="93">
        <v>5.3920154022458346E-2</v>
      </c>
      <c r="DP42" s="93">
        <f t="shared" si="43"/>
        <v>0.22548865942959848</v>
      </c>
    </row>
    <row r="43" spans="1:120" x14ac:dyDescent="0.3">
      <c r="A43" s="90">
        <f>name!B39</f>
        <v>0</v>
      </c>
      <c r="B43" s="39">
        <f t="shared" si="1"/>
        <v>2.964323205894126</v>
      </c>
      <c r="C43" s="11">
        <v>366.60612974536059</v>
      </c>
      <c r="D43" s="93">
        <v>59.276568078745363</v>
      </c>
      <c r="E43" s="93">
        <v>124.37795424368858</v>
      </c>
      <c r="F43" s="93">
        <f t="shared" si="2"/>
        <v>183.65452232243393</v>
      </c>
      <c r="G43" s="93"/>
      <c r="H43" s="39">
        <f t="shared" si="3"/>
        <v>2.8629023744369153</v>
      </c>
      <c r="I43" s="93">
        <v>60.29612584772859</v>
      </c>
      <c r="J43" s="93">
        <v>6.2659503707421011</v>
      </c>
      <c r="K43" s="93">
        <v>19.664677844879822</v>
      </c>
      <c r="L43" s="93">
        <f t="shared" si="4"/>
        <v>25.930628215621923</v>
      </c>
      <c r="N43" s="39">
        <f t="shared" si="5"/>
        <v>2.910542307155306</v>
      </c>
      <c r="O43" s="93">
        <v>109.06467888707947</v>
      </c>
      <c r="P43" s="93">
        <v>29.524424023904043</v>
      </c>
      <c r="Q43" s="93">
        <v>36.241068661330416</v>
      </c>
      <c r="R43" s="93">
        <f t="shared" si="6"/>
        <v>65.765492685234463</v>
      </c>
      <c r="S43" s="106"/>
      <c r="T43" s="39">
        <f t="shared" si="7"/>
        <v>3.0246977932693042</v>
      </c>
      <c r="U43" s="93">
        <v>197.24532501055251</v>
      </c>
      <c r="V43" s="93">
        <v>23.486193684099216</v>
      </c>
      <c r="W43" s="93">
        <v>68.472207737478328</v>
      </c>
      <c r="X43" s="93">
        <f t="shared" si="8"/>
        <v>91.958401421577548</v>
      </c>
      <c r="Y43" s="90">
        <f t="shared" si="0"/>
        <v>0</v>
      </c>
      <c r="Z43" s="39">
        <f t="shared" si="9"/>
        <v>3.067775138448714</v>
      </c>
      <c r="AA43" s="11">
        <v>128.40645062723203</v>
      </c>
      <c r="AB43" s="93">
        <v>11.85508119620458</v>
      </c>
      <c r="AC43" s="93">
        <v>45.299963238210964</v>
      </c>
      <c r="AD43" s="93">
        <f t="shared" si="10"/>
        <v>57.155044434415544</v>
      </c>
      <c r="AE43" s="93"/>
      <c r="AF43" s="39">
        <f t="shared" si="11"/>
        <v>2.9973382412868288</v>
      </c>
      <c r="AG43" s="93">
        <v>2.355165456214976</v>
      </c>
      <c r="AH43" s="93">
        <v>0.9637811048672672</v>
      </c>
      <c r="AI43" s="93">
        <v>0.80916212463532233</v>
      </c>
      <c r="AJ43" s="93">
        <f t="shared" si="12"/>
        <v>1.7729432295025895</v>
      </c>
      <c r="AL43" s="39">
        <f t="shared" si="13"/>
        <v>2.9883483560949609</v>
      </c>
      <c r="AM43" s="93">
        <v>12.753554522103531</v>
      </c>
      <c r="AN43" s="93">
        <v>-1.189686119892166</v>
      </c>
      <c r="AO43" s="93">
        <v>4.3667772486974572</v>
      </c>
      <c r="AP43" s="93">
        <f t="shared" si="14"/>
        <v>3.1770911288052912</v>
      </c>
      <c r="AQ43" s="106"/>
      <c r="AR43" s="39">
        <f t="shared" si="15"/>
        <v>3.0781400233887757</v>
      </c>
      <c r="AS43" s="93">
        <v>113.29773064891354</v>
      </c>
      <c r="AT43" s="93">
        <v>12.080986211229478</v>
      </c>
      <c r="AU43" s="93">
        <v>40.124023864878183</v>
      </c>
      <c r="AV43" s="93">
        <f t="shared" si="16"/>
        <v>52.205010076107662</v>
      </c>
      <c r="AW43" s="90">
        <f t="shared" si="17"/>
        <v>0</v>
      </c>
      <c r="AX43" s="39">
        <f t="shared" si="18"/>
        <v>2.6535599438878954</v>
      </c>
      <c r="AY43" s="11">
        <v>85.340941379457291</v>
      </c>
      <c r="AZ43" s="93">
        <v>21.654635101028848</v>
      </c>
      <c r="BA43" s="93">
        <v>25.550385149909442</v>
      </c>
      <c r="BB43" s="93">
        <f t="shared" si="19"/>
        <v>47.20502025093829</v>
      </c>
      <c r="BC43" s="93"/>
      <c r="BD43" s="39">
        <f t="shared" si="20"/>
        <v>2.5369749451499946</v>
      </c>
      <c r="BE43" s="93">
        <v>7.9924706336224665</v>
      </c>
      <c r="BF43" s="93">
        <v>4.6323396613046155</v>
      </c>
      <c r="BG43" s="93">
        <v>2.275534005888348</v>
      </c>
      <c r="BH43" s="93">
        <f t="shared" si="21"/>
        <v>6.9078736671929635</v>
      </c>
      <c r="BJ43" s="39">
        <f t="shared" si="22"/>
        <v>2.5624762152512082</v>
      </c>
      <c r="BK43" s="93">
        <v>27.005268580631853</v>
      </c>
      <c r="BL43" s="93">
        <v>10.223864247757708</v>
      </c>
      <c r="BM43" s="93">
        <v>7.7750437532035859</v>
      </c>
      <c r="BN43" s="93">
        <f t="shared" si="23"/>
        <v>17.998908000961293</v>
      </c>
      <c r="BO43" s="106"/>
      <c r="BP43" s="39">
        <f t="shared" si="24"/>
        <v>2.7204430066313234</v>
      </c>
      <c r="BQ43" s="93">
        <v>50.343202165202975</v>
      </c>
      <c r="BR43" s="93">
        <v>6.7984311919665235</v>
      </c>
      <c r="BS43" s="93">
        <v>15.499807390817509</v>
      </c>
      <c r="BT43" s="93">
        <f t="shared" si="25"/>
        <v>22.29823858278403</v>
      </c>
      <c r="BU43" s="90">
        <f t="shared" si="26"/>
        <v>0</v>
      </c>
      <c r="BV43" s="39">
        <f t="shared" si="27"/>
        <v>3.5825178625260357</v>
      </c>
      <c r="BW43" s="11">
        <v>28.783589754031564</v>
      </c>
      <c r="BX43" s="93">
        <v>9.0490542940407099</v>
      </c>
      <c r="BY43" s="93">
        <v>12.143380105807763</v>
      </c>
      <c r="BZ43" s="93">
        <f t="shared" si="28"/>
        <v>21.192434399848473</v>
      </c>
      <c r="CA43" s="93"/>
      <c r="CB43" s="39">
        <f t="shared" si="29"/>
        <v>3.2872271423685318</v>
      </c>
      <c r="CC43" s="93">
        <v>6.0845432642854735</v>
      </c>
      <c r="CD43" s="93">
        <v>4.4133646639922466</v>
      </c>
      <c r="CE43" s="93">
        <v>2.3234851029341566</v>
      </c>
      <c r="CF43" s="93">
        <f t="shared" si="30"/>
        <v>6.7368497669264027</v>
      </c>
      <c r="CH43" s="39">
        <f t="shared" si="31"/>
        <v>3.5081488727088939</v>
      </c>
      <c r="CI43" s="93">
        <v>13.730317697403695</v>
      </c>
      <c r="CJ43" s="93">
        <v>4.0524808534125691</v>
      </c>
      <c r="CK43" s="93">
        <v>5.6529058299467811</v>
      </c>
      <c r="CL43" s="93">
        <f t="shared" si="32"/>
        <v>9.7053866833593503</v>
      </c>
      <c r="CM43" s="106"/>
      <c r="CN43" s="39">
        <f t="shared" si="33"/>
        <v>3.8896522062592975</v>
      </c>
      <c r="CO43" s="93">
        <v>8.9687287923423913</v>
      </c>
      <c r="CP43" s="93">
        <v>0.58320877663589499</v>
      </c>
      <c r="CQ43" s="93">
        <v>4.1669891729268249</v>
      </c>
      <c r="CR43" s="93">
        <f t="shared" si="34"/>
        <v>4.75019794956272</v>
      </c>
      <c r="CS43" s="90">
        <f t="shared" si="35"/>
        <v>0</v>
      </c>
      <c r="CT43" s="39">
        <f t="shared" si="36"/>
        <v>2.9202085195014771</v>
      </c>
      <c r="CU43" s="11">
        <v>124.07514798463968</v>
      </c>
      <c r="CV43" s="93">
        <v>16.717797487471227</v>
      </c>
      <c r="CW43" s="93">
        <v>41.384225749760404</v>
      </c>
      <c r="CX43" s="93">
        <f t="shared" si="37"/>
        <v>58.102023237231634</v>
      </c>
      <c r="CY43" s="93"/>
      <c r="CZ43" s="39">
        <f t="shared" si="38"/>
        <v>2.8542214955234568</v>
      </c>
      <c r="DA43" s="93">
        <v>43.863946493605674</v>
      </c>
      <c r="DB43" s="93">
        <v>-3.7435350594220274</v>
      </c>
      <c r="DC43" s="93">
        <v>14.256496611421996</v>
      </c>
      <c r="DD43" s="93">
        <f t="shared" si="39"/>
        <v>10.512961551999968</v>
      </c>
      <c r="DF43" s="39">
        <f t="shared" si="40"/>
        <v>2.9076458934621296</v>
      </c>
      <c r="DG43" s="93">
        <v>55.575538086940398</v>
      </c>
      <c r="DH43" s="93">
        <v>16.43776504262593</v>
      </c>
      <c r="DI43" s="93">
        <v>18.446341829482595</v>
      </c>
      <c r="DJ43" s="93">
        <f t="shared" si="41"/>
        <v>34.884106872108525</v>
      </c>
      <c r="DK43" s="106"/>
      <c r="DL43" s="39">
        <f t="shared" si="42"/>
        <v>3.0647677202802814</v>
      </c>
      <c r="DM43" s="93">
        <v>24.635663404093616</v>
      </c>
      <c r="DN43" s="93">
        <v>4.0235675042673211</v>
      </c>
      <c r="DO43" s="93">
        <v>8.6813873088558129</v>
      </c>
      <c r="DP43" s="93">
        <f t="shared" si="43"/>
        <v>12.704954813123134</v>
      </c>
    </row>
    <row r="44" spans="1:120" x14ac:dyDescent="0.3">
      <c r="A44" s="90">
        <f>name!B40</f>
        <v>0</v>
      </c>
      <c r="B44" s="39">
        <f t="shared" si="1"/>
        <v>2.8357475835989687</v>
      </c>
      <c r="C44" s="11">
        <v>393.35784380285861</v>
      </c>
      <c r="D44" s="93">
        <v>-15.846501627171115</v>
      </c>
      <c r="E44" s="93">
        <v>126.91230773625192</v>
      </c>
      <c r="F44" s="93">
        <f t="shared" si="2"/>
        <v>111.0658061090808</v>
      </c>
      <c r="G44" s="93"/>
      <c r="H44" s="39">
        <f t="shared" si="3"/>
        <v>2.7516949963118487</v>
      </c>
      <c r="I44" s="93">
        <v>59.61461044933764</v>
      </c>
      <c r="J44" s="93">
        <v>-20.900434984544614</v>
      </c>
      <c r="K44" s="93">
        <v>18.591854917813837</v>
      </c>
      <c r="L44" s="93">
        <f t="shared" si="4"/>
        <v>-2.3085800667307765</v>
      </c>
      <c r="N44" s="39">
        <f t="shared" si="5"/>
        <v>2.7239499243143506</v>
      </c>
      <c r="O44" s="93">
        <v>173.18501469973404</v>
      </c>
      <c r="P44" s="93">
        <v>-1.7972543490150141</v>
      </c>
      <c r="Q44" s="93">
        <v>53.398033728841654</v>
      </c>
      <c r="R44" s="93">
        <f t="shared" si="6"/>
        <v>51.600779379826641</v>
      </c>
      <c r="S44" s="106"/>
      <c r="T44" s="39">
        <f t="shared" si="7"/>
        <v>2.9858531510617459</v>
      </c>
      <c r="U44" s="93">
        <v>160.55821865378698</v>
      </c>
      <c r="V44" s="93">
        <v>6.8511877063885063</v>
      </c>
      <c r="W44" s="93">
        <v>54.922419089596445</v>
      </c>
      <c r="X44" s="93">
        <f t="shared" si="8"/>
        <v>61.773606795984954</v>
      </c>
      <c r="Y44" s="90">
        <f t="shared" si="0"/>
        <v>0</v>
      </c>
      <c r="Z44" s="39">
        <f t="shared" si="9"/>
        <v>2.9519471351278748</v>
      </c>
      <c r="AA44" s="11">
        <v>193.55143168230654</v>
      </c>
      <c r="AB44" s="93">
        <v>39.567328495072999</v>
      </c>
      <c r="AC44" s="93">
        <v>65.354521617917186</v>
      </c>
      <c r="AD44" s="93">
        <f t="shared" si="10"/>
        <v>104.92185011299019</v>
      </c>
      <c r="AE44" s="93"/>
      <c r="AF44" s="39">
        <f t="shared" si="11"/>
        <v>2.732765888214872</v>
      </c>
      <c r="AG44" s="93">
        <v>8.9496893108903919</v>
      </c>
      <c r="AH44" s="93">
        <v>-0.38086275940552278</v>
      </c>
      <c r="AI44" s="93">
        <v>2.7695053307141997</v>
      </c>
      <c r="AJ44" s="93">
        <f t="shared" si="12"/>
        <v>2.3886425713086767</v>
      </c>
      <c r="AL44" s="39">
        <f t="shared" si="13"/>
        <v>2.7942517550996859</v>
      </c>
      <c r="AM44" s="93">
        <v>63.890128782218703</v>
      </c>
      <c r="AN44" s="93">
        <v>26.216367345241078</v>
      </c>
      <c r="AO44" s="93">
        <v>20.273036384531288</v>
      </c>
      <c r="AP44" s="93">
        <f t="shared" si="14"/>
        <v>46.489403729772363</v>
      </c>
      <c r="AQ44" s="106"/>
      <c r="AR44" s="39">
        <f t="shared" si="15"/>
        <v>3.0505088630622845</v>
      </c>
      <c r="AS44" s="93">
        <v>120.71161358919746</v>
      </c>
      <c r="AT44" s="93">
        <v>13.731823909237447</v>
      </c>
      <c r="AU44" s="93">
        <v>42.311979902671695</v>
      </c>
      <c r="AV44" s="93">
        <f t="shared" si="16"/>
        <v>56.043803811909143</v>
      </c>
      <c r="AW44" s="90">
        <f t="shared" si="17"/>
        <v>0</v>
      </c>
      <c r="AX44" s="39">
        <f t="shared" si="18"/>
        <v>2.6545992493075765</v>
      </c>
      <c r="AY44" s="11">
        <v>136.55603857187839</v>
      </c>
      <c r="AZ44" s="93">
        <v>-43.002314866399423</v>
      </c>
      <c r="BA44" s="93">
        <v>40.901735073909045</v>
      </c>
      <c r="BB44" s="93">
        <f t="shared" si="19"/>
        <v>-2.1005797924903788</v>
      </c>
      <c r="BC44" s="93"/>
      <c r="BD44" s="39">
        <f t="shared" si="20"/>
        <v>2.5646880453044751</v>
      </c>
      <c r="BE44" s="93">
        <v>18.059085654406232</v>
      </c>
      <c r="BF44" s="93">
        <v>-9.0180538971045241</v>
      </c>
      <c r="BG44" s="93">
        <v>5.2043788432435791</v>
      </c>
      <c r="BH44" s="93">
        <f t="shared" si="21"/>
        <v>-3.813675053860945</v>
      </c>
      <c r="BJ44" s="39">
        <f t="shared" si="22"/>
        <v>2.6194787613104564</v>
      </c>
      <c r="BK44" s="93">
        <v>81.562939535953078</v>
      </c>
      <c r="BL44" s="93">
        <v>-26.535125434477635</v>
      </c>
      <c r="BM44" s="93">
        <v>24.06794423722156</v>
      </c>
      <c r="BN44" s="93">
        <f t="shared" si="23"/>
        <v>-2.4671811972560747</v>
      </c>
      <c r="BO44" s="106"/>
      <c r="BP44" s="39">
        <f t="shared" si="24"/>
        <v>2.775188253093952</v>
      </c>
      <c r="BQ44" s="93">
        <v>36.93401338151908</v>
      </c>
      <c r="BR44" s="93">
        <v>-7.4491355348172679</v>
      </c>
      <c r="BS44" s="93">
        <v>11.629411993443906</v>
      </c>
      <c r="BT44" s="93">
        <f t="shared" si="25"/>
        <v>4.1802764586266381</v>
      </c>
      <c r="BU44" s="90">
        <f t="shared" si="26"/>
        <v>0</v>
      </c>
      <c r="BV44" s="39">
        <f t="shared" si="27"/>
        <v>2.8583954213786456</v>
      </c>
      <c r="BW44" s="11">
        <v>20.489593186295824</v>
      </c>
      <c r="BX44" s="93">
        <v>-3.6169124626271385</v>
      </c>
      <c r="BY44" s="93">
        <v>6.6704706699605909</v>
      </c>
      <c r="BZ44" s="93">
        <f t="shared" si="28"/>
        <v>3.0535582073334524</v>
      </c>
      <c r="CA44" s="93"/>
      <c r="CB44" s="39">
        <f t="shared" si="29"/>
        <v>2.886706102007186</v>
      </c>
      <c r="CC44" s="93">
        <v>8.3246385618980643</v>
      </c>
      <c r="CD44" s="93">
        <v>-2.3561745304099531</v>
      </c>
      <c r="CE44" s="93">
        <v>2.7405296991725199</v>
      </c>
      <c r="CF44" s="93">
        <f t="shared" si="30"/>
        <v>0.38435516876256681</v>
      </c>
      <c r="CH44" s="39">
        <f t="shared" si="31"/>
        <v>2.8369795300950962</v>
      </c>
      <c r="CI44" s="93">
        <v>10.970091359887151</v>
      </c>
      <c r="CJ44" s="93">
        <v>-1.2157453343966669</v>
      </c>
      <c r="CK44" s="93">
        <v>3.541109966200767</v>
      </c>
      <c r="CL44" s="93">
        <f t="shared" si="32"/>
        <v>2.3253646318041001</v>
      </c>
      <c r="CM44" s="106"/>
      <c r="CN44" s="39">
        <f t="shared" si="33"/>
        <v>2.8573458698798015</v>
      </c>
      <c r="CO44" s="93">
        <v>1.1948632645106076</v>
      </c>
      <c r="CP44" s="93">
        <v>-4.4992597820518516E-2</v>
      </c>
      <c r="CQ44" s="93">
        <v>0.38883100458730496</v>
      </c>
      <c r="CR44" s="93">
        <f t="shared" si="34"/>
        <v>0.34383840676678645</v>
      </c>
      <c r="CS44" s="90">
        <f t="shared" si="35"/>
        <v>0</v>
      </c>
      <c r="CT44" s="39">
        <f t="shared" si="36"/>
        <v>2.8701182898648092</v>
      </c>
      <c r="CU44" s="11">
        <v>42.760780362377908</v>
      </c>
      <c r="CV44" s="93">
        <v>-8.7946027932175515</v>
      </c>
      <c r="CW44" s="93">
        <v>13.985580374465099</v>
      </c>
      <c r="CX44" s="93">
        <f t="shared" si="37"/>
        <v>5.190977581247548</v>
      </c>
      <c r="CY44" s="93"/>
      <c r="CZ44" s="39">
        <f t="shared" si="38"/>
        <v>2.8496351806148512</v>
      </c>
      <c r="DA44" s="93">
        <v>24.281196922142954</v>
      </c>
      <c r="DB44" s="93">
        <v>-9.1453437976246104</v>
      </c>
      <c r="DC44" s="93">
        <v>7.8774410446835388</v>
      </c>
      <c r="DD44" s="93">
        <f t="shared" si="39"/>
        <v>-1.2679027529410716</v>
      </c>
      <c r="DF44" s="39">
        <f t="shared" si="40"/>
        <v>2.8857004199172476</v>
      </c>
      <c r="DG44" s="93">
        <v>16.761855021675107</v>
      </c>
      <c r="DH44" s="93">
        <v>-0.26275092538178862</v>
      </c>
      <c r="DI44" s="93">
        <v>5.5159431408880319</v>
      </c>
      <c r="DJ44" s="93">
        <f t="shared" si="41"/>
        <v>5.2531922155062434</v>
      </c>
      <c r="DK44" s="106"/>
      <c r="DL44" s="39">
        <f t="shared" si="42"/>
        <v>3.0064287710700022</v>
      </c>
      <c r="DM44" s="93">
        <v>1.7177284185598474</v>
      </c>
      <c r="DN44" s="93">
        <v>0.61349192978884681</v>
      </c>
      <c r="DO44" s="93">
        <v>0.59219618889352987</v>
      </c>
      <c r="DP44" s="93">
        <f t="shared" si="43"/>
        <v>1.2056881186823767</v>
      </c>
    </row>
    <row r="45" spans="1:120" x14ac:dyDescent="0.3">
      <c r="A45" s="90">
        <f>name!B41</f>
        <v>0</v>
      </c>
      <c r="B45" s="39">
        <f t="shared" si="1"/>
        <v>2.5589515569040877</v>
      </c>
      <c r="C45" s="11">
        <v>378.65361093918506</v>
      </c>
      <c r="D45" s="93">
        <v>36.796399092126755</v>
      </c>
      <c r="E45" s="93">
        <v>108.84998948408384</v>
      </c>
      <c r="F45" s="93">
        <f t="shared" si="2"/>
        <v>145.6463885762106</v>
      </c>
      <c r="G45" s="93"/>
      <c r="H45" s="39">
        <f t="shared" si="3"/>
        <v>2.6970336356285651</v>
      </c>
      <c r="I45" s="93">
        <v>21.232264083662649</v>
      </c>
      <c r="J45" s="93">
        <v>5.5608874318156268E-2</v>
      </c>
      <c r="K45" s="93">
        <v>6.4738297499487887</v>
      </c>
      <c r="L45" s="93">
        <f t="shared" si="4"/>
        <v>6.5294386242669447</v>
      </c>
      <c r="N45" s="39">
        <f t="shared" si="5"/>
        <v>2.6178307858164995</v>
      </c>
      <c r="O45" s="93">
        <v>54.055750144900642</v>
      </c>
      <c r="P45" s="93">
        <v>7.7932985015424325</v>
      </c>
      <c r="Q45" s="93">
        <v>15.939762430606391</v>
      </c>
      <c r="R45" s="93">
        <f t="shared" si="6"/>
        <v>23.733060932148824</v>
      </c>
      <c r="S45" s="106"/>
      <c r="T45" s="39">
        <f t="shared" si="7"/>
        <v>2.5386919147606823</v>
      </c>
      <c r="U45" s="93">
        <v>303.36559671062184</v>
      </c>
      <c r="V45" s="93">
        <v>28.947491716266153</v>
      </c>
      <c r="W45" s="93">
        <v>86.436397303528679</v>
      </c>
      <c r="X45" s="93">
        <f t="shared" si="8"/>
        <v>115.38388901979484</v>
      </c>
      <c r="Y45" s="90">
        <f t="shared" si="0"/>
        <v>0</v>
      </c>
      <c r="Z45" s="39">
        <f t="shared" si="9"/>
        <v>2.5199611178011505</v>
      </c>
      <c r="AA45" s="11">
        <v>312.18144659946984</v>
      </c>
      <c r="AB45" s="93">
        <v>28.895682554218279</v>
      </c>
      <c r="AC45" s="93">
        <v>88.21610831482117</v>
      </c>
      <c r="AD45" s="93">
        <f t="shared" si="10"/>
        <v>117.11179086903945</v>
      </c>
      <c r="AE45" s="93"/>
      <c r="AF45" s="39">
        <f t="shared" si="11"/>
        <v>2.4310222459994479</v>
      </c>
      <c r="AG45" s="93">
        <v>3.9811352808305944</v>
      </c>
      <c r="AH45" s="93">
        <v>4.5008812227039625</v>
      </c>
      <c r="AI45" s="93">
        <v>1.0808631323162383</v>
      </c>
      <c r="AJ45" s="93">
        <f t="shared" si="12"/>
        <v>5.5817443550202004</v>
      </c>
      <c r="AL45" s="39">
        <f t="shared" si="13"/>
        <v>2.4685169170641119</v>
      </c>
      <c r="AM45" s="93">
        <v>20.509890701227175</v>
      </c>
      <c r="AN45" s="93">
        <v>4.1191890490955583</v>
      </c>
      <c r="AO45" s="93">
        <v>5.6639738538481845</v>
      </c>
      <c r="AP45" s="93">
        <f t="shared" si="14"/>
        <v>9.7831629029437437</v>
      </c>
      <c r="AQ45" s="106"/>
      <c r="AR45" s="39">
        <f t="shared" si="15"/>
        <v>2.524845301627332</v>
      </c>
      <c r="AS45" s="93">
        <v>287.69042061741203</v>
      </c>
      <c r="AT45" s="93">
        <v>20.275612282418756</v>
      </c>
      <c r="AU45" s="93">
        <v>81.471271328656755</v>
      </c>
      <c r="AV45" s="93">
        <f t="shared" si="16"/>
        <v>101.7468836110755</v>
      </c>
      <c r="AW45" s="90">
        <f t="shared" si="17"/>
        <v>0</v>
      </c>
      <c r="AX45" s="39">
        <f t="shared" si="18"/>
        <v>2.6549442218402941</v>
      </c>
      <c r="AY45" s="11">
        <v>41.892929155094187</v>
      </c>
      <c r="AZ45" s="93">
        <v>9.2492751468853793</v>
      </c>
      <c r="BA45" s="93">
        <v>12.549743972538471</v>
      </c>
      <c r="BB45" s="93">
        <f t="shared" si="19"/>
        <v>21.79901911942385</v>
      </c>
      <c r="BC45" s="93"/>
      <c r="BD45" s="39">
        <f t="shared" si="20"/>
        <v>2.5532327548231981</v>
      </c>
      <c r="BE45" s="93">
        <v>6.2009149306433597</v>
      </c>
      <c r="BF45" s="93">
        <v>-0.93789945412547293</v>
      </c>
      <c r="BG45" s="93">
        <v>1.7781008484106056</v>
      </c>
      <c r="BH45" s="93">
        <f t="shared" si="21"/>
        <v>0.84020139428513263</v>
      </c>
      <c r="BJ45" s="39">
        <f t="shared" si="22"/>
        <v>2.603317774412961</v>
      </c>
      <c r="BK45" s="93">
        <v>21.307415275332314</v>
      </c>
      <c r="BL45" s="93">
        <v>2.2423318572234603</v>
      </c>
      <c r="BM45" s="93">
        <v>6.2440571353848382</v>
      </c>
      <c r="BN45" s="93">
        <f t="shared" si="23"/>
        <v>8.4863889926082976</v>
      </c>
      <c r="BO45" s="106"/>
      <c r="BP45" s="39">
        <f t="shared" si="24"/>
        <v>2.7742686070164835</v>
      </c>
      <c r="BQ45" s="93">
        <v>14.384598949118512</v>
      </c>
      <c r="BR45" s="93">
        <v>7.9448427437873912</v>
      </c>
      <c r="BS45" s="93">
        <v>4.5275859887430272</v>
      </c>
      <c r="BT45" s="93">
        <f t="shared" si="25"/>
        <v>12.472428732530418</v>
      </c>
      <c r="BU45" s="90">
        <f t="shared" si="26"/>
        <v>0</v>
      </c>
      <c r="BV45" s="39">
        <f t="shared" si="27"/>
        <v>2.6192743149682007</v>
      </c>
      <c r="BW45" s="11">
        <v>2.9857552680997586</v>
      </c>
      <c r="BX45" s="93">
        <v>0.29752966440157663</v>
      </c>
      <c r="BY45" s="93">
        <v>0.88097251477732141</v>
      </c>
      <c r="BZ45" s="93">
        <f t="shared" si="28"/>
        <v>1.1785021791788981</v>
      </c>
      <c r="CA45" s="93"/>
      <c r="CB45" s="39">
        <f t="shared" si="29"/>
        <v>2.6102783759339943</v>
      </c>
      <c r="CC45" s="93">
        <v>1.0704246420939711</v>
      </c>
      <c r="CD45" s="93">
        <v>-0.11337152429818138</v>
      </c>
      <c r="CE45" s="93">
        <v>0.31462314152439591</v>
      </c>
      <c r="CF45" s="93">
        <f t="shared" si="30"/>
        <v>0.20125161722621454</v>
      </c>
      <c r="CH45" s="39">
        <f t="shared" si="31"/>
        <v>2.6315936742941082</v>
      </c>
      <c r="CI45" s="93">
        <v>1.5955005485136557</v>
      </c>
      <c r="CJ45" s="93">
        <v>0.30848080422027463</v>
      </c>
      <c r="CK45" s="93">
        <v>0.47324789856842298</v>
      </c>
      <c r="CL45" s="93">
        <f t="shared" si="32"/>
        <v>0.78172870278869766</v>
      </c>
      <c r="CM45" s="106"/>
      <c r="CN45" s="39">
        <f t="shared" si="33"/>
        <v>2.5878378150158365</v>
      </c>
      <c r="CO45" s="93">
        <v>0.31983007749213199</v>
      </c>
      <c r="CP45" s="93">
        <v>0.10242038447948336</v>
      </c>
      <c r="CQ45" s="93">
        <v>9.3101474684502514E-2</v>
      </c>
      <c r="CR45" s="93">
        <f t="shared" si="34"/>
        <v>0.19552185916398587</v>
      </c>
      <c r="CS45" s="90">
        <f t="shared" si="35"/>
        <v>0</v>
      </c>
      <c r="CT45" s="39">
        <f t="shared" si="36"/>
        <v>2.9205088963651926</v>
      </c>
      <c r="CU45" s="11">
        <v>21.593479916521417</v>
      </c>
      <c r="CV45" s="93">
        <v>-1.6460882733784852</v>
      </c>
      <c r="CW45" s="93">
        <v>7.2031646819468875</v>
      </c>
      <c r="CX45" s="93">
        <f t="shared" si="37"/>
        <v>5.5570764085684026</v>
      </c>
      <c r="CY45" s="93"/>
      <c r="CZ45" s="39">
        <f t="shared" si="38"/>
        <v>2.8981993026460096</v>
      </c>
      <c r="DA45" s="93">
        <v>9.979789230094724</v>
      </c>
      <c r="DB45" s="93">
        <v>-3.3940013699621523</v>
      </c>
      <c r="DC45" s="93">
        <v>3.3002426276975489</v>
      </c>
      <c r="DD45" s="93">
        <f t="shared" si="39"/>
        <v>-9.3758742264603345E-2</v>
      </c>
      <c r="DF45" s="39">
        <f t="shared" si="40"/>
        <v>2.9264568687984216</v>
      </c>
      <c r="DG45" s="93">
        <v>10.642943619827502</v>
      </c>
      <c r="DH45" s="93">
        <v>1.1232967910031393</v>
      </c>
      <c r="DI45" s="93">
        <v>3.5584835428049475</v>
      </c>
      <c r="DJ45" s="93">
        <f t="shared" si="41"/>
        <v>4.6817803338080868</v>
      </c>
      <c r="DK45" s="106"/>
      <c r="DL45" s="39">
        <f t="shared" si="42"/>
        <v>3.0832482448727161</v>
      </c>
      <c r="DM45" s="93">
        <v>0.97074706659919119</v>
      </c>
      <c r="DN45" s="93">
        <v>0.62461630558052772</v>
      </c>
      <c r="DO45" s="93">
        <v>0.34443851144439169</v>
      </c>
      <c r="DP45" s="93">
        <f t="shared" si="43"/>
        <v>0.96905481702491936</v>
      </c>
    </row>
    <row r="46" spans="1:120" x14ac:dyDescent="0.3">
      <c r="A46" s="90">
        <f>name!B42</f>
        <v>0</v>
      </c>
      <c r="B46" s="39">
        <f t="shared" si="1"/>
        <v>2.890259729191258</v>
      </c>
      <c r="C46" s="11">
        <v>596.16075467408132</v>
      </c>
      <c r="D46" s="93">
        <v>130.76412576439193</v>
      </c>
      <c r="E46" s="93">
        <v>196.53406172763593</v>
      </c>
      <c r="F46" s="93">
        <f t="shared" si="2"/>
        <v>327.29818749202786</v>
      </c>
      <c r="G46" s="93"/>
      <c r="H46" s="39">
        <f t="shared" si="3"/>
        <v>2.6788795437322488</v>
      </c>
      <c r="I46" s="93">
        <v>75.585819538445264</v>
      </c>
      <c r="J46" s="93">
        <v>4.2136979795279563</v>
      </c>
      <c r="K46" s="93">
        <v>22.872299636804904</v>
      </c>
      <c r="L46" s="93">
        <f t="shared" si="4"/>
        <v>27.085997616332861</v>
      </c>
      <c r="N46" s="39">
        <f t="shared" si="5"/>
        <v>2.706098654684097</v>
      </c>
      <c r="O46" s="93">
        <v>212.25679919065291</v>
      </c>
      <c r="P46" s="93">
        <v>64.236584035540048</v>
      </c>
      <c r="Q46" s="93">
        <v>64.962803722137807</v>
      </c>
      <c r="R46" s="93">
        <f t="shared" si="6"/>
        <v>129.19938775767787</v>
      </c>
      <c r="S46" s="106"/>
      <c r="T46" s="39">
        <f t="shared" si="7"/>
        <v>3.0660135882804918</v>
      </c>
      <c r="U46" s="93">
        <v>308.31813594498311</v>
      </c>
      <c r="V46" s="93">
        <v>62.313843749323915</v>
      </c>
      <c r="W46" s="93">
        <v>108.69895836869323</v>
      </c>
      <c r="X46" s="93">
        <f t="shared" si="8"/>
        <v>171.01280211801713</v>
      </c>
      <c r="Y46" s="90">
        <f t="shared" si="0"/>
        <v>0</v>
      </c>
      <c r="Z46" s="39">
        <f t="shared" si="9"/>
        <v>3.0502708921622101</v>
      </c>
      <c r="AA46" s="11">
        <v>335.93921919202376</v>
      </c>
      <c r="AB46" s="93">
        <v>65.992763386883993</v>
      </c>
      <c r="AC46" s="93">
        <v>117.74334207940043</v>
      </c>
      <c r="AD46" s="93">
        <f t="shared" si="10"/>
        <v>183.73610546628441</v>
      </c>
      <c r="AE46" s="93"/>
      <c r="AF46" s="39">
        <f t="shared" si="11"/>
        <v>2.772118894951725</v>
      </c>
      <c r="AG46" s="93">
        <v>6.0163041652184992</v>
      </c>
      <c r="AH46" s="93">
        <v>1.3292953942067818</v>
      </c>
      <c r="AI46" s="93">
        <v>1.8919913793244785</v>
      </c>
      <c r="AJ46" s="93">
        <f t="shared" si="12"/>
        <v>3.2212867735312605</v>
      </c>
      <c r="AL46" s="39">
        <f t="shared" si="13"/>
        <v>2.8305616396997912</v>
      </c>
      <c r="AM46" s="93">
        <v>54.066211981632996</v>
      </c>
      <c r="AN46" s="93">
        <v>15.192793130377611</v>
      </c>
      <c r="AO46" s="93">
        <v>17.40777706255945</v>
      </c>
      <c r="AP46" s="93">
        <f t="shared" si="14"/>
        <v>32.600570192937063</v>
      </c>
      <c r="AQ46" s="106"/>
      <c r="AR46" s="39">
        <f t="shared" si="15"/>
        <v>3.0988119312854945</v>
      </c>
      <c r="AS46" s="93">
        <v>275.85670304517225</v>
      </c>
      <c r="AT46" s="93">
        <v>49.470674862299603</v>
      </c>
      <c r="AU46" s="93">
        <v>98.443573637516494</v>
      </c>
      <c r="AV46" s="93">
        <f t="shared" si="16"/>
        <v>147.9142484998161</v>
      </c>
      <c r="AW46" s="90">
        <f t="shared" si="17"/>
        <v>0</v>
      </c>
      <c r="AX46" s="39">
        <f t="shared" si="18"/>
        <v>2.6039196652279051</v>
      </c>
      <c r="AY46" s="11">
        <v>159.03458473919616</v>
      </c>
      <c r="AZ46" s="93">
        <v>40.296222391531657</v>
      </c>
      <c r="BA46" s="93">
        <v>46.616544654725452</v>
      </c>
      <c r="BB46" s="93">
        <f t="shared" si="19"/>
        <v>86.912767046257102</v>
      </c>
      <c r="BC46" s="93"/>
      <c r="BD46" s="39">
        <f t="shared" si="20"/>
        <v>2.5452433226490934</v>
      </c>
      <c r="BE46" s="93">
        <v>21.770784421414771</v>
      </c>
      <c r="BF46" s="93">
        <v>-0.58525794672168419</v>
      </c>
      <c r="BG46" s="93">
        <v>6.2209156872515399</v>
      </c>
      <c r="BH46" s="93">
        <f t="shared" si="21"/>
        <v>5.6356577405298554</v>
      </c>
      <c r="BJ46" s="39">
        <f t="shared" si="22"/>
        <v>2.5795517536157053</v>
      </c>
      <c r="BK46" s="93">
        <v>109.52927387637574</v>
      </c>
      <c r="BL46" s="93">
        <v>30.843442039124554</v>
      </c>
      <c r="BM46" s="93">
        <v>31.769430063648457</v>
      </c>
      <c r="BN46" s="93">
        <f t="shared" si="23"/>
        <v>62.612872102773011</v>
      </c>
      <c r="BO46" s="106"/>
      <c r="BP46" s="39">
        <f t="shared" si="24"/>
        <v>2.7451139967111571</v>
      </c>
      <c r="BQ46" s="93">
        <v>27.734526441405688</v>
      </c>
      <c r="BR46" s="93">
        <v>10.038038299128784</v>
      </c>
      <c r="BS46" s="93">
        <v>8.6261989038254558</v>
      </c>
      <c r="BT46" s="93">
        <f t="shared" si="25"/>
        <v>18.66423720295424</v>
      </c>
      <c r="BU46" s="90">
        <f t="shared" si="26"/>
        <v>0</v>
      </c>
      <c r="BV46" s="39">
        <f t="shared" si="27"/>
        <v>2.4641512026180035</v>
      </c>
      <c r="BW46" s="11">
        <v>12.81458334002725</v>
      </c>
      <c r="BX46" s="93">
        <v>4.3895704257866655</v>
      </c>
      <c r="BY46" s="93">
        <v>3.5318857518426356</v>
      </c>
      <c r="BZ46" s="93">
        <f t="shared" si="28"/>
        <v>7.9214561776293007</v>
      </c>
      <c r="CA46" s="93"/>
      <c r="CB46" s="39">
        <f t="shared" si="29"/>
        <v>2.3360812858931101</v>
      </c>
      <c r="CC46" s="93">
        <v>6.0632147564116732</v>
      </c>
      <c r="CD46" s="93">
        <v>2.5684165487773454</v>
      </c>
      <c r="CE46" s="93">
        <v>1.5749808838887966</v>
      </c>
      <c r="CF46" s="93">
        <f t="shared" si="30"/>
        <v>4.1433974326661422</v>
      </c>
      <c r="CH46" s="39">
        <f t="shared" si="31"/>
        <v>2.5656844346393592</v>
      </c>
      <c r="CI46" s="93">
        <v>5.7160556182605653</v>
      </c>
      <c r="CJ46" s="93">
        <v>1.556033629424588</v>
      </c>
      <c r="CK46" s="93">
        <v>1.6480035734914502</v>
      </c>
      <c r="CL46" s="93">
        <f t="shared" si="32"/>
        <v>3.2040372029160382</v>
      </c>
      <c r="CM46" s="106"/>
      <c r="CN46" s="39">
        <f t="shared" si="33"/>
        <v>2.645445634877297</v>
      </c>
      <c r="CO46" s="93">
        <v>1.0353129653550115</v>
      </c>
      <c r="CP46" s="93">
        <v>0.26512024758473196</v>
      </c>
      <c r="CQ46" s="93">
        <v>0.30890129446238906</v>
      </c>
      <c r="CR46" s="93">
        <f t="shared" si="34"/>
        <v>0.57402154204712108</v>
      </c>
      <c r="CS46" s="90">
        <f t="shared" si="35"/>
        <v>0</v>
      </c>
      <c r="CT46" s="39">
        <f t="shared" si="36"/>
        <v>2.8471774384655868</v>
      </c>
      <c r="CU46" s="11">
        <v>88.372367402834058</v>
      </c>
      <c r="CV46" s="93">
        <v>20.085569560189615</v>
      </c>
      <c r="CW46" s="93">
        <v>28.642289241667434</v>
      </c>
      <c r="CX46" s="93">
        <f t="shared" si="37"/>
        <v>48.727858801857053</v>
      </c>
      <c r="CY46" s="93"/>
      <c r="CZ46" s="39">
        <f t="shared" si="38"/>
        <v>2.7832667945406842</v>
      </c>
      <c r="DA46" s="93">
        <v>41.735516195400322</v>
      </c>
      <c r="DB46" s="93">
        <v>0.90124398326551358</v>
      </c>
      <c r="DC46" s="93">
        <v>13.184411686340088</v>
      </c>
      <c r="DD46" s="93">
        <f t="shared" si="39"/>
        <v>14.085655669605602</v>
      </c>
      <c r="DF46" s="39">
        <f t="shared" si="40"/>
        <v>2.8866540918025541</v>
      </c>
      <c r="DG46" s="93">
        <v>42.945257714383601</v>
      </c>
      <c r="DH46" s="93">
        <v>16.644315236613298</v>
      </c>
      <c r="DI46" s="93">
        <v>14.137593022438447</v>
      </c>
      <c r="DJ46" s="93">
        <f t="shared" si="41"/>
        <v>30.781908259051747</v>
      </c>
      <c r="DK46" s="106"/>
      <c r="DL46" s="39">
        <f t="shared" si="42"/>
        <v>3.1047472891351457</v>
      </c>
      <c r="DM46" s="93">
        <v>3.6915934930501404</v>
      </c>
      <c r="DN46" s="93">
        <v>2.5400103403108023</v>
      </c>
      <c r="DO46" s="93">
        <v>1.320284532888897</v>
      </c>
      <c r="DP46" s="93">
        <f t="shared" si="43"/>
        <v>3.8602948731996993</v>
      </c>
    </row>
    <row r="47" spans="1:120" x14ac:dyDescent="0.3">
      <c r="A47" s="90">
        <f>name!B43</f>
        <v>0</v>
      </c>
      <c r="B47" s="39">
        <f t="shared" si="1"/>
        <v>2.865344899385458</v>
      </c>
      <c r="C47" s="11">
        <v>40.376210097149027</v>
      </c>
      <c r="D47" s="93">
        <v>12.806927196821107</v>
      </c>
      <c r="E47" s="93">
        <v>13.180811533634204</v>
      </c>
      <c r="F47" s="93">
        <f t="shared" si="2"/>
        <v>25.987738730455312</v>
      </c>
      <c r="G47" s="93"/>
      <c r="H47" s="39">
        <f t="shared" si="3"/>
        <v>2.7751718770929079</v>
      </c>
      <c r="I47" s="93">
        <v>9.3187758939343261</v>
      </c>
      <c r="J47" s="93">
        <v>1.4740755938305261</v>
      </c>
      <c r="K47" s="93">
        <v>2.934183240230555</v>
      </c>
      <c r="L47" s="93">
        <f t="shared" si="4"/>
        <v>4.4082588340610815</v>
      </c>
      <c r="N47" s="39">
        <f t="shared" si="5"/>
        <v>2.8011029016640654</v>
      </c>
      <c r="O47" s="93">
        <v>15.51970188832003</v>
      </c>
      <c r="P47" s="93">
        <v>4.6916947620293463</v>
      </c>
      <c r="Q47" s="93">
        <v>4.9382011045192602</v>
      </c>
      <c r="R47" s="93">
        <f t="shared" si="6"/>
        <v>9.6298958665486065</v>
      </c>
      <c r="S47" s="106"/>
      <c r="T47" s="39">
        <f t="shared" si="7"/>
        <v>2.9825975993459597</v>
      </c>
      <c r="U47" s="93">
        <v>15.537732314894669</v>
      </c>
      <c r="V47" s="93">
        <v>6.6411568409612336</v>
      </c>
      <c r="W47" s="93">
        <v>5.3084271888843881</v>
      </c>
      <c r="X47" s="93">
        <f t="shared" si="8"/>
        <v>11.949584029845621</v>
      </c>
      <c r="Y47" s="90">
        <f t="shared" si="0"/>
        <v>0</v>
      </c>
      <c r="Z47" s="39">
        <f t="shared" si="9"/>
        <v>3.0248158548996429</v>
      </c>
      <c r="AA47" s="11">
        <v>21.444049548280258</v>
      </c>
      <c r="AB47" s="93">
        <v>6.4637391240695505</v>
      </c>
      <c r="AC47" s="93">
        <v>7.4444690278107304</v>
      </c>
      <c r="AD47" s="93">
        <f t="shared" si="10"/>
        <v>13.908208151880281</v>
      </c>
      <c r="AE47" s="93"/>
      <c r="AF47" s="39">
        <f t="shared" si="11"/>
        <v>3.0872958603731293</v>
      </c>
      <c r="AG47" s="93">
        <v>2.7651222683057175</v>
      </c>
      <c r="AH47" s="93">
        <v>0.53339249467469196</v>
      </c>
      <c r="AI47" s="93">
        <v>0.98258633136794948</v>
      </c>
      <c r="AJ47" s="93">
        <f t="shared" si="12"/>
        <v>1.5159788260426414</v>
      </c>
      <c r="AL47" s="39">
        <f t="shared" si="13"/>
        <v>2.9781314195511888</v>
      </c>
      <c r="AM47" s="93">
        <v>6.7043000761876437</v>
      </c>
      <c r="AN47" s="93">
        <v>0.72118551121563768</v>
      </c>
      <c r="AO47" s="93">
        <v>2.286607135241129</v>
      </c>
      <c r="AP47" s="93">
        <f t="shared" si="14"/>
        <v>3.0077926464567666</v>
      </c>
      <c r="AQ47" s="106"/>
      <c r="AR47" s="39">
        <f t="shared" si="15"/>
        <v>3.0364271872712179</v>
      </c>
      <c r="AS47" s="93">
        <v>11.974627203786897</v>
      </c>
      <c r="AT47" s="93">
        <v>5.209161118179221</v>
      </c>
      <c r="AU47" s="93">
        <v>4.1752755612016514</v>
      </c>
      <c r="AV47" s="93">
        <f t="shared" si="16"/>
        <v>9.3844366793808724</v>
      </c>
      <c r="AW47" s="90">
        <f t="shared" si="17"/>
        <v>0</v>
      </c>
      <c r="AX47" s="39">
        <f t="shared" si="18"/>
        <v>2.6056938584245515</v>
      </c>
      <c r="AY47" s="11">
        <v>11.013605155901349</v>
      </c>
      <c r="AZ47" s="93">
        <v>1.0299128541872438</v>
      </c>
      <c r="BA47" s="93">
        <v>3.2307934614555975</v>
      </c>
      <c r="BB47" s="93">
        <f t="shared" si="19"/>
        <v>4.2607063156428415</v>
      </c>
      <c r="BC47" s="93"/>
      <c r="BD47" s="39">
        <f t="shared" si="20"/>
        <v>2.5171144014275004</v>
      </c>
      <c r="BE47" s="93">
        <v>2.5657167308459536</v>
      </c>
      <c r="BF47" s="93">
        <v>-2.0249829680665472E-2</v>
      </c>
      <c r="BG47" s="93">
        <v>0.72410556877585575</v>
      </c>
      <c r="BH47" s="93">
        <f t="shared" si="21"/>
        <v>0.70385573909519028</v>
      </c>
      <c r="BJ47" s="39">
        <f t="shared" si="22"/>
        <v>2.564691401725705</v>
      </c>
      <c r="BK47" s="93">
        <v>5.4392446032435906</v>
      </c>
      <c r="BL47" s="93">
        <v>0.51504624411421973</v>
      </c>
      <c r="BM47" s="93">
        <v>1.5675173974350798</v>
      </c>
      <c r="BN47" s="93">
        <f t="shared" si="23"/>
        <v>2.0825636415492994</v>
      </c>
      <c r="BO47" s="106"/>
      <c r="BP47" s="39">
        <f t="shared" si="24"/>
        <v>2.7539661724697684</v>
      </c>
      <c r="BQ47" s="93">
        <v>3.0086438218118041</v>
      </c>
      <c r="BR47" s="93">
        <v>0.53511643975368939</v>
      </c>
      <c r="BS47" s="93">
        <v>0.93917049524466201</v>
      </c>
      <c r="BT47" s="93">
        <f t="shared" si="25"/>
        <v>1.4742869349983514</v>
      </c>
      <c r="BU47" s="90">
        <f t="shared" si="26"/>
        <v>0</v>
      </c>
      <c r="BV47" s="39">
        <f t="shared" si="27"/>
        <v>2.7769349895925721</v>
      </c>
      <c r="BW47" s="11">
        <v>2.8680773838859954</v>
      </c>
      <c r="BX47" s="93">
        <v>1.8124842888357913</v>
      </c>
      <c r="BY47" s="93">
        <v>0.90371244599220335</v>
      </c>
      <c r="BZ47" s="93">
        <f t="shared" si="28"/>
        <v>2.7161967348279945</v>
      </c>
      <c r="CA47" s="93"/>
      <c r="CB47" s="39">
        <f t="shared" si="29"/>
        <v>2.6526063565382341</v>
      </c>
      <c r="CC47" s="93">
        <v>1.133194068533085</v>
      </c>
      <c r="CD47" s="93">
        <v>0.1263303128615518</v>
      </c>
      <c r="CE47" s="93">
        <v>0.33913232926021469</v>
      </c>
      <c r="CF47" s="93">
        <f t="shared" si="30"/>
        <v>0.46546264212176647</v>
      </c>
      <c r="CH47" s="39">
        <f t="shared" si="31"/>
        <v>2.7982733108218305</v>
      </c>
      <c r="CI47" s="93">
        <v>1.5036570788687731</v>
      </c>
      <c r="CJ47" s="93">
        <v>1.358746094911804</v>
      </c>
      <c r="CK47" s="93">
        <v>0.47790189710881065</v>
      </c>
      <c r="CL47" s="93">
        <f t="shared" si="32"/>
        <v>1.8366479920206147</v>
      </c>
      <c r="CM47" s="106"/>
      <c r="CN47" s="39">
        <f t="shared" si="33"/>
        <v>3.2347595318199085</v>
      </c>
      <c r="CO47" s="93">
        <v>0.23122623648413734</v>
      </c>
      <c r="CP47" s="93">
        <v>0.32740788106243529</v>
      </c>
      <c r="CQ47" s="93">
        <v>8.6678219623177913E-2</v>
      </c>
      <c r="CR47" s="93">
        <f t="shared" si="34"/>
        <v>0.41408610068561319</v>
      </c>
      <c r="CS47" s="90">
        <f t="shared" si="35"/>
        <v>0</v>
      </c>
      <c r="CT47" s="39">
        <f t="shared" si="36"/>
        <v>2.7931156217943398</v>
      </c>
      <c r="CU47" s="11">
        <v>5.0504780090814236</v>
      </c>
      <c r="CV47" s="93">
        <v>3.5007909297285211</v>
      </c>
      <c r="CW47" s="93">
        <v>1.6018365983756719</v>
      </c>
      <c r="CX47" s="93">
        <f t="shared" si="37"/>
        <v>5.1026275281041933</v>
      </c>
      <c r="CY47" s="93"/>
      <c r="CZ47" s="39">
        <f t="shared" si="38"/>
        <v>2.74636478298389</v>
      </c>
      <c r="DA47" s="93">
        <v>2.8547428262495687</v>
      </c>
      <c r="DB47" s="93">
        <v>0.83460261597494789</v>
      </c>
      <c r="DC47" s="93">
        <v>0.88835901082653501</v>
      </c>
      <c r="DD47" s="93">
        <f t="shared" si="39"/>
        <v>1.7229616268014829</v>
      </c>
      <c r="DF47" s="39">
        <f t="shared" si="40"/>
        <v>2.8441917872239486</v>
      </c>
      <c r="DG47" s="93">
        <v>1.8725001300200237</v>
      </c>
      <c r="DH47" s="93">
        <v>2.0967169117876856</v>
      </c>
      <c r="DI47" s="93">
        <v>0.60617467473424025</v>
      </c>
      <c r="DJ47" s="93">
        <f t="shared" si="41"/>
        <v>2.7028915865219258</v>
      </c>
      <c r="DK47" s="106"/>
      <c r="DL47" s="39">
        <f t="shared" si="42"/>
        <v>2.9080384999745856</v>
      </c>
      <c r="DM47" s="93">
        <v>0.32323505281183162</v>
      </c>
      <c r="DN47" s="93">
        <v>0.5694714019658873</v>
      </c>
      <c r="DO47" s="93">
        <v>0.10730291281489671</v>
      </c>
      <c r="DP47" s="93">
        <f t="shared" si="43"/>
        <v>0.67677431478078398</v>
      </c>
    </row>
    <row r="48" spans="1:120" x14ac:dyDescent="0.3">
      <c r="A48" s="90">
        <f>name!B44</f>
        <v>0</v>
      </c>
      <c r="B48" s="39">
        <f t="shared" si="1"/>
        <v>2.8169915417421754</v>
      </c>
      <c r="C48" s="11">
        <v>158.75130574877755</v>
      </c>
      <c r="D48" s="93">
        <v>31.053175488358242</v>
      </c>
      <c r="E48" s="93">
        <v>50.836604439456309</v>
      </c>
      <c r="F48" s="93">
        <f t="shared" si="2"/>
        <v>81.889779927814544</v>
      </c>
      <c r="G48" s="93"/>
      <c r="H48" s="39">
        <f t="shared" si="3"/>
        <v>2.7131406842493488</v>
      </c>
      <c r="I48" s="93">
        <v>37.269430586923946</v>
      </c>
      <c r="J48" s="93">
        <v>2.0080357660646397</v>
      </c>
      <c r="K48" s="93">
        <v>11.439976930786587</v>
      </c>
      <c r="L48" s="93">
        <f t="shared" si="4"/>
        <v>13.448012696851226</v>
      </c>
      <c r="N48" s="39">
        <f t="shared" si="5"/>
        <v>2.6835187325179533</v>
      </c>
      <c r="O48" s="93">
        <v>64.168727676686729</v>
      </c>
      <c r="P48" s="93">
        <v>9.648746828409589</v>
      </c>
      <c r="Q48" s="93">
        <v>19.45525621806194</v>
      </c>
      <c r="R48" s="93">
        <f t="shared" si="6"/>
        <v>29.104003046471529</v>
      </c>
      <c r="S48" s="106"/>
      <c r="T48" s="39">
        <f t="shared" si="7"/>
        <v>3.0307741956072665</v>
      </c>
      <c r="U48" s="93">
        <v>57.313147485166859</v>
      </c>
      <c r="V48" s="93">
        <v>19.396392893884016</v>
      </c>
      <c r="W48" s="93">
        <v>19.941371290607766</v>
      </c>
      <c r="X48" s="93">
        <f t="shared" si="8"/>
        <v>39.337764184491782</v>
      </c>
      <c r="Y48" s="90">
        <f t="shared" si="0"/>
        <v>0</v>
      </c>
      <c r="Z48" s="39">
        <f t="shared" si="9"/>
        <v>3.0844034831169376</v>
      </c>
      <c r="AA48" s="11">
        <v>54.043501876163091</v>
      </c>
      <c r="AB48" s="93">
        <v>16.838248878570081</v>
      </c>
      <c r="AC48" s="93">
        <v>19.18381203425853</v>
      </c>
      <c r="AD48" s="93">
        <f t="shared" si="10"/>
        <v>36.022060912828607</v>
      </c>
      <c r="AE48" s="93"/>
      <c r="AF48" s="39">
        <f t="shared" si="11"/>
        <v>3.0687126992563263</v>
      </c>
      <c r="AG48" s="93">
        <v>2.872339077635929</v>
      </c>
      <c r="AH48" s="93">
        <v>0.88105911598627318</v>
      </c>
      <c r="AI48" s="93">
        <v>1.0136737094918047</v>
      </c>
      <c r="AJ48" s="93">
        <f t="shared" si="12"/>
        <v>1.8947328254780778</v>
      </c>
      <c r="AL48" s="39">
        <f t="shared" si="13"/>
        <v>2.9854531104971826</v>
      </c>
      <c r="AM48" s="93">
        <v>8.4616752757594771</v>
      </c>
      <c r="AN48" s="93">
        <v>0.5129240985808613</v>
      </c>
      <c r="AO48" s="93">
        <v>2.8940583365838495</v>
      </c>
      <c r="AP48" s="93">
        <f t="shared" si="14"/>
        <v>3.4069824351647107</v>
      </c>
      <c r="AQ48" s="106"/>
      <c r="AR48" s="39">
        <f t="shared" si="15"/>
        <v>3.1049593059016889</v>
      </c>
      <c r="AS48" s="93">
        <v>42.709487522767688</v>
      </c>
      <c r="AT48" s="93">
        <v>15.444265664002945</v>
      </c>
      <c r="AU48" s="93">
        <v>15.276079988182877</v>
      </c>
      <c r="AV48" s="93">
        <f t="shared" si="16"/>
        <v>30.72034565218582</v>
      </c>
      <c r="AW48" s="90">
        <f t="shared" si="17"/>
        <v>0</v>
      </c>
      <c r="AX48" s="39">
        <f t="shared" si="18"/>
        <v>2.6049805214462873</v>
      </c>
      <c r="AY48" s="11">
        <v>67.279720597550053</v>
      </c>
      <c r="AZ48" s="93">
        <v>-1.7061260839949342</v>
      </c>
      <c r="BA48" s="93">
        <v>19.73016584504331</v>
      </c>
      <c r="BB48" s="93">
        <f t="shared" si="19"/>
        <v>18.024039761048375</v>
      </c>
      <c r="BC48" s="93"/>
      <c r="BD48" s="39">
        <f t="shared" si="20"/>
        <v>2.5409532368865007</v>
      </c>
      <c r="BE48" s="93">
        <v>14.926976334729311</v>
      </c>
      <c r="BF48" s="93">
        <v>-1.3830273865244627</v>
      </c>
      <c r="BG48" s="93">
        <v>4.2572967639145958</v>
      </c>
      <c r="BH48" s="93">
        <f t="shared" si="21"/>
        <v>2.8742693773901333</v>
      </c>
      <c r="BJ48" s="39">
        <f t="shared" si="22"/>
        <v>2.5796718808031471</v>
      </c>
      <c r="BK48" s="93">
        <v>40.385319730226364</v>
      </c>
      <c r="BL48" s="93">
        <v>-0.75084702548436888</v>
      </c>
      <c r="BM48" s="93">
        <v>11.714543255967428</v>
      </c>
      <c r="BN48" s="93">
        <f t="shared" si="23"/>
        <v>10.963696230483059</v>
      </c>
      <c r="BO48" s="106"/>
      <c r="BP48" s="39">
        <f t="shared" si="24"/>
        <v>2.7687485385664345</v>
      </c>
      <c r="BQ48" s="93">
        <v>11.967424532594377</v>
      </c>
      <c r="BR48" s="93">
        <v>0.42774832801389723</v>
      </c>
      <c r="BS48" s="93">
        <v>3.7583258251612852</v>
      </c>
      <c r="BT48" s="93">
        <f t="shared" si="25"/>
        <v>4.1860741531751824</v>
      </c>
      <c r="BU48" s="90">
        <f t="shared" si="26"/>
        <v>0</v>
      </c>
      <c r="BV48" s="39">
        <f t="shared" si="27"/>
        <v>2.518201489640326</v>
      </c>
      <c r="BW48" s="11">
        <v>11.027664527945932</v>
      </c>
      <c r="BX48" s="93">
        <v>1.3879359269084375</v>
      </c>
      <c r="BY48" s="93">
        <v>3.1137656010156576</v>
      </c>
      <c r="BZ48" s="93">
        <f t="shared" si="28"/>
        <v>4.5017015279240953</v>
      </c>
      <c r="CA48" s="93"/>
      <c r="CB48" s="39">
        <f t="shared" si="29"/>
        <v>2.4600010102901804</v>
      </c>
      <c r="CC48" s="93">
        <v>4.6043551889988352</v>
      </c>
      <c r="CD48" s="93">
        <v>-9.4762721156135488E-2</v>
      </c>
      <c r="CE48" s="93">
        <v>1.2666488182504458</v>
      </c>
      <c r="CF48" s="93">
        <f t="shared" si="30"/>
        <v>1.1718860970943104</v>
      </c>
      <c r="CH48" s="39">
        <f t="shared" si="31"/>
        <v>2.5135092689739569</v>
      </c>
      <c r="CI48" s="93">
        <v>5.3897928205850842</v>
      </c>
      <c r="CJ48" s="93">
        <v>0.93986804735963958</v>
      </c>
      <c r="CK48" s="93">
        <v>1.5186963016257615</v>
      </c>
      <c r="CL48" s="93">
        <f t="shared" si="32"/>
        <v>2.458564348985401</v>
      </c>
      <c r="CM48" s="106"/>
      <c r="CN48" s="39">
        <f t="shared" si="33"/>
        <v>2.7978329732376128</v>
      </c>
      <c r="CO48" s="93">
        <v>1.0335165183620134</v>
      </c>
      <c r="CP48" s="93">
        <v>0.5428306007049335</v>
      </c>
      <c r="CQ48" s="93">
        <v>0.32842048113944977</v>
      </c>
      <c r="CR48" s="93">
        <f t="shared" si="34"/>
        <v>0.87125108184438327</v>
      </c>
      <c r="CS48" s="90">
        <f t="shared" si="35"/>
        <v>0</v>
      </c>
      <c r="CT48" s="39">
        <f t="shared" si="36"/>
        <v>2.9211505487475975</v>
      </c>
      <c r="CU48" s="11">
        <v>26.400418747118454</v>
      </c>
      <c r="CV48" s="93">
        <v>14.533116766874658</v>
      </c>
      <c r="CW48" s="93">
        <v>8.8088609591388032</v>
      </c>
      <c r="CX48" s="93">
        <f t="shared" si="37"/>
        <v>23.341977726013461</v>
      </c>
      <c r="CY48" s="93"/>
      <c r="CZ48" s="39">
        <f t="shared" si="38"/>
        <v>2.8911023071172881</v>
      </c>
      <c r="DA48" s="93">
        <v>14.865759985559873</v>
      </c>
      <c r="DB48" s="93">
        <v>2.6047667577589646</v>
      </c>
      <c r="DC48" s="93">
        <v>4.9023576391297414</v>
      </c>
      <c r="DD48" s="93">
        <f t="shared" si="39"/>
        <v>7.507124396888706</v>
      </c>
      <c r="DF48" s="39">
        <f t="shared" si="40"/>
        <v>2.9320472834624356</v>
      </c>
      <c r="DG48" s="93">
        <v>9.9319398501158016</v>
      </c>
      <c r="DH48" s="93">
        <v>8.9468017079534565</v>
      </c>
      <c r="DI48" s="93">
        <v>3.3279583238849022</v>
      </c>
      <c r="DJ48" s="93">
        <f t="shared" si="41"/>
        <v>12.274760031838358</v>
      </c>
      <c r="DK48" s="106"/>
      <c r="DL48" s="39">
        <f t="shared" si="42"/>
        <v>3.1300160142738953</v>
      </c>
      <c r="DM48" s="93">
        <v>1.6027189114427818</v>
      </c>
      <c r="DN48" s="93">
        <v>2.981548301162237</v>
      </c>
      <c r="DO48" s="93">
        <v>0.57854499612415899</v>
      </c>
      <c r="DP48" s="93">
        <f t="shared" si="43"/>
        <v>3.5600932972863961</v>
      </c>
    </row>
    <row r="49" spans="1:120" x14ac:dyDescent="0.3">
      <c r="B49" s="39"/>
      <c r="C49" s="93"/>
      <c r="D49" s="93"/>
      <c r="E49" s="93"/>
      <c r="F49" s="93"/>
      <c r="G49" s="93"/>
      <c r="H49" s="39"/>
      <c r="I49" s="93"/>
      <c r="J49" s="93"/>
      <c r="K49" s="93"/>
      <c r="L49" s="93"/>
      <c r="N49" s="39"/>
      <c r="O49" s="93"/>
      <c r="P49" s="93"/>
      <c r="Q49" s="93"/>
      <c r="R49" s="93"/>
      <c r="S49" s="106"/>
      <c r="T49" s="39"/>
      <c r="U49" s="93"/>
      <c r="V49" s="93"/>
      <c r="W49" s="93"/>
      <c r="X49" s="93"/>
      <c r="Z49" s="39"/>
      <c r="AA49" s="93"/>
      <c r="AB49" s="93"/>
      <c r="AC49" s="93"/>
      <c r="AD49" s="93"/>
      <c r="AE49" s="93"/>
      <c r="AF49" s="39"/>
      <c r="AG49" s="93"/>
      <c r="AH49" s="93"/>
      <c r="AI49" s="93"/>
      <c r="AJ49" s="93"/>
      <c r="AL49" s="39"/>
      <c r="AM49" s="93"/>
      <c r="AN49" s="93"/>
      <c r="AO49" s="93"/>
      <c r="AP49" s="93"/>
      <c r="AQ49" s="106"/>
      <c r="AR49" s="39"/>
      <c r="AS49" s="93"/>
      <c r="AT49" s="93"/>
      <c r="AU49" s="93"/>
      <c r="AV49" s="93"/>
      <c r="AX49" s="39"/>
      <c r="AY49" s="93"/>
      <c r="AZ49" s="93"/>
      <c r="BA49" s="93"/>
      <c r="BB49" s="93"/>
      <c r="BC49" s="93"/>
      <c r="BD49" s="39"/>
      <c r="BE49" s="93"/>
      <c r="BF49" s="93"/>
      <c r="BG49" s="93"/>
      <c r="BH49" s="93"/>
      <c r="BJ49" s="39"/>
      <c r="BK49" s="93"/>
      <c r="BL49" s="93"/>
      <c r="BM49" s="93"/>
      <c r="BN49" s="93"/>
      <c r="BO49" s="106"/>
      <c r="BP49" s="39"/>
      <c r="BQ49" s="93"/>
      <c r="BR49" s="93"/>
      <c r="BS49" s="93"/>
      <c r="BT49" s="93"/>
      <c r="BV49" s="39"/>
      <c r="BW49" s="93"/>
      <c r="BX49" s="93"/>
      <c r="BY49" s="93"/>
      <c r="BZ49" s="93"/>
      <c r="CA49" s="93"/>
      <c r="CB49" s="39"/>
      <c r="CC49" s="93"/>
      <c r="CD49" s="93"/>
      <c r="CE49" s="93"/>
      <c r="CF49" s="93"/>
      <c r="CH49" s="39"/>
      <c r="CI49" s="93"/>
      <c r="CJ49" s="93"/>
      <c r="CK49" s="93"/>
      <c r="CL49" s="93"/>
      <c r="CM49" s="106"/>
      <c r="CN49" s="39"/>
      <c r="CO49" s="93"/>
      <c r="CP49" s="93"/>
      <c r="CQ49" s="93"/>
      <c r="CR49" s="93"/>
      <c r="CT49" s="39"/>
      <c r="CU49" s="93"/>
      <c r="CV49" s="93"/>
      <c r="CW49" s="93"/>
      <c r="CX49" s="93"/>
      <c r="CY49" s="93"/>
      <c r="CZ49" s="39"/>
      <c r="DA49" s="93"/>
      <c r="DB49" s="93"/>
      <c r="DC49" s="93"/>
      <c r="DD49" s="93"/>
      <c r="DF49" s="39"/>
      <c r="DG49" s="93"/>
      <c r="DH49" s="93"/>
      <c r="DI49" s="93"/>
      <c r="DJ49" s="93"/>
      <c r="DK49" s="106"/>
      <c r="DL49" s="39"/>
      <c r="DM49" s="93"/>
      <c r="DN49" s="93"/>
      <c r="DO49" s="93"/>
      <c r="DP49" s="93"/>
    </row>
    <row r="50" spans="1:120" x14ac:dyDescent="0.3">
      <c r="A50" s="91" t="str">
        <f>name!B3</f>
        <v>All industries</v>
      </c>
      <c r="B50" s="42">
        <f t="shared" si="1"/>
        <v>2.7912372459239387</v>
      </c>
      <c r="C50" s="92">
        <v>4561.2992279926211</v>
      </c>
      <c r="D50" s="92">
        <v>431.97496524334053</v>
      </c>
      <c r="E50" s="92">
        <v>1445.5882710202891</v>
      </c>
      <c r="F50" s="92">
        <f t="shared" si="2"/>
        <v>1877.5632362636297</v>
      </c>
      <c r="G50" s="92"/>
      <c r="H50" s="42">
        <f t="shared" si="3"/>
        <v>2.6517730789267446</v>
      </c>
      <c r="I50" s="92">
        <v>774.77767553257945</v>
      </c>
      <c r="J50" s="92">
        <v>-90.9176985646708</v>
      </c>
      <c r="K50" s="92">
        <v>231.78692033646578</v>
      </c>
      <c r="L50" s="92">
        <f>SUM(J50:K50)</f>
        <v>140.86922177179497</v>
      </c>
      <c r="M50" s="91"/>
      <c r="N50" s="42">
        <f t="shared" si="5"/>
        <v>2.6893242464146816</v>
      </c>
      <c r="O50" s="92">
        <v>1810.6123702397726</v>
      </c>
      <c r="P50" s="92">
        <v>208.84741372398935</v>
      </c>
      <c r="Q50" s="92">
        <v>550.29225403969679</v>
      </c>
      <c r="R50" s="92">
        <f>SUM(P50:Q50)</f>
        <v>759.13966776368613</v>
      </c>
      <c r="S50" s="107"/>
      <c r="T50" s="42">
        <f t="shared" si="7"/>
        <v>2.9376202991175049</v>
      </c>
      <c r="U50" s="92">
        <v>1975.9091822202711</v>
      </c>
      <c r="V50" s="92">
        <v>314.04525008402186</v>
      </c>
      <c r="W50" s="92">
        <v>663.50909664412427</v>
      </c>
      <c r="X50" s="92">
        <f>SUM(V50:W50)</f>
        <v>977.55434672814613</v>
      </c>
      <c r="Y50" s="91" t="str">
        <f>A50</f>
        <v>All industries</v>
      </c>
      <c r="Z50" s="42">
        <f>IF(AA50&gt;0,((1+(AC50/AA50))^(1/($A$101-$A$100))-1)*100,0)</f>
        <v>2.9771972098236787</v>
      </c>
      <c r="AA50" s="92">
        <v>2141.7348734083043</v>
      </c>
      <c r="AB50" s="92">
        <v>328.18012130131888</v>
      </c>
      <c r="AC50" s="92">
        <v>730.21185757939747</v>
      </c>
      <c r="AD50" s="92">
        <f>SUM(AB50:AC50)</f>
        <v>1058.3919788807164</v>
      </c>
      <c r="AE50" s="92"/>
      <c r="AF50" s="42">
        <f>IF(AG50&gt;0,((1+(AI50/AG50))^(1/($A$101-$A$100))-1)*100,0)</f>
        <v>3.0280155732974823</v>
      </c>
      <c r="AG50" s="92">
        <v>114.36183531349347</v>
      </c>
      <c r="AH50" s="92">
        <v>10.806009020856356</v>
      </c>
      <c r="AI50" s="92">
        <v>39.749458273691218</v>
      </c>
      <c r="AJ50" s="92">
        <f>SUM(AH50:AI50)</f>
        <v>50.555467294547576</v>
      </c>
      <c r="AK50" s="91"/>
      <c r="AL50" s="42">
        <f>IF(AM50&gt;0,((1+(AO50/AM50))^(1/($A$101-$A$100))-1)*100,0)</f>
        <v>2.9663353480916088</v>
      </c>
      <c r="AM50" s="92">
        <v>484.03376220781502</v>
      </c>
      <c r="AN50" s="92">
        <v>80.752171418150368</v>
      </c>
      <c r="AO50" s="92">
        <v>164.34415782441963</v>
      </c>
      <c r="AP50" s="92">
        <f>SUM(AN50:AO50)</f>
        <v>245.09632924256999</v>
      </c>
      <c r="AQ50" s="107"/>
      <c r="AR50" s="42">
        <f>IF(AS50&gt;0,((1+(AU50/AS50))^(1/($A$101-$A$100))-1)*100,0)</f>
        <v>2.9768281396108875</v>
      </c>
      <c r="AS50" s="92">
        <v>1543.3392758869961</v>
      </c>
      <c r="AT50" s="92">
        <v>236.62194086231219</v>
      </c>
      <c r="AU50" s="92">
        <v>526.11824148128676</v>
      </c>
      <c r="AV50" s="92">
        <f>SUM(AT50:AU50)</f>
        <v>762.74018234359892</v>
      </c>
      <c r="AW50" s="91" t="str">
        <f>Y50</f>
        <v>All industries</v>
      </c>
      <c r="AX50" s="42">
        <f>IF(AY50&gt;0,((1+(BA50/AY50))^(1/($A$101-$A$100))-1)*100,0)</f>
        <v>2.5960689907792656</v>
      </c>
      <c r="AY50" s="92">
        <v>1169.4910110900296</v>
      </c>
      <c r="AZ50" s="92">
        <v>61.012733866251224</v>
      </c>
      <c r="BA50" s="92">
        <v>341.64688672572964</v>
      </c>
      <c r="BB50" s="92">
        <f>SUM(AZ50:BA50)</f>
        <v>402.65962059198085</v>
      </c>
      <c r="BC50" s="92"/>
      <c r="BD50" s="42">
        <f>IF(BE50&gt;0,((1+(BG50/BE50))^(1/($A$101-$A$100))-1)*100,0)</f>
        <v>2.5108134589674425</v>
      </c>
      <c r="BE50" s="92">
        <v>196.77997170605971</v>
      </c>
      <c r="BF50" s="92">
        <v>-19.19988351079143</v>
      </c>
      <c r="BG50" s="92">
        <v>55.380896948664599</v>
      </c>
      <c r="BH50" s="92">
        <f>SUM(BF50:BG50)</f>
        <v>36.181013437873169</v>
      </c>
      <c r="BI50" s="91"/>
      <c r="BJ50" s="42">
        <f>IF(BK50&gt;0,((1+(BM50/BK50))^(1/($A$101-$A$100))-1)*100,0)</f>
        <v>2.5531077119064882</v>
      </c>
      <c r="BK50" s="92">
        <v>650.12175377402275</v>
      </c>
      <c r="BL50" s="92">
        <v>42.192712487148434</v>
      </c>
      <c r="BM50" s="92">
        <v>186.41100647521165</v>
      </c>
      <c r="BN50" s="92">
        <f>SUM(BL50:BM50)</f>
        <v>228.60371896236009</v>
      </c>
      <c r="BO50" s="107"/>
      <c r="BP50" s="42">
        <f>IF(BQ50&gt;0,((1+(BS50/BQ50))^(1/($A$101-$A$100))-1)*100,0)</f>
        <v>2.7334678665663192</v>
      </c>
      <c r="BQ50" s="92">
        <v>322.58928560994713</v>
      </c>
      <c r="BR50" s="92">
        <v>38.019904889894228</v>
      </c>
      <c r="BS50" s="92">
        <v>99.854983301853494</v>
      </c>
      <c r="BT50" s="92">
        <f>SUM(BR50:BS50)</f>
        <v>137.87488819174771</v>
      </c>
      <c r="BU50" s="91" t="str">
        <f>AW50</f>
        <v>All industries</v>
      </c>
      <c r="BV50" s="42">
        <f>IF(BW50&gt;0,((1+(BY50/BW50))^(1/($A$101-$A$100))-1)*100,0)</f>
        <v>2.5889208699682698</v>
      </c>
      <c r="BW50" s="92">
        <v>786.26148565798121</v>
      </c>
      <c r="BX50" s="92">
        <v>-16.768227409449015</v>
      </c>
      <c r="BY50" s="92">
        <v>228.98528730973825</v>
      </c>
      <c r="BZ50" s="92">
        <f>SUM(BX50:BY50)</f>
        <v>212.21705990028923</v>
      </c>
      <c r="CA50" s="92"/>
      <c r="CB50" s="42">
        <f>IF(CC50&gt;0,((1+(CE50/CC50))^(1/($A$101-$A$100))-1)*100,0)</f>
        <v>2.5278948366694864</v>
      </c>
      <c r="CC50" s="92">
        <v>257.91842111045776</v>
      </c>
      <c r="CD50" s="92">
        <v>-52.179148361626908</v>
      </c>
      <c r="CE50" s="92">
        <v>73.138570554183204</v>
      </c>
      <c r="CF50" s="92">
        <f>SUM(CD50:CE50)</f>
        <v>20.959422192556296</v>
      </c>
      <c r="CG50" s="91"/>
      <c r="CH50" s="42">
        <f>IF(CI50&gt;0,((1+(CK50/CI50))^(1/($A$101-$A$100))-1)*100,0)</f>
        <v>2.5655949055339189</v>
      </c>
      <c r="CI50" s="92">
        <v>462.50112579230256</v>
      </c>
      <c r="CJ50" s="92">
        <v>18.263082416840735</v>
      </c>
      <c r="CK50" s="92">
        <v>133.33911166207648</v>
      </c>
      <c r="CL50" s="92">
        <f>SUM(CJ50:CK50)</f>
        <v>151.60219407891722</v>
      </c>
      <c r="CM50" s="107"/>
      <c r="CN50" s="42">
        <f>IF(CO50&gt;0,((1+(CQ50/CO50))^(1/($A$101-$A$100))-1)*100,0)</f>
        <v>2.9840981402702971</v>
      </c>
      <c r="CO50" s="92">
        <v>65.841938755220539</v>
      </c>
      <c r="CP50" s="92">
        <v>17.147838535337179</v>
      </c>
      <c r="CQ50" s="92">
        <v>22.507605093478684</v>
      </c>
      <c r="CR50" s="92">
        <f>SUM(CP50:CQ50)</f>
        <v>39.65544362881586</v>
      </c>
      <c r="CS50" s="91" t="str">
        <f>BU50</f>
        <v>All industries</v>
      </c>
      <c r="CT50" s="42">
        <f>IF(CU50&gt;0,((1+(CW50/CU50))^(1/($A$101-$A$100))-1)*100,0)</f>
        <v>2.7533233225370157</v>
      </c>
      <c r="CU50" s="92">
        <v>463.81185783630696</v>
      </c>
      <c r="CV50" s="92">
        <v>59.550337485219423</v>
      </c>
      <c r="CW50" s="92">
        <v>144.74423940542175</v>
      </c>
      <c r="CX50" s="92">
        <f>SUM(CV50:CW50)</f>
        <v>204.29457689064117</v>
      </c>
      <c r="CY50" s="92"/>
      <c r="CZ50" s="42">
        <f>IF(DA50&gt;0,((1+(DC50/DA50))^(1/($A$101-$A$100))-1)*100,0)</f>
        <v>2.7273559755584653</v>
      </c>
      <c r="DA50" s="92">
        <v>205.71744740256855</v>
      </c>
      <c r="DB50" s="92">
        <v>-30.344675713108767</v>
      </c>
      <c r="DC50" s="92">
        <v>63.517994559926827</v>
      </c>
      <c r="DD50" s="92">
        <f>SUM(DB50:DC50)</f>
        <v>33.173318846818063</v>
      </c>
      <c r="DE50" s="91"/>
      <c r="DF50" s="42">
        <f>IF(DG50&gt;0,((1+(DI50/DG50))^(1/($A$101-$A$100))-1)*100,0)</f>
        <v>2.7323553670193235</v>
      </c>
      <c r="DG50" s="92">
        <v>213.95572846563186</v>
      </c>
      <c r="DH50" s="92">
        <v>67.639447401849822</v>
      </c>
      <c r="DI50" s="92">
        <v>66.197978077989319</v>
      </c>
      <c r="DJ50" s="92">
        <f>SUM(DH50:DI50)</f>
        <v>133.83742547983914</v>
      </c>
      <c r="DK50" s="107"/>
      <c r="DL50" s="42">
        <f>IF(DM50&gt;0,((1+(DO50/DM50))^(1/($A$101-$A$100))-1)*100,0)</f>
        <v>2.9736201868302725</v>
      </c>
      <c r="DM50" s="92">
        <v>44.13868196810671</v>
      </c>
      <c r="DN50" s="92">
        <v>22.25556579647839</v>
      </c>
      <c r="DO50" s="92">
        <v>15.028266767505601</v>
      </c>
      <c r="DP50" s="92">
        <f>SUM(DN50:DO50)</f>
        <v>37.283832563983992</v>
      </c>
    </row>
    <row r="51" spans="1:120" x14ac:dyDescent="0.3">
      <c r="B51" s="93"/>
      <c r="C51" s="93"/>
      <c r="D51" s="93"/>
      <c r="E51" s="93"/>
      <c r="F51" s="93"/>
      <c r="G51" s="93"/>
      <c r="Z51" s="93"/>
      <c r="AA51" s="93"/>
      <c r="AB51" s="93"/>
      <c r="AC51" s="93"/>
      <c r="AD51" s="93"/>
      <c r="AE51" s="93"/>
      <c r="AX51" s="93"/>
      <c r="AY51" s="93"/>
      <c r="AZ51" s="93"/>
      <c r="BA51" s="93"/>
      <c r="BB51" s="93"/>
      <c r="BC51" s="93"/>
      <c r="BV51" s="93"/>
      <c r="BW51" s="93"/>
      <c r="BX51" s="93"/>
      <c r="BY51" s="93"/>
      <c r="BZ51" s="93"/>
      <c r="CA51" s="93"/>
      <c r="CT51" s="93"/>
      <c r="CU51" s="93"/>
      <c r="CV51" s="93"/>
      <c r="CW51" s="93"/>
      <c r="CX51" s="93"/>
      <c r="CY51" s="93"/>
    </row>
    <row r="52" spans="1:120" x14ac:dyDescent="0.3">
      <c r="A52" s="90" t="str">
        <f ca="1">CELL("filename")</f>
        <v>https://educationgovuk.sharepoint.com/sites/UnitforFutureSkills/Shared Documents/Research Projects/R007 Skills Imperative 2035 revised projections/Projections/Regional_national/Main tables/[EE_MainTables.Main.xlsm]RD T1</v>
      </c>
      <c r="B52" s="93"/>
      <c r="C52" s="93"/>
      <c r="D52" s="93"/>
      <c r="E52" s="93"/>
      <c r="F52" s="93"/>
      <c r="G52" s="93"/>
      <c r="Y52" s="90" t="str">
        <f ca="1">CELL("filename")</f>
        <v>https://educationgovuk.sharepoint.com/sites/UnitforFutureSkills/Shared Documents/Research Projects/R007 Skills Imperative 2035 revised projections/Projections/Regional_national/Main tables/[EE_MainTables.Main.xlsm]RD T1</v>
      </c>
      <c r="Z52" s="93"/>
      <c r="AA52" s="93"/>
      <c r="AB52" s="93"/>
      <c r="AC52" s="93"/>
      <c r="AD52" s="93"/>
      <c r="AE52" s="93"/>
      <c r="AW52" s="90" t="str">
        <f ca="1">CELL("filename")</f>
        <v>https://educationgovuk.sharepoint.com/sites/UnitforFutureSkills/Shared Documents/Research Projects/R007 Skills Imperative 2035 revised projections/Projections/Regional_national/Main tables/[EE_MainTables.Main.xlsm]RD T1</v>
      </c>
      <c r="AX52" s="93"/>
      <c r="AY52" s="93"/>
      <c r="AZ52" s="93"/>
      <c r="BA52" s="93"/>
      <c r="BB52" s="93"/>
      <c r="BC52" s="93"/>
      <c r="BU52" s="90" t="str">
        <f ca="1">CELL("filename")</f>
        <v>https://educationgovuk.sharepoint.com/sites/UnitforFutureSkills/Shared Documents/Research Projects/R007 Skills Imperative 2035 revised projections/Projections/Regional_national/Main tables/[EE_MainTables.Main.xlsm]RD T1</v>
      </c>
      <c r="BV52" s="93"/>
      <c r="BW52" s="93"/>
      <c r="BX52" s="93"/>
      <c r="BY52" s="93"/>
      <c r="BZ52" s="93"/>
      <c r="CA52" s="93"/>
      <c r="CS52" s="90" t="str">
        <f ca="1">CELL("filename")</f>
        <v>https://educationgovuk.sharepoint.com/sites/UnitforFutureSkills/Shared Documents/Research Projects/R007 Skills Imperative 2035 revised projections/Projections/Regional_national/Main tables/[EE_MainTables.Main.xlsm]RD T1</v>
      </c>
      <c r="CT52" s="93"/>
      <c r="CU52" s="93"/>
      <c r="CV52" s="93"/>
      <c r="CW52" s="93"/>
      <c r="CX52" s="93"/>
      <c r="CY52" s="93"/>
    </row>
    <row r="53" spans="1:120" ht="15.45" x14ac:dyDescent="0.4">
      <c r="A53" s="18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8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8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8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8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3">
      <c r="A55" s="91"/>
      <c r="B55" s="91"/>
      <c r="C55" s="91"/>
      <c r="D55" s="91"/>
      <c r="E55" s="91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115" t="str">
        <f>$X$3</f>
        <v>thousands</v>
      </c>
      <c r="Y55" s="91"/>
      <c r="Z55" s="91"/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91"/>
      <c r="AU55" s="91"/>
      <c r="AV55" s="115" t="str">
        <f>$X$3</f>
        <v>thousands</v>
      </c>
      <c r="AW55" s="91"/>
      <c r="AX55" s="91"/>
      <c r="AY55" s="91"/>
      <c r="AZ55" s="91"/>
      <c r="BA55" s="91"/>
      <c r="BB55" s="91"/>
      <c r="BC55" s="91"/>
      <c r="BD55" s="91"/>
      <c r="BE55" s="91"/>
      <c r="BF55" s="91"/>
      <c r="BG55" s="91"/>
      <c r="BH55" s="91"/>
      <c r="BI55" s="91"/>
      <c r="BJ55" s="91"/>
      <c r="BK55" s="91"/>
      <c r="BL55" s="91"/>
      <c r="BM55" s="91"/>
      <c r="BN55" s="91"/>
      <c r="BO55" s="91"/>
      <c r="BP55" s="91"/>
      <c r="BQ55" s="91"/>
      <c r="BR55" s="91"/>
      <c r="BS55" s="91"/>
      <c r="BT55" s="115" t="str">
        <f>$X$3</f>
        <v>thousands</v>
      </c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115" t="str">
        <f>$X$3</f>
        <v>thousands</v>
      </c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  <c r="DK55" s="91"/>
      <c r="DL55" s="91"/>
      <c r="DM55" s="91"/>
      <c r="DN55" s="91"/>
      <c r="DO55" s="91"/>
      <c r="DP55" s="115" t="str">
        <f>$X$3</f>
        <v>thousands</v>
      </c>
    </row>
    <row r="56" spans="1:120" x14ac:dyDescent="0.3">
      <c r="B56" s="383" t="str">
        <f>B4</f>
        <v>All qualifications</v>
      </c>
      <c r="C56" s="383"/>
      <c r="D56" s="383"/>
      <c r="E56" s="383"/>
      <c r="F56" s="383"/>
      <c r="G56" s="113"/>
      <c r="H56" s="383" t="str">
        <f>H4</f>
        <v>RQF8 Doctorate</v>
      </c>
      <c r="I56" s="383"/>
      <c r="J56" s="383"/>
      <c r="K56" s="383"/>
      <c r="L56" s="383"/>
      <c r="M56" s="113"/>
      <c r="N56" s="382" t="str">
        <f>N4</f>
        <v>RQF7 Other higher degree</v>
      </c>
      <c r="O56" s="382"/>
      <c r="P56" s="382"/>
      <c r="Q56" s="382"/>
      <c r="R56" s="382"/>
      <c r="S56" s="110"/>
      <c r="T56" s="382" t="str">
        <f>T4</f>
        <v>RQF6 First degree</v>
      </c>
      <c r="U56" s="382"/>
      <c r="V56" s="382"/>
      <c r="W56" s="382"/>
      <c r="X56" s="382"/>
      <c r="Z56" s="383" t="str">
        <f>Z4</f>
        <v>All qualifications</v>
      </c>
      <c r="AA56" s="383"/>
      <c r="AB56" s="383"/>
      <c r="AC56" s="383"/>
      <c r="AD56" s="383"/>
      <c r="AE56" s="113"/>
      <c r="AF56" s="383" t="str">
        <f>AF4</f>
        <v>RQF8 Doctorate</v>
      </c>
      <c r="AG56" s="383"/>
      <c r="AH56" s="383"/>
      <c r="AI56" s="383"/>
      <c r="AJ56" s="383"/>
      <c r="AK56" s="113"/>
      <c r="AL56" s="382" t="str">
        <f>AL4</f>
        <v>RQF7 Other higher degree</v>
      </c>
      <c r="AM56" s="382"/>
      <c r="AN56" s="382"/>
      <c r="AO56" s="382"/>
      <c r="AP56" s="382"/>
      <c r="AQ56" s="110"/>
      <c r="AR56" s="382" t="str">
        <f>AR4</f>
        <v>RQF6 First degree</v>
      </c>
      <c r="AS56" s="382"/>
      <c r="AT56" s="382"/>
      <c r="AU56" s="382"/>
      <c r="AV56" s="382"/>
      <c r="AX56" s="383" t="str">
        <f>AX4</f>
        <v>All qualifications</v>
      </c>
      <c r="AY56" s="383"/>
      <c r="AZ56" s="383"/>
      <c r="BA56" s="383"/>
      <c r="BB56" s="383"/>
      <c r="BC56" s="113"/>
      <c r="BD56" s="383" t="str">
        <f>BD4</f>
        <v>RQF8 Doctorate</v>
      </c>
      <c r="BE56" s="383"/>
      <c r="BF56" s="383"/>
      <c r="BG56" s="383"/>
      <c r="BH56" s="383"/>
      <c r="BI56" s="113"/>
      <c r="BJ56" s="382" t="str">
        <f>BJ4</f>
        <v>RQF7 Other higher degree</v>
      </c>
      <c r="BK56" s="382"/>
      <c r="BL56" s="382"/>
      <c r="BM56" s="382"/>
      <c r="BN56" s="382"/>
      <c r="BO56" s="110"/>
      <c r="BP56" s="382" t="str">
        <f>BP4</f>
        <v>RQF6 First degree</v>
      </c>
      <c r="BQ56" s="382"/>
      <c r="BR56" s="382"/>
      <c r="BS56" s="382"/>
      <c r="BT56" s="382"/>
      <c r="BV56" s="383" t="str">
        <f>BV4</f>
        <v>All qualifications</v>
      </c>
      <c r="BW56" s="383"/>
      <c r="BX56" s="383"/>
      <c r="BY56" s="383"/>
      <c r="BZ56" s="383"/>
      <c r="CA56" s="113"/>
      <c r="CB56" s="383" t="str">
        <f>CB4</f>
        <v>RQF8 Doctorate</v>
      </c>
      <c r="CC56" s="383"/>
      <c r="CD56" s="383"/>
      <c r="CE56" s="383"/>
      <c r="CF56" s="383"/>
      <c r="CG56" s="113"/>
      <c r="CH56" s="382" t="str">
        <f>CH4</f>
        <v>RQF7 Other higher degree</v>
      </c>
      <c r="CI56" s="382"/>
      <c r="CJ56" s="382"/>
      <c r="CK56" s="382"/>
      <c r="CL56" s="382"/>
      <c r="CM56" s="110"/>
      <c r="CN56" s="382" t="str">
        <f>CN4</f>
        <v>RQF6 First degree</v>
      </c>
      <c r="CO56" s="382"/>
      <c r="CP56" s="382"/>
      <c r="CQ56" s="382"/>
      <c r="CR56" s="382"/>
      <c r="CT56" s="383" t="str">
        <f>CT4</f>
        <v>All qualifications</v>
      </c>
      <c r="CU56" s="383"/>
      <c r="CV56" s="383"/>
      <c r="CW56" s="383"/>
      <c r="CX56" s="383"/>
      <c r="CY56" s="113"/>
      <c r="CZ56" s="383" t="str">
        <f>CZ4</f>
        <v>RQF8 Doctorate</v>
      </c>
      <c r="DA56" s="383"/>
      <c r="DB56" s="383"/>
      <c r="DC56" s="383"/>
      <c r="DD56" s="383"/>
      <c r="DE56" s="113"/>
      <c r="DF56" s="382" t="str">
        <f>DF4</f>
        <v>RQF7 Other higher degree</v>
      </c>
      <c r="DG56" s="382"/>
      <c r="DH56" s="382"/>
      <c r="DI56" s="382"/>
      <c r="DJ56" s="382"/>
      <c r="DK56" s="110"/>
      <c r="DL56" s="382" t="str">
        <f>DL4</f>
        <v>RQF6 First degree</v>
      </c>
      <c r="DM56" s="382"/>
      <c r="DN56" s="382"/>
      <c r="DO56" s="382"/>
      <c r="DP56" s="382"/>
    </row>
    <row r="58" spans="1:120" ht="37.299999999999997" x14ac:dyDescent="0.3">
      <c r="A58" s="112"/>
      <c r="B58" s="109" t="str">
        <f>B6</f>
        <v>RD p.a%</v>
      </c>
      <c r="C58" s="109" t="str">
        <f>C6</f>
        <v>2015 Level</v>
      </c>
      <c r="D58" s="109" t="str">
        <f>D6</f>
        <v>Net Change</v>
      </c>
      <c r="E58" s="109" t="str">
        <f>E6</f>
        <v>Replace-ment Demand</v>
      </c>
      <c r="F58" s="109" t="str">
        <f>F6</f>
        <v>Total Require-ment</v>
      </c>
      <c r="G58" s="108"/>
      <c r="H58" s="104" t="str">
        <f>B58</f>
        <v>RD p.a%</v>
      </c>
      <c r="I58" s="104" t="str">
        <f>C58</f>
        <v>2015 Level</v>
      </c>
      <c r="J58" s="104" t="str">
        <f>D58</f>
        <v>Net Change</v>
      </c>
      <c r="K58" s="104" t="str">
        <f>E58</f>
        <v>Replace-ment Demand</v>
      </c>
      <c r="L58" s="104" t="str">
        <f>F58</f>
        <v>Total Require-ment</v>
      </c>
      <c r="M58" s="103"/>
      <c r="N58" s="105" t="str">
        <f>H58</f>
        <v>RD p.a%</v>
      </c>
      <c r="O58" s="105" t="str">
        <f>I58</f>
        <v>2015 Level</v>
      </c>
      <c r="P58" s="105" t="str">
        <f>J58</f>
        <v>Net Change</v>
      </c>
      <c r="Q58" s="105" t="str">
        <f>K58</f>
        <v>Replace-ment Demand</v>
      </c>
      <c r="R58" s="105" t="str">
        <f>L58</f>
        <v>Total Require-ment</v>
      </c>
      <c r="S58" s="103"/>
      <c r="T58" s="105" t="str">
        <f>N58</f>
        <v>RD p.a%</v>
      </c>
      <c r="U58" s="105" t="str">
        <f>O58</f>
        <v>2015 Level</v>
      </c>
      <c r="V58" s="105" t="str">
        <f>P58</f>
        <v>Net Change</v>
      </c>
      <c r="W58" s="105" t="str">
        <f>Q58</f>
        <v>Replace-ment Demand</v>
      </c>
      <c r="X58" s="105" t="str">
        <f>R58</f>
        <v>Total Require-ment</v>
      </c>
      <c r="Y58" s="112"/>
      <c r="Z58" s="109" t="str">
        <f>Z6</f>
        <v>RD p.a%</v>
      </c>
      <c r="AA58" s="109" t="str">
        <f>AA6</f>
        <v>2015 Level</v>
      </c>
      <c r="AB58" s="109" t="str">
        <f>AB6</f>
        <v>Net Change</v>
      </c>
      <c r="AC58" s="109" t="str">
        <f>AC6</f>
        <v>Replace-ment Demand</v>
      </c>
      <c r="AD58" s="109" t="str">
        <f>AD6</f>
        <v>Total Require-ment</v>
      </c>
      <c r="AE58" s="108"/>
      <c r="AF58" s="104" t="str">
        <f>Z58</f>
        <v>RD p.a%</v>
      </c>
      <c r="AG58" s="104" t="str">
        <f>AA58</f>
        <v>2015 Level</v>
      </c>
      <c r="AH58" s="104" t="str">
        <f>AB58</f>
        <v>Net Change</v>
      </c>
      <c r="AI58" s="104" t="str">
        <f>AC58</f>
        <v>Replace-ment Demand</v>
      </c>
      <c r="AJ58" s="104" t="str">
        <f>AD58</f>
        <v>Total Require-ment</v>
      </c>
      <c r="AK58" s="103"/>
      <c r="AL58" s="105" t="str">
        <f>AF58</f>
        <v>RD p.a%</v>
      </c>
      <c r="AM58" s="105" t="str">
        <f>AG58</f>
        <v>2015 Level</v>
      </c>
      <c r="AN58" s="105" t="str">
        <f>AH58</f>
        <v>Net Change</v>
      </c>
      <c r="AO58" s="105" t="str">
        <f>AI58</f>
        <v>Replace-ment Demand</v>
      </c>
      <c r="AP58" s="105" t="str">
        <f>AJ58</f>
        <v>Total Require-ment</v>
      </c>
      <c r="AQ58" s="103"/>
      <c r="AR58" s="105" t="str">
        <f>AL58</f>
        <v>RD p.a%</v>
      </c>
      <c r="AS58" s="105" t="str">
        <f>AM58</f>
        <v>2015 Level</v>
      </c>
      <c r="AT58" s="105" t="str">
        <f>AN58</f>
        <v>Net Change</v>
      </c>
      <c r="AU58" s="105" t="str">
        <f>AO58</f>
        <v>Replace-ment Demand</v>
      </c>
      <c r="AV58" s="105" t="str">
        <f>AP58</f>
        <v>Total Require-ment</v>
      </c>
      <c r="AW58" s="112"/>
      <c r="AX58" s="109" t="str">
        <f>AX6</f>
        <v>RD p.a%</v>
      </c>
      <c r="AY58" s="109" t="str">
        <f>AY6</f>
        <v>2015 Level</v>
      </c>
      <c r="AZ58" s="109" t="str">
        <f>AZ6</f>
        <v>Net Change</v>
      </c>
      <c r="BA58" s="109" t="str">
        <f>BA6</f>
        <v>Replace-ment Demand</v>
      </c>
      <c r="BB58" s="109" t="str">
        <f>BB6</f>
        <v>Total Require-ment</v>
      </c>
      <c r="BC58" s="108"/>
      <c r="BD58" s="104" t="str">
        <f>AX58</f>
        <v>RD p.a%</v>
      </c>
      <c r="BE58" s="104" t="str">
        <f>AY58</f>
        <v>2015 Level</v>
      </c>
      <c r="BF58" s="104" t="str">
        <f>AZ58</f>
        <v>Net Change</v>
      </c>
      <c r="BG58" s="104" t="str">
        <f>BA58</f>
        <v>Replace-ment Demand</v>
      </c>
      <c r="BH58" s="104" t="str">
        <f>BB58</f>
        <v>Total Require-ment</v>
      </c>
      <c r="BI58" s="103"/>
      <c r="BJ58" s="105" t="str">
        <f>BD58</f>
        <v>RD p.a%</v>
      </c>
      <c r="BK58" s="105" t="str">
        <f>BE58</f>
        <v>2015 Level</v>
      </c>
      <c r="BL58" s="105" t="str">
        <f>BF58</f>
        <v>Net Change</v>
      </c>
      <c r="BM58" s="105" t="str">
        <f>BG58</f>
        <v>Replace-ment Demand</v>
      </c>
      <c r="BN58" s="105" t="str">
        <f>BH58</f>
        <v>Total Require-ment</v>
      </c>
      <c r="BO58" s="103"/>
      <c r="BP58" s="105" t="str">
        <f>BJ58</f>
        <v>RD p.a%</v>
      </c>
      <c r="BQ58" s="105" t="str">
        <f>BK58</f>
        <v>2015 Level</v>
      </c>
      <c r="BR58" s="105" t="str">
        <f>BL58</f>
        <v>Net Change</v>
      </c>
      <c r="BS58" s="105" t="str">
        <f>BM58</f>
        <v>Replace-ment Demand</v>
      </c>
      <c r="BT58" s="105" t="str">
        <f>BN58</f>
        <v>Total Require-ment</v>
      </c>
      <c r="BU58" s="112"/>
      <c r="BV58" s="109" t="str">
        <f>BV6</f>
        <v>RD p.a%</v>
      </c>
      <c r="BW58" s="109" t="str">
        <f>BW6</f>
        <v>2015 Level</v>
      </c>
      <c r="BX58" s="109" t="str">
        <f>BX6</f>
        <v>Net Change</v>
      </c>
      <c r="BY58" s="109" t="str">
        <f>BY6</f>
        <v>Replace-ment Demand</v>
      </c>
      <c r="BZ58" s="109" t="str">
        <f>BZ6</f>
        <v>Total Require-ment</v>
      </c>
      <c r="CA58" s="108"/>
      <c r="CB58" s="104" t="str">
        <f>BV58</f>
        <v>RD p.a%</v>
      </c>
      <c r="CC58" s="104" t="str">
        <f>BW58</f>
        <v>2015 Level</v>
      </c>
      <c r="CD58" s="104" t="str">
        <f>BX58</f>
        <v>Net Change</v>
      </c>
      <c r="CE58" s="104" t="str">
        <f>BY58</f>
        <v>Replace-ment Demand</v>
      </c>
      <c r="CF58" s="104" t="str">
        <f>BZ58</f>
        <v>Total Require-ment</v>
      </c>
      <c r="CG58" s="103"/>
      <c r="CH58" s="105" t="str">
        <f>CB58</f>
        <v>RD p.a%</v>
      </c>
      <c r="CI58" s="105" t="str">
        <f>CC58</f>
        <v>2015 Level</v>
      </c>
      <c r="CJ58" s="105" t="str">
        <f>CD58</f>
        <v>Net Change</v>
      </c>
      <c r="CK58" s="105" t="str">
        <f>CE58</f>
        <v>Replace-ment Demand</v>
      </c>
      <c r="CL58" s="105" t="str">
        <f>CF58</f>
        <v>Total Require-ment</v>
      </c>
      <c r="CM58" s="103"/>
      <c r="CN58" s="105" t="str">
        <f>CH58</f>
        <v>RD p.a%</v>
      </c>
      <c r="CO58" s="105" t="str">
        <f>CI58</f>
        <v>2015 Level</v>
      </c>
      <c r="CP58" s="105" t="str">
        <f>CJ58</f>
        <v>Net Change</v>
      </c>
      <c r="CQ58" s="105" t="str">
        <f>CK58</f>
        <v>Replace-ment Demand</v>
      </c>
      <c r="CR58" s="105" t="str">
        <f>CL58</f>
        <v>Total Require-ment</v>
      </c>
      <c r="CS58" s="112"/>
      <c r="CT58" s="109" t="str">
        <f>CT6</f>
        <v>RD p.a%</v>
      </c>
      <c r="CU58" s="109" t="str">
        <f>CU6</f>
        <v>2015 Level</v>
      </c>
      <c r="CV58" s="109" t="str">
        <f>CV6</f>
        <v>Net Change</v>
      </c>
      <c r="CW58" s="109" t="str">
        <f>CW6</f>
        <v>Replace-ment Demand</v>
      </c>
      <c r="CX58" s="109" t="str">
        <f>CX6</f>
        <v>Total Require-ment</v>
      </c>
      <c r="CY58" s="108"/>
      <c r="CZ58" s="104" t="str">
        <f>CT58</f>
        <v>RD p.a%</v>
      </c>
      <c r="DA58" s="104" t="str">
        <f>CU58</f>
        <v>2015 Level</v>
      </c>
      <c r="DB58" s="104" t="str">
        <f>CV58</f>
        <v>Net Change</v>
      </c>
      <c r="DC58" s="104" t="str">
        <f>CW58</f>
        <v>Replace-ment Demand</v>
      </c>
      <c r="DD58" s="104" t="str">
        <f>CX58</f>
        <v>Total Require-ment</v>
      </c>
      <c r="DE58" s="103"/>
      <c r="DF58" s="105" t="str">
        <f>CZ58</f>
        <v>RD p.a%</v>
      </c>
      <c r="DG58" s="105" t="str">
        <f>DA58</f>
        <v>2015 Level</v>
      </c>
      <c r="DH58" s="105" t="str">
        <f>DB58</f>
        <v>Net Change</v>
      </c>
      <c r="DI58" s="105" t="str">
        <f>DC58</f>
        <v>Replace-ment Demand</v>
      </c>
      <c r="DJ58" s="105" t="str">
        <f>DD58</f>
        <v>Total Require-ment</v>
      </c>
      <c r="DK58" s="103"/>
      <c r="DL58" s="105" t="str">
        <f>DF58</f>
        <v>RD p.a%</v>
      </c>
      <c r="DM58" s="105" t="str">
        <f>DG58</f>
        <v>2015 Level</v>
      </c>
      <c r="DN58" s="105" t="str">
        <f>DH58</f>
        <v>Net Change</v>
      </c>
      <c r="DO58" s="105" t="str">
        <f>DI58</f>
        <v>Replace-ment Demand</v>
      </c>
      <c r="DP58" s="105" t="str">
        <f>DJ58</f>
        <v>Total Require-ment</v>
      </c>
    </row>
    <row r="60" spans="1:120" x14ac:dyDescent="0.3">
      <c r="A60" s="90" t="e">
        <f>name!#REF!</f>
        <v>#REF!</v>
      </c>
      <c r="B60" s="39">
        <f t="shared" ref="B60:B77" si="44">IF(C60&gt;0,((1+(E60/C60))^(1/($A$101-$A$100))-1)*100,0)</f>
        <v>3.0200371662758352</v>
      </c>
      <c r="C60" s="93">
        <f t="array" ref="C60:C75">MMULT(aggregation!$B$28:$AP$33,C8:C48)</f>
        <v>366.4282299047502</v>
      </c>
      <c r="D60" s="93">
        <f t="array" ref="D60:D75">MMULT(aggregation!$B$28:$AP$33,D8:D48)</f>
        <v>12.375876953571559</v>
      </c>
      <c r="E60" s="93">
        <f t="array" ref="E60:E75">MMULT(aggregation!$B$28:$AP$33,E8:E48)</f>
        <v>126.97949758360076</v>
      </c>
      <c r="F60" s="93">
        <f t="array" ref="F60:F75">MMULT(aggregation!$B$28:$AP$33,F8:F48)</f>
        <v>139.35537453717231</v>
      </c>
      <c r="H60" s="39">
        <f t="shared" ref="H60:H77" si="45">IF(I60&gt;0,((1+(K60/I60))^(1/($A$101-$A$100))-1)*100,0)</f>
        <v>2.9285612180755871</v>
      </c>
      <c r="I60" s="93">
        <f t="array" ref="I60:I75">MMULT(aggregation!$B$28:$AP$33,I8:I48)</f>
        <v>97.376228083615871</v>
      </c>
      <c r="J60" s="93">
        <f t="array" ref="J60:J75">MMULT(aggregation!$B$28:$AP$33,J8:J48)</f>
        <v>-20.134418454551835</v>
      </c>
      <c r="K60" s="93">
        <f t="array" ref="K60:K75">MMULT(aggregation!$B$28:$AP$33,K8:K48)</f>
        <v>32.584449941883307</v>
      </c>
      <c r="L60" s="93">
        <f t="array" ref="L60:L75">MMULT(aggregation!$B$28:$AP$33,L8:L48)</f>
        <v>12.450031487331474</v>
      </c>
      <c r="N60" s="39">
        <f t="shared" ref="N60:N77" si="46">IF(O60&gt;0,((1+(Q60/O60))^(1/($A$101-$A$100))-1)*100,0)</f>
        <v>3.0078818163740584</v>
      </c>
      <c r="O60" s="93">
        <f t="array" ref="O60:O75">MMULT(aggregation!$B$28:$AP$33,O8:O48)</f>
        <v>182.91528670445331</v>
      </c>
      <c r="P60" s="93">
        <f t="array" ref="P60:P75">MMULT(aggregation!$B$28:$AP$33,P8:P48)</f>
        <v>11.860906329989675</v>
      </c>
      <c r="Q60" s="93">
        <f t="array" ref="Q60:Q75">MMULT(aggregation!$B$28:$AP$33,Q8:Q48)</f>
        <v>63.095737682523136</v>
      </c>
      <c r="R60" s="93">
        <f t="array" ref="R60:R75">MMULT(aggregation!$B$28:$AP$33,R8:R48)</f>
        <v>74.956644012512811</v>
      </c>
      <c r="S60" s="93"/>
      <c r="T60" s="39">
        <f t="shared" ref="T60:T77" si="47">IF(U60&gt;0,((1+(W60/U60))^(1/($A$101-$A$100))-1)*100,0)</f>
        <v>3.1481168893008116</v>
      </c>
      <c r="U60" s="93">
        <f t="array" ref="U60:U75">MMULT(aggregation!$B$28:$AP$33,U8:U48)</f>
        <v>86.136715116681074</v>
      </c>
      <c r="V60" s="93">
        <f t="array" ref="V60:V75">MMULT(aggregation!$B$28:$AP$33,V8:V48)</f>
        <v>20.649389078133723</v>
      </c>
      <c r="W60" s="93">
        <f t="array" ref="W60:W75">MMULT(aggregation!$B$28:$AP$33,W8:W48)</f>
        <v>31.299309959194293</v>
      </c>
      <c r="X60" s="93">
        <f t="array" ref="X60:X75">MMULT(aggregation!$B$28:$AP$33,X8:X48)</f>
        <v>51.948699037328012</v>
      </c>
      <c r="Y60" s="90" t="e">
        <f>A60</f>
        <v>#REF!</v>
      </c>
      <c r="Z60" s="39">
        <f t="shared" ref="Z60:Z75" si="48">IF(AA60&gt;0,((1+(AC60/AA60))^(1/($A$101-$A$100))-1)*100,0)</f>
        <v>3.4510693323820618</v>
      </c>
      <c r="AA60" s="93">
        <f t="array" ref="AA60:AA75">MMULT(aggregation!$B$28:$AP$33,AA8:AA48)</f>
        <v>109.40097762183721</v>
      </c>
      <c r="AB60" s="93">
        <f t="array" ref="AB60:AB75">MMULT(aggregation!$B$28:$AP$33,AB8:AB48)</f>
        <v>9.4111962426802158</v>
      </c>
      <c r="AC60" s="93">
        <f t="array" ref="AC60:AC75">MMULT(aggregation!$B$28:$AP$33,AC8:AC48)</f>
        <v>44.19188844178916</v>
      </c>
      <c r="AD60" s="93">
        <f t="array" ref="AD60:AD75">MMULT(aggregation!$B$28:$AP$33,AD8:AD48)</f>
        <v>53.603084684469373</v>
      </c>
      <c r="AF60" s="39">
        <f t="shared" ref="AF60:AF75" si="49">IF(AG60&gt;0,((1+(AI60/AG60))^(1/($A$101-$A$100))-1)*100,0)</f>
        <v>3.8042706160036355</v>
      </c>
      <c r="AG60" s="93">
        <f t="array" ref="AG60:AG75">MMULT(aggregation!$B$28:$AP$33,AG8:AG48)</f>
        <v>13.890583179106276</v>
      </c>
      <c r="AH60" s="93">
        <f t="array" ref="AH60:AH75">MMULT(aggregation!$B$28:$AP$33,AH8:AH48)</f>
        <v>-3.9765127034124319</v>
      </c>
      <c r="AI60" s="93">
        <f t="array" ref="AI60:AI75">MMULT(aggregation!$B$28:$AP$33,AI8:AI48)</f>
        <v>6.2871647138905322</v>
      </c>
      <c r="AJ60" s="93">
        <f t="array" ref="AJ60:AJ75">MMULT(aggregation!$B$28:$AP$33,AJ8:AJ48)</f>
        <v>2.3106520104781003</v>
      </c>
      <c r="AL60" s="39">
        <f t="shared" ref="AL60:AL75" si="50">IF(AM60&gt;0,((1+(AO60/AM60))^(1/($A$101-$A$100))-1)*100,0)</f>
        <v>3.5604682409842825</v>
      </c>
      <c r="AM60" s="93">
        <f t="array" ref="AM60:AM75">MMULT(aggregation!$B$28:$AP$33,AM8:AM48)</f>
        <v>46.925666714529029</v>
      </c>
      <c r="AN60" s="93">
        <f t="array" ref="AN60:AN75">MMULT(aggregation!$B$28:$AP$33,AN8:AN48)</f>
        <v>3.8599342908012759</v>
      </c>
      <c r="AO60" s="93">
        <f t="array" ref="AO60:AO75">MMULT(aggregation!$B$28:$AP$33,AO8:AO48)</f>
        <v>19.655362728522867</v>
      </c>
      <c r="AP60" s="93">
        <f t="array" ref="AP60:AP75">MMULT(aggregation!$B$28:$AP$33,AP8:AP48)</f>
        <v>23.515297019324144</v>
      </c>
      <c r="AQ60" s="93"/>
      <c r="AR60" s="39">
        <f t="shared" ref="AR60:AR75" si="51">IF(AS60&gt;0,((1+(AU60/AS60))^(1/($A$101-$A$100))-1)*100,0)</f>
        <v>3.2404350006200788</v>
      </c>
      <c r="AS60" s="93">
        <f t="array" ref="AS60:AS75">MMULT(aggregation!$B$28:$AP$33,AS8:AS48)</f>
        <v>48.584727728201912</v>
      </c>
      <c r="AT60" s="93">
        <f t="array" ref="AT60:AT75">MMULT(aggregation!$B$28:$AP$33,AT8:AT48)</f>
        <v>9.5277746552913687</v>
      </c>
      <c r="AU60" s="93">
        <f t="array" ref="AU60:AU75">MMULT(aggregation!$B$28:$AP$33,AU8:AU48)</f>
        <v>18.249360999375764</v>
      </c>
      <c r="AV60" s="93">
        <f t="array" ref="AV60:AV75">MMULT(aggregation!$B$28:$AP$33,AV8:AV48)</f>
        <v>27.777135654667134</v>
      </c>
      <c r="AW60" s="90" t="e">
        <f>Y60</f>
        <v>#REF!</v>
      </c>
      <c r="AX60" s="39">
        <f t="shared" ref="AX60:AX75" si="52">IF(AY60&gt;0,((1+(BA60/AY60))^(1/($A$101-$A$100))-1)*100,0)</f>
        <v>2.5964738060617387</v>
      </c>
      <c r="AY60" s="93">
        <f t="array" ref="AY60:AY75">MMULT(aggregation!$B$28:$AP$33,AY8:AY48)</f>
        <v>133.76328434115098</v>
      </c>
      <c r="AZ60" s="93">
        <f t="array" ref="AZ60:AZ75">MMULT(aggregation!$B$28:$AP$33,AZ8:AZ48)</f>
        <v>2.9837836487827287</v>
      </c>
      <c r="BA60" s="93">
        <f t="array" ref="BA60:BA75">MMULT(aggregation!$B$28:$AP$33,BA8:BA48)</f>
        <v>39.083485919914963</v>
      </c>
      <c r="BB60" s="93">
        <f t="array" ref="BB60:BB75">MMULT(aggregation!$B$28:$AP$33,BB8:BB48)</f>
        <v>42.067269568697697</v>
      </c>
      <c r="BD60" s="39">
        <f t="shared" ref="BD60:BD75" si="53">IF(BE60&gt;0,((1+(BG60/BE60))^(1/($A$101-$A$100))-1)*100,0)</f>
        <v>2.547134735934975</v>
      </c>
      <c r="BE60" s="93">
        <f t="array" ref="BE60:BE75">MMULT(aggregation!$B$28:$AP$33,BE8:BE48)</f>
        <v>38.038082841341755</v>
      </c>
      <c r="BF60" s="93">
        <f t="array" ref="BF60:BF75">MMULT(aggregation!$B$28:$AP$33,BF8:BF48)</f>
        <v>-2.4133097813355744</v>
      </c>
      <c r="BG60" s="93">
        <f t="array" ref="BG60:BG75">MMULT(aggregation!$B$28:$AP$33,BG8:BG48)</f>
        <v>10.878253522030754</v>
      </c>
      <c r="BH60" s="93">
        <f t="array" ref="BH60:BH75">MMULT(aggregation!$B$28:$AP$33,BH8:BH48)</f>
        <v>8.4649437406951797</v>
      </c>
      <c r="BJ60" s="39">
        <f t="shared" ref="BJ60:BJ75" si="54">IF(BK60&gt;0,((1+(BM60/BK60))^(1/($A$101-$A$100))-1)*100,0)</f>
        <v>2.5845775387473902</v>
      </c>
      <c r="BK60" s="93">
        <f t="array" ref="BK60:BK75">MMULT(aggregation!$B$28:$AP$33,BK8:BK48)</f>
        <v>74.411735017406926</v>
      </c>
      <c r="BL60" s="93">
        <f t="array" ref="BL60:BL75">MMULT(aggregation!$B$28:$AP$33,BL8:BL48)</f>
        <v>3.1855192819452687</v>
      </c>
      <c r="BM60" s="93">
        <f t="array" ref="BM60:BM75">MMULT(aggregation!$B$28:$AP$33,BM8:BM48)</f>
        <v>21.630481362749549</v>
      </c>
      <c r="BN60" s="93">
        <f t="array" ref="BN60:BN75">MMULT(aggregation!$B$28:$AP$33,BN8:BN48)</f>
        <v>24.816000644694821</v>
      </c>
      <c r="BO60" s="93"/>
      <c r="BP60" s="39">
        <f t="shared" ref="BP60:BP75" si="55">IF(BQ60&gt;0,((1+(BS60/BQ60))^(1/($A$101-$A$100))-1)*100,0)</f>
        <v>2.7251222269226272</v>
      </c>
      <c r="BQ60" s="93">
        <f t="array" ref="BQ60:BQ75">MMULT(aggregation!$B$28:$AP$33,BQ8:BQ48)</f>
        <v>21.313466482402312</v>
      </c>
      <c r="BR60" s="93">
        <f t="array" ref="BR60:BR75">MMULT(aggregation!$B$28:$AP$33,BR8:BR48)</f>
        <v>2.2115741481730335</v>
      </c>
      <c r="BS60" s="93">
        <f t="array" ref="BS60:BS75">MMULT(aggregation!$B$28:$AP$33,BS8:BS48)</f>
        <v>6.5747510351346579</v>
      </c>
      <c r="BT60" s="93">
        <f t="array" ref="BT60:BT75">MMULT(aggregation!$B$28:$AP$33,BT8:BT48)</f>
        <v>8.7863251833076923</v>
      </c>
      <c r="BU60" s="90" t="e">
        <f>AW60</f>
        <v>#REF!</v>
      </c>
      <c r="BV60" s="39">
        <f t="shared" ref="BV60:BV75" si="56">IF(BW60&gt;0,((1+(BY60/BW60))^(1/($A$101-$A$100))-1)*100,0)</f>
        <v>3.485095393773241</v>
      </c>
      <c r="BW60" s="93">
        <f t="array" ref="BW60:BW75">MMULT(aggregation!$B$28:$AP$33,BW8:BW48)</f>
        <v>65.409196417553474</v>
      </c>
      <c r="BX60" s="93">
        <f t="array" ref="BX60:BX75">MMULT(aggregation!$B$28:$AP$33,BX8:BX48)</f>
        <v>-7.2725784365581729</v>
      </c>
      <c r="BY60" s="93">
        <f t="array" ref="BY60:BY75">MMULT(aggregation!$B$28:$AP$33,BY8:BY48)</f>
        <v>26.724152418105156</v>
      </c>
      <c r="BZ60" s="93">
        <f t="array" ref="BZ60:BZ75">MMULT(aggregation!$B$28:$AP$33,BZ8:BZ48)</f>
        <v>19.451573981546982</v>
      </c>
      <c r="CB60" s="39">
        <f t="shared" ref="CB60:CB75" si="57">IF(CC60&gt;0,((1+(CE60/CC60))^(1/($A$101-$A$100))-1)*100,0)</f>
        <v>3.3945866942973302</v>
      </c>
      <c r="CC60" s="93">
        <f t="array" ref="CC60:CC75">MMULT(aggregation!$B$28:$AP$33,CC8:CC48)</f>
        <v>21.05053288471078</v>
      </c>
      <c r="CD60" s="93">
        <f t="array" ref="CD60:CD75">MMULT(aggregation!$B$28:$AP$33,CD8:CD48)</f>
        <v>-8.6356916223892384</v>
      </c>
      <c r="CE60" s="93">
        <f t="array" ref="CE60:CE75">MMULT(aggregation!$B$28:$AP$33,CE8:CE48)</f>
        <v>8.342277262525851</v>
      </c>
      <c r="CF60" s="93">
        <f t="array" ref="CF60:CF75">MMULT(aggregation!$B$28:$AP$33,CF8:CF48)</f>
        <v>-0.2934143598633871</v>
      </c>
      <c r="CH60" s="39">
        <f t="shared" ref="CH60:CH75" si="58">IF(CI60&gt;0,((1+(CK60/CI60))^(1/($A$101-$A$100))-1)*100,0)</f>
        <v>3.4521857773551767</v>
      </c>
      <c r="CI60" s="93">
        <f t="array" ref="CI60:CI75">MMULT(aggregation!$B$28:$AP$33,CI8:CI48)</f>
        <v>34.546886160025707</v>
      </c>
      <c r="CJ60" s="93">
        <f t="array" ref="CJ60:CJ75">MMULT(aggregation!$B$28:$AP$33,CJ8:CJ48)</f>
        <v>-1.2189766380635714</v>
      </c>
      <c r="CK60" s="93">
        <f t="array" ref="CK60:CK75">MMULT(aggregation!$B$28:$AP$33,CK8:CK48)</f>
        <v>13.96024826295576</v>
      </c>
      <c r="CL60" s="93">
        <f t="array" ref="CL60:CL75">MMULT(aggregation!$B$28:$AP$33,CL8:CL48)</f>
        <v>12.741271624892187</v>
      </c>
      <c r="CM60" s="93"/>
      <c r="CN60" s="39">
        <f t="shared" ref="CN60:CN75" si="59">IF(CO60&gt;0,((1+(CQ60/CO60))^(1/($A$101-$A$100))-1)*100,0)</f>
        <v>3.7901429015048116</v>
      </c>
      <c r="CO60" s="93">
        <f t="array" ref="CO60:CO75">MMULT(aggregation!$B$28:$AP$33,CO8:CO48)</f>
        <v>9.8117773728169944</v>
      </c>
      <c r="CP60" s="93">
        <f t="array" ref="CP60:CP75">MMULT(aggregation!$B$28:$AP$33,CP8:CP48)</f>
        <v>2.5820898238946395</v>
      </c>
      <c r="CQ60" s="93">
        <f t="array" ref="CQ60:CQ75">MMULT(aggregation!$B$28:$AP$33,CQ8:CQ48)</f>
        <v>4.421626892623542</v>
      </c>
      <c r="CR60" s="93">
        <f t="array" ref="CR60:CR75">MMULT(aggregation!$B$28:$AP$33,CR8:CR48)</f>
        <v>7.0037167165181815</v>
      </c>
      <c r="CS60" s="90" t="e">
        <f>BU60</f>
        <v>#REF!</v>
      </c>
      <c r="CT60" s="39">
        <f t="shared" ref="CT60:CT75" si="60">IF(CU60&gt;0,((1+(CW60/CU60))^(1/($A$101-$A$100))-1)*100,0)</f>
        <v>2.6068626107773829</v>
      </c>
      <c r="CU60" s="93">
        <f t="array" ref="CU60:CU75">MMULT(aggregation!$B$28:$AP$33,CU8:CU48)</f>
        <v>57.854771524208537</v>
      </c>
      <c r="CV60" s="93">
        <f t="array" ref="CV60:CV75">MMULT(aggregation!$B$28:$AP$33,CV8:CV48)</f>
        <v>7.2534754986667886</v>
      </c>
      <c r="CW60" s="93">
        <f t="array" ref="CW60:CW75">MMULT(aggregation!$B$28:$AP$33,CW8:CW48)</f>
        <v>16.979970803791471</v>
      </c>
      <c r="CX60" s="93">
        <f t="array" ref="CX60:CX75">MMULT(aggregation!$B$28:$AP$33,CX8:CX48)</f>
        <v>24.233446302458258</v>
      </c>
      <c r="CZ60" s="39">
        <f t="shared" ref="CZ60:CZ75" si="61">IF(DA60&gt;0,((1+(DC60/DA60))^(1/($A$101-$A$100))-1)*100,0)</f>
        <v>2.5796471633499296</v>
      </c>
      <c r="DA60" s="93">
        <f t="array" ref="DA60:DA75">MMULT(aggregation!$B$28:$AP$33,DA8:DA48)</f>
        <v>24.397029178457057</v>
      </c>
      <c r="DB60" s="93">
        <f t="array" ref="DB60:DB75">MMULT(aggregation!$B$28:$AP$33,DB8:DB48)</f>
        <v>-5.1089043474145921</v>
      </c>
      <c r="DC60" s="93">
        <f t="array" ref="DC60:DC75">MMULT(aggregation!$B$28:$AP$33,DC8:DC48)</f>
        <v>7.0767544434361751</v>
      </c>
      <c r="DD60" s="93">
        <f t="array" ref="DD60:DD75">MMULT(aggregation!$B$28:$AP$33,DD8:DD48)</f>
        <v>1.967850096021583</v>
      </c>
      <c r="DF60" s="39">
        <f t="shared" ref="DF60:DF75" si="62">IF(DG60&gt;0,((1+(DI60/DG60))^(1/($A$101-$A$100))-1)*100,0)</f>
        <v>2.5822546806152147</v>
      </c>
      <c r="DG60" s="93">
        <f t="array" ref="DG60:DG75">MMULT(aggregation!$B$28:$AP$33,DG8:DG48)</f>
        <v>27.030998812491621</v>
      </c>
      <c r="DH60" s="93">
        <f t="array" ref="DH60:DH75">MMULT(aggregation!$B$28:$AP$33,DH8:DH48)</f>
        <v>6.0344293953067005</v>
      </c>
      <c r="DI60" s="93">
        <f t="array" ref="DI60:DI75">MMULT(aggregation!$B$28:$AP$33,DI8:DI48)</f>
        <v>7.8496453282949643</v>
      </c>
      <c r="DJ60" s="93">
        <f t="array" ref="DJ60:DJ75">MMULT(aggregation!$B$28:$AP$33,DJ8:DJ48)</f>
        <v>13.884074723601664</v>
      </c>
      <c r="DK60" s="93"/>
      <c r="DL60" s="39">
        <f t="shared" ref="DL60:DL75" si="63">IF(DM60&gt;0,((1+(DO60/DM60))^(1/($A$101-$A$100))-1)*100,0)</f>
        <v>2.8115955969045814</v>
      </c>
      <c r="DM60" s="93">
        <f t="array" ref="DM60:DM75">MMULT(aggregation!$B$28:$AP$33,DM8:DM48)</f>
        <v>6.426743533259863</v>
      </c>
      <c r="DN60" s="93">
        <f t="array" ref="DN60:DN75">MMULT(aggregation!$B$28:$AP$33,DN8:DN48)</f>
        <v>6.3279504507746802</v>
      </c>
      <c r="DO60" s="93">
        <f t="array" ref="DO60:DO75">MMULT(aggregation!$B$28:$AP$33,DO8:DO48)</f>
        <v>2.0535710320603289</v>
      </c>
      <c r="DP60" s="93">
        <f t="array" ref="DP60:DP75">MMULT(aggregation!$B$28:$AP$33,DP8:DP48)</f>
        <v>8.3815214828350086</v>
      </c>
    </row>
    <row r="61" spans="1:120" x14ac:dyDescent="0.3">
      <c r="A61" s="90" t="e">
        <f>name!#REF!</f>
        <v>#REF!</v>
      </c>
      <c r="B61" s="39">
        <f t="shared" si="44"/>
        <v>2.6428578302956751</v>
      </c>
      <c r="C61" s="93">
        <v>1531.9705805222009</v>
      </c>
      <c r="D61" s="93">
        <v>38.373634438141572</v>
      </c>
      <c r="E61" s="93">
        <v>456.58520540961894</v>
      </c>
      <c r="F61" s="93">
        <v>494.95883984776049</v>
      </c>
      <c r="H61" s="39">
        <f t="shared" si="45"/>
        <v>2.4792103651163355</v>
      </c>
      <c r="I61" s="93">
        <v>346.9543032994946</v>
      </c>
      <c r="J61" s="93">
        <v>-71.701267476699215</v>
      </c>
      <c r="K61" s="93">
        <v>96.27654812183178</v>
      </c>
      <c r="L61" s="93">
        <v>24.575280645132562</v>
      </c>
      <c r="N61" s="39">
        <f t="shared" si="46"/>
        <v>2.5614670093909275</v>
      </c>
      <c r="O61" s="93">
        <v>814.35141810968503</v>
      </c>
      <c r="P61" s="93">
        <v>55.745517961636317</v>
      </c>
      <c r="Q61" s="93">
        <v>234.35541894926229</v>
      </c>
      <c r="R61" s="93">
        <v>290.10093691089861</v>
      </c>
      <c r="S61" s="93"/>
      <c r="T61" s="39">
        <f t="shared" si="47"/>
        <v>2.9684351632191186</v>
      </c>
      <c r="U61" s="93">
        <v>370.66485911302107</v>
      </c>
      <c r="V61" s="93">
        <v>54.329383953204463</v>
      </c>
      <c r="W61" s="93">
        <v>125.95323833852494</v>
      </c>
      <c r="X61" s="93">
        <v>180.28262229172944</v>
      </c>
      <c r="Y61" s="90" t="e">
        <f t="shared" ref="Y61:Y75" si="64">A61</f>
        <v>#REF!</v>
      </c>
      <c r="Z61" s="39">
        <f t="shared" si="48"/>
        <v>3.09935723132575</v>
      </c>
      <c r="AA61" s="93">
        <v>449.17774942270398</v>
      </c>
      <c r="AB61" s="93">
        <v>50.084024973176945</v>
      </c>
      <c r="AC61" s="93">
        <v>160.32800726207913</v>
      </c>
      <c r="AD61" s="93">
        <v>210.41203223525608</v>
      </c>
      <c r="AF61" s="39">
        <f t="shared" si="49"/>
        <v>3.0553735251015013</v>
      </c>
      <c r="AG61" s="93">
        <v>43.103207322115679</v>
      </c>
      <c r="AH61" s="93">
        <v>0.19587937567616226</v>
      </c>
      <c r="AI61" s="93">
        <v>15.136073680613812</v>
      </c>
      <c r="AJ61" s="93">
        <v>15.331953056289972</v>
      </c>
      <c r="AL61" s="39">
        <f t="shared" si="50"/>
        <v>3.0511586415955083</v>
      </c>
      <c r="AM61" s="93">
        <v>165.52931783494364</v>
      </c>
      <c r="AN61" s="93">
        <v>19.535586179291034</v>
      </c>
      <c r="AO61" s="93">
        <v>58.035631729329729</v>
      </c>
      <c r="AP61" s="93">
        <v>77.571217908620767</v>
      </c>
      <c r="AQ61" s="93"/>
      <c r="AR61" s="39">
        <f t="shared" si="51"/>
        <v>3.1402482773775109</v>
      </c>
      <c r="AS61" s="93">
        <v>240.54522426564475</v>
      </c>
      <c r="AT61" s="93">
        <v>30.35255941820974</v>
      </c>
      <c r="AU61" s="93">
        <v>87.156301852135613</v>
      </c>
      <c r="AV61" s="93">
        <v>117.50886127034535</v>
      </c>
      <c r="AW61" s="90" t="e">
        <f t="shared" ref="AW61:AW75" si="65">Y61</f>
        <v>#REF!</v>
      </c>
      <c r="AX61" s="39">
        <f t="shared" si="52"/>
        <v>2.5119602836049859</v>
      </c>
      <c r="AY61" s="93">
        <v>382.12363836563554</v>
      </c>
      <c r="AZ61" s="93">
        <v>14.987876400880856</v>
      </c>
      <c r="BA61" s="93">
        <v>107.597993602248</v>
      </c>
      <c r="BB61" s="93">
        <v>122.58587000312885</v>
      </c>
      <c r="BD61" s="39">
        <f t="shared" si="53"/>
        <v>2.4324488727566429</v>
      </c>
      <c r="BE61" s="93">
        <v>68.87792182820661</v>
      </c>
      <c r="BF61" s="93">
        <v>-12.980223779533098</v>
      </c>
      <c r="BG61" s="93">
        <v>18.712292944480623</v>
      </c>
      <c r="BH61" s="93">
        <v>5.7320691649475206</v>
      </c>
      <c r="BJ61" s="39">
        <f t="shared" si="54"/>
        <v>2.4743901795061252</v>
      </c>
      <c r="BK61" s="93">
        <v>227.41154731887079</v>
      </c>
      <c r="BL61" s="93">
        <v>20.277004150306102</v>
      </c>
      <c r="BM61" s="93">
        <v>62.967942886752354</v>
      </c>
      <c r="BN61" s="93">
        <v>83.244947037058452</v>
      </c>
      <c r="BO61" s="93"/>
      <c r="BP61" s="39">
        <f t="shared" si="55"/>
        <v>2.6737634790460207</v>
      </c>
      <c r="BQ61" s="93">
        <v>85.834169218558088</v>
      </c>
      <c r="BR61" s="93">
        <v>7.6910960301078566</v>
      </c>
      <c r="BS61" s="93">
        <v>25.917757771015022</v>
      </c>
      <c r="BT61" s="93">
        <v>33.608853801122876</v>
      </c>
      <c r="BU61" s="90" t="e">
        <f t="shared" ref="BU61:BU75" si="66">AW61</f>
        <v>#REF!</v>
      </c>
      <c r="BV61" s="39">
        <f t="shared" si="56"/>
        <v>2.4273686289485896</v>
      </c>
      <c r="BW61" s="93">
        <v>618.6998990746248</v>
      </c>
      <c r="BX61" s="93">
        <v>-37.145990679902553</v>
      </c>
      <c r="BY61" s="93">
        <v>167.69412219711813</v>
      </c>
      <c r="BZ61" s="93">
        <v>130.54813151721558</v>
      </c>
      <c r="CB61" s="39">
        <f t="shared" si="57"/>
        <v>2.3908219482846826</v>
      </c>
      <c r="CC61" s="93">
        <v>200.76690413153926</v>
      </c>
      <c r="CD61" s="93">
        <v>-51.773551523444716</v>
      </c>
      <c r="CE61" s="93">
        <v>53.507365477367323</v>
      </c>
      <c r="CF61" s="93">
        <v>1.7338139539226114</v>
      </c>
      <c r="CH61" s="39">
        <f t="shared" si="58"/>
        <v>2.4281776316902093</v>
      </c>
      <c r="CI61" s="93">
        <v>377.66885349128535</v>
      </c>
      <c r="CJ61" s="93">
        <v>2.3971579400366365</v>
      </c>
      <c r="CK61" s="93">
        <v>102.40232056245216</v>
      </c>
      <c r="CL61" s="93">
        <v>104.79947850248878</v>
      </c>
      <c r="CM61" s="93"/>
      <c r="CN61" s="39">
        <f t="shared" si="59"/>
        <v>2.6003972395548303</v>
      </c>
      <c r="CO61" s="93">
        <v>40.264141451800178</v>
      </c>
      <c r="CP61" s="93">
        <v>12.230402903505531</v>
      </c>
      <c r="CQ61" s="93">
        <v>11.78443615729863</v>
      </c>
      <c r="CR61" s="93">
        <v>24.014839060804167</v>
      </c>
      <c r="CS61" s="90" t="e">
        <f t="shared" ref="CS61:CS75" si="67">BU61</f>
        <v>#REF!</v>
      </c>
      <c r="CT61" s="39">
        <f t="shared" si="60"/>
        <v>2.3036018395404811</v>
      </c>
      <c r="CU61" s="93">
        <v>81.969293659236243</v>
      </c>
      <c r="CV61" s="93">
        <v>10.447723743986325</v>
      </c>
      <c r="CW61" s="93">
        <v>20.965082348173706</v>
      </c>
      <c r="CX61" s="93">
        <v>31.412806092160039</v>
      </c>
      <c r="CZ61" s="39">
        <f t="shared" si="61"/>
        <v>2.3444837267214247</v>
      </c>
      <c r="DA61" s="93">
        <v>34.206270017633031</v>
      </c>
      <c r="DB61" s="93">
        <v>-7.1433715493975534</v>
      </c>
      <c r="DC61" s="93">
        <v>8.920816019370017</v>
      </c>
      <c r="DD61" s="93">
        <v>1.7774444699724654</v>
      </c>
      <c r="DF61" s="39">
        <f t="shared" si="62"/>
        <v>2.2591547110890398</v>
      </c>
      <c r="DG61" s="93">
        <v>43.741699464585146</v>
      </c>
      <c r="DH61" s="93">
        <v>13.535769692002548</v>
      </c>
      <c r="DI61" s="93">
        <v>10.949523770728023</v>
      </c>
      <c r="DJ61" s="93">
        <v>24.485293462730571</v>
      </c>
      <c r="DK61" s="93"/>
      <c r="DL61" s="39">
        <f t="shared" si="63"/>
        <v>2.4369670928403142</v>
      </c>
      <c r="DM61" s="93">
        <v>4.0213241770180499</v>
      </c>
      <c r="DN61" s="93">
        <v>4.055325601381333</v>
      </c>
      <c r="DO61" s="93">
        <v>1.0947425580756691</v>
      </c>
      <c r="DP61" s="93">
        <v>5.1500681594570024</v>
      </c>
    </row>
    <row r="62" spans="1:120" x14ac:dyDescent="0.3">
      <c r="A62" s="90" t="e">
        <f>name!#REF!</f>
        <v>#REF!</v>
      </c>
      <c r="B62" s="39">
        <f t="shared" si="44"/>
        <v>2.9873927143805101</v>
      </c>
      <c r="C62" s="93">
        <v>223.45199999999954</v>
      </c>
      <c r="D62" s="93">
        <v>16.32099999999997</v>
      </c>
      <c r="E62" s="93">
        <v>76.481434511542574</v>
      </c>
      <c r="F62" s="93">
        <v>92.802434511542543</v>
      </c>
      <c r="H62" s="39">
        <f t="shared" si="45"/>
        <v>2.7027065972447861</v>
      </c>
      <c r="I62" s="93">
        <v>10.129605191491642</v>
      </c>
      <c r="J62" s="93">
        <v>-0.34252249973408699</v>
      </c>
      <c r="K62" s="93">
        <v>3.0958737684558137</v>
      </c>
      <c r="L62" s="93">
        <v>2.753351268721727</v>
      </c>
      <c r="N62" s="39">
        <f t="shared" si="46"/>
        <v>2.7752129639048606</v>
      </c>
      <c r="O62" s="93">
        <v>49.401211396935132</v>
      </c>
      <c r="P62" s="93">
        <v>-7.2343121603684377</v>
      </c>
      <c r="Q62" s="93">
        <v>15.555114540422643</v>
      </c>
      <c r="R62" s="93">
        <v>8.3208023800542072</v>
      </c>
      <c r="S62" s="93"/>
      <c r="T62" s="39">
        <f t="shared" si="47"/>
        <v>3.0678398412407049</v>
      </c>
      <c r="U62" s="93">
        <v>163.92118341157277</v>
      </c>
      <c r="V62" s="93">
        <v>23.897834660102497</v>
      </c>
      <c r="W62" s="93">
        <v>57.830446202664113</v>
      </c>
      <c r="X62" s="93">
        <v>81.72828086276661</v>
      </c>
      <c r="Y62" s="90" t="e">
        <f t="shared" si="64"/>
        <v>#REF!</v>
      </c>
      <c r="Z62" s="39">
        <f t="shared" si="48"/>
        <v>3.115253870350565</v>
      </c>
      <c r="AA62" s="93">
        <v>152.77157011744924</v>
      </c>
      <c r="AB62" s="93">
        <v>23.667742514510199</v>
      </c>
      <c r="AC62" s="93">
        <v>54.849629303140759</v>
      </c>
      <c r="AD62" s="93">
        <v>78.517371817650954</v>
      </c>
      <c r="AF62" s="39">
        <f t="shared" si="49"/>
        <v>2.8153091738603475</v>
      </c>
      <c r="AG62" s="93">
        <v>4.0545970665235638</v>
      </c>
      <c r="AH62" s="93">
        <v>1.1763868580624641</v>
      </c>
      <c r="AI62" s="93">
        <v>1.2975194554462604</v>
      </c>
      <c r="AJ62" s="93">
        <v>2.4739063135087247</v>
      </c>
      <c r="AL62" s="39">
        <f t="shared" si="50"/>
        <v>2.9300260019708757</v>
      </c>
      <c r="AM62" s="93">
        <v>25.201713800358746</v>
      </c>
      <c r="AN62" s="93">
        <v>-0.99571290511587751</v>
      </c>
      <c r="AO62" s="93">
        <v>8.4378921676941143</v>
      </c>
      <c r="AP62" s="93">
        <v>7.4421792625782359</v>
      </c>
      <c r="AQ62" s="93"/>
      <c r="AR62" s="39">
        <f t="shared" si="51"/>
        <v>3.162364541262197</v>
      </c>
      <c r="AS62" s="93">
        <v>123.5152592505669</v>
      </c>
      <c r="AT62" s="93">
        <v>23.487068561563614</v>
      </c>
      <c r="AU62" s="93">
        <v>45.11421768000038</v>
      </c>
      <c r="AV62" s="93">
        <v>68.601286241563997</v>
      </c>
      <c r="AW62" s="90" t="e">
        <f t="shared" si="65"/>
        <v>#REF!</v>
      </c>
      <c r="AX62" s="39">
        <f t="shared" si="52"/>
        <v>2.7074686991907182</v>
      </c>
      <c r="AY62" s="93">
        <v>63.099183012426266</v>
      </c>
      <c r="AZ62" s="93">
        <v>-8.1666011273025987</v>
      </c>
      <c r="BA62" s="93">
        <v>19.322977545320413</v>
      </c>
      <c r="BB62" s="93">
        <v>11.156376418017812</v>
      </c>
      <c r="BD62" s="39">
        <f t="shared" si="53"/>
        <v>2.5809393895366073</v>
      </c>
      <c r="BE62" s="93">
        <v>3.8989278482616347</v>
      </c>
      <c r="BF62" s="93">
        <v>-1.4264888386863785</v>
      </c>
      <c r="BG62" s="93">
        <v>1.13158099277498</v>
      </c>
      <c r="BH62" s="93">
        <v>-0.29490784591139857</v>
      </c>
      <c r="BJ62" s="39">
        <f t="shared" si="54"/>
        <v>2.6099720549441985</v>
      </c>
      <c r="BK62" s="93">
        <v>20.535319575677597</v>
      </c>
      <c r="BL62" s="93">
        <v>-6.6729139331144127</v>
      </c>
      <c r="BM62" s="93">
        <v>6.0350233240421796</v>
      </c>
      <c r="BN62" s="93">
        <v>-0.63789060907223316</v>
      </c>
      <c r="BO62" s="93"/>
      <c r="BP62" s="39">
        <f t="shared" si="55"/>
        <v>2.7715378913155231</v>
      </c>
      <c r="BQ62" s="93">
        <v>38.66493558848704</v>
      </c>
      <c r="BR62" s="93">
        <v>-6.719835550180675E-2</v>
      </c>
      <c r="BS62" s="93">
        <v>12.156373228503252</v>
      </c>
      <c r="BT62" s="93">
        <v>12.089174873001445</v>
      </c>
      <c r="BU62" s="90" t="e">
        <f t="shared" si="66"/>
        <v>#REF!</v>
      </c>
      <c r="BV62" s="39">
        <f t="shared" si="56"/>
        <v>2.6220470512831273</v>
      </c>
      <c r="BW62" s="93">
        <v>5.5023713341610581</v>
      </c>
      <c r="BX62" s="93">
        <v>0.709064831134398</v>
      </c>
      <c r="BY62" s="93">
        <v>1.6254471384354698</v>
      </c>
      <c r="BZ62" s="93">
        <v>2.334511969569868</v>
      </c>
      <c r="CB62" s="39">
        <f t="shared" si="57"/>
        <v>2.5681173483516284</v>
      </c>
      <c r="CC62" s="93">
        <v>1.2121650788045106</v>
      </c>
      <c r="CD62" s="93">
        <v>0.18730291694992937</v>
      </c>
      <c r="CE62" s="93">
        <v>0.3498513913772372</v>
      </c>
      <c r="CF62" s="93">
        <v>0.53715430832716649</v>
      </c>
      <c r="CH62" s="39">
        <f t="shared" si="58"/>
        <v>2.5816875541381901</v>
      </c>
      <c r="CI62" s="93">
        <v>3.0029888388418309</v>
      </c>
      <c r="CJ62" s="93">
        <v>0.29040114785941096</v>
      </c>
      <c r="CK62" s="93">
        <v>0.87183632094087737</v>
      </c>
      <c r="CL62" s="93">
        <v>1.1622374688002883</v>
      </c>
      <c r="CM62" s="93"/>
      <c r="CN62" s="39">
        <f t="shared" si="59"/>
        <v>2.765792391549815</v>
      </c>
      <c r="CO62" s="93">
        <v>1.2872174165147163</v>
      </c>
      <c r="CP62" s="93">
        <v>0.23136076632505748</v>
      </c>
      <c r="CQ62" s="93">
        <v>0.40375942611735538</v>
      </c>
      <c r="CR62" s="93">
        <v>0.6351201924424128</v>
      </c>
      <c r="CS62" s="90" t="e">
        <f t="shared" si="67"/>
        <v>#REF!</v>
      </c>
      <c r="CT62" s="39">
        <f t="shared" si="60"/>
        <v>2.882982269596579</v>
      </c>
      <c r="CU62" s="93">
        <v>2.0788755359629878</v>
      </c>
      <c r="CV62" s="93">
        <v>0.11079378165796983</v>
      </c>
      <c r="CW62" s="93">
        <v>0.68338052464593657</v>
      </c>
      <c r="CX62" s="93">
        <v>0.7941743063039064</v>
      </c>
      <c r="CZ62" s="39">
        <f t="shared" si="61"/>
        <v>2.8834473778163394</v>
      </c>
      <c r="DA62" s="93">
        <v>0.9639151979019317</v>
      </c>
      <c r="DB62" s="93">
        <v>-0.27972343606010208</v>
      </c>
      <c r="DC62" s="93">
        <v>0.31692192885733617</v>
      </c>
      <c r="DD62" s="93">
        <v>3.7198492797234056E-2</v>
      </c>
      <c r="DF62" s="39">
        <f t="shared" si="62"/>
        <v>2.8008609727499634</v>
      </c>
      <c r="DG62" s="93">
        <v>0.66118918205696109</v>
      </c>
      <c r="DH62" s="93">
        <v>0.14391353000244075</v>
      </c>
      <c r="DI62" s="93">
        <v>0.21036272774547143</v>
      </c>
      <c r="DJ62" s="93">
        <v>0.35427625774791216</v>
      </c>
      <c r="DK62" s="93"/>
      <c r="DL62" s="39">
        <f t="shared" si="63"/>
        <v>3.0006170576280633</v>
      </c>
      <c r="DM62" s="93">
        <v>0.45377115600409529</v>
      </c>
      <c r="DN62" s="93">
        <v>0.24660368771563115</v>
      </c>
      <c r="DO62" s="93">
        <v>0.15609586804312911</v>
      </c>
      <c r="DP62" s="93">
        <v>0.40269955575876026</v>
      </c>
    </row>
    <row r="63" spans="1:120" x14ac:dyDescent="0.3">
      <c r="A63" s="90" t="e">
        <f>name!#REF!</f>
        <v>#REF!</v>
      </c>
      <c r="B63" s="39">
        <f t="shared" si="44"/>
        <v>2.8318785937824886</v>
      </c>
      <c r="C63" s="93">
        <v>2280.697111816894</v>
      </c>
      <c r="D63" s="93">
        <v>333.85127836326922</v>
      </c>
      <c r="E63" s="93">
        <v>734.70552907606873</v>
      </c>
      <c r="F63" s="93">
        <v>1068.5568074393379</v>
      </c>
      <c r="H63" s="39">
        <f t="shared" si="45"/>
        <v>2.7549207370162865</v>
      </c>
      <c r="I63" s="93">
        <v>283.04810837105344</v>
      </c>
      <c r="J63" s="93">
        <v>-0.74752589975027828</v>
      </c>
      <c r="K63" s="93">
        <v>88.390071573508365</v>
      </c>
      <c r="L63" s="93">
        <v>87.642545673758079</v>
      </c>
      <c r="N63" s="39">
        <f t="shared" si="46"/>
        <v>2.7471439144256316</v>
      </c>
      <c r="O63" s="93">
        <v>699.77572635201216</v>
      </c>
      <c r="P63" s="93">
        <v>138.82655476432222</v>
      </c>
      <c r="Q63" s="93">
        <v>217.83072664942705</v>
      </c>
      <c r="R63" s="93">
        <v>356.65728141374927</v>
      </c>
      <c r="S63" s="93"/>
      <c r="T63" s="39">
        <f t="shared" si="47"/>
        <v>2.8939541756485054</v>
      </c>
      <c r="U63" s="93">
        <v>1297.8732770938286</v>
      </c>
      <c r="V63" s="93">
        <v>195.77224949869728</v>
      </c>
      <c r="W63" s="93">
        <v>428.48473085313316</v>
      </c>
      <c r="X63" s="93">
        <v>624.25698035183052</v>
      </c>
      <c r="Y63" s="90" t="e">
        <f t="shared" si="64"/>
        <v>#REF!</v>
      </c>
      <c r="Z63" s="39">
        <f t="shared" si="48"/>
        <v>2.8785897697706897</v>
      </c>
      <c r="AA63" s="93">
        <v>1376.3410743701511</v>
      </c>
      <c r="AB63" s="93">
        <v>228.17890869238147</v>
      </c>
      <c r="AC63" s="93">
        <v>451.65852053812984</v>
      </c>
      <c r="AD63" s="93">
        <v>679.83742923051125</v>
      </c>
      <c r="AF63" s="39">
        <f t="shared" si="49"/>
        <v>2.7957231009731576</v>
      </c>
      <c r="AG63" s="93">
        <v>50.44110866811203</v>
      </c>
      <c r="AH63" s="93">
        <v>12.529196374543888</v>
      </c>
      <c r="AI63" s="93">
        <v>16.015026714248812</v>
      </c>
      <c r="AJ63" s="93">
        <v>28.544223088792698</v>
      </c>
      <c r="AL63" s="39">
        <f t="shared" si="50"/>
        <v>2.7886108998469661</v>
      </c>
      <c r="AM63" s="93">
        <v>237.91538858222418</v>
      </c>
      <c r="AN63" s="93">
        <v>57.839439754593094</v>
      </c>
      <c r="AO63" s="93">
        <v>75.321212862289059</v>
      </c>
      <c r="AP63" s="93">
        <v>133.16065261688217</v>
      </c>
      <c r="AQ63" s="93"/>
      <c r="AR63" s="39">
        <f t="shared" si="51"/>
        <v>2.9019926640608151</v>
      </c>
      <c r="AS63" s="93">
        <v>1087.984577119815</v>
      </c>
      <c r="AT63" s="93">
        <v>157.81027256324452</v>
      </c>
      <c r="AU63" s="93">
        <v>360.32228096159196</v>
      </c>
      <c r="AV63" s="93">
        <v>518.13255352483634</v>
      </c>
      <c r="AW63" s="90" t="e">
        <f t="shared" si="65"/>
        <v>#REF!</v>
      </c>
      <c r="AX63" s="39">
        <f t="shared" si="52"/>
        <v>2.6424249686811008</v>
      </c>
      <c r="AY63" s="93">
        <v>523.22518477326673</v>
      </c>
      <c r="AZ63" s="93">
        <v>52.913801027885178</v>
      </c>
      <c r="BA63" s="93">
        <v>155.91226381320303</v>
      </c>
      <c r="BB63" s="93">
        <v>208.82606484108817</v>
      </c>
      <c r="BD63" s="39">
        <f t="shared" si="53"/>
        <v>2.5567595525065601</v>
      </c>
      <c r="BE63" s="93">
        <v>71.038062853520373</v>
      </c>
      <c r="BF63" s="93">
        <v>-0.99683372471191745</v>
      </c>
      <c r="BG63" s="93">
        <v>20.401472725463666</v>
      </c>
      <c r="BH63" s="93">
        <v>19.40463900075175</v>
      </c>
      <c r="BJ63" s="39">
        <f t="shared" si="54"/>
        <v>2.5991209312550723</v>
      </c>
      <c r="BK63" s="93">
        <v>287.37783213184116</v>
      </c>
      <c r="BL63" s="93">
        <v>26.153950013495834</v>
      </c>
      <c r="BM63" s="93">
        <v>84.063015645700077</v>
      </c>
      <c r="BN63" s="93">
        <v>110.21696565919591</v>
      </c>
      <c r="BO63" s="93"/>
      <c r="BP63" s="39">
        <f t="shared" si="55"/>
        <v>2.7540294923941611</v>
      </c>
      <c r="BQ63" s="93">
        <v>164.80928978790524</v>
      </c>
      <c r="BR63" s="93">
        <v>27.756684739101249</v>
      </c>
      <c r="BS63" s="93">
        <v>51.44777544203928</v>
      </c>
      <c r="BT63" s="93">
        <v>79.204460181140519</v>
      </c>
      <c r="BU63" s="90" t="e">
        <f t="shared" si="66"/>
        <v>#REF!</v>
      </c>
      <c r="BV63" s="39">
        <f t="shared" si="56"/>
        <v>3.0340414804767457</v>
      </c>
      <c r="BW63" s="93">
        <v>85.622354303695573</v>
      </c>
      <c r="BX63" s="93">
        <v>25.553340948968874</v>
      </c>
      <c r="BY63" s="93">
        <v>29.827799955063963</v>
      </c>
      <c r="BZ63" s="93">
        <v>55.38114090403284</v>
      </c>
      <c r="CB63" s="39">
        <f t="shared" si="57"/>
        <v>2.8104311558199369</v>
      </c>
      <c r="CC63" s="93">
        <v>30.284463826404377</v>
      </c>
      <c r="CD63" s="93">
        <v>8.1375545884132379</v>
      </c>
      <c r="CE63" s="93">
        <v>9.6724276046623192</v>
      </c>
      <c r="CF63" s="93">
        <v>17.809982193075562</v>
      </c>
      <c r="CH63" s="39">
        <f t="shared" si="58"/>
        <v>3.032601937255075</v>
      </c>
      <c r="CI63" s="93">
        <v>41.892604481564547</v>
      </c>
      <c r="CJ63" s="93">
        <v>15.854631919648618</v>
      </c>
      <c r="CK63" s="93">
        <v>14.586010214101943</v>
      </c>
      <c r="CL63" s="93">
        <v>30.440642133750558</v>
      </c>
      <c r="CM63" s="93"/>
      <c r="CN63" s="39">
        <f t="shared" si="59"/>
        <v>3.5265698752577679</v>
      </c>
      <c r="CO63" s="93">
        <v>13.445285995726644</v>
      </c>
      <c r="CP63" s="93">
        <v>1.5611544409070162</v>
      </c>
      <c r="CQ63" s="93">
        <v>5.569362136299703</v>
      </c>
      <c r="CR63" s="93">
        <v>7.1305165772067181</v>
      </c>
      <c r="CS63" s="90" t="e">
        <f t="shared" si="67"/>
        <v>#REF!</v>
      </c>
      <c r="CT63" s="39">
        <f t="shared" si="60"/>
        <v>2.8873206920158934</v>
      </c>
      <c r="CU63" s="93">
        <v>295.50849836978091</v>
      </c>
      <c r="CV63" s="93">
        <v>27.205227694033695</v>
      </c>
      <c r="CW63" s="93">
        <v>97.30694476967183</v>
      </c>
      <c r="CX63" s="93">
        <v>124.51217246370554</v>
      </c>
      <c r="CZ63" s="39">
        <f t="shared" si="61"/>
        <v>2.8324154996547835</v>
      </c>
      <c r="DA63" s="93">
        <v>131.28447302301666</v>
      </c>
      <c r="DB63" s="93">
        <v>-20.417443137995487</v>
      </c>
      <c r="DC63" s="93">
        <v>42.301144529133552</v>
      </c>
      <c r="DD63" s="93">
        <v>21.883701391138072</v>
      </c>
      <c r="DF63" s="39">
        <f t="shared" si="62"/>
        <v>2.8990149638167262</v>
      </c>
      <c r="DG63" s="93">
        <v>132.58990115638235</v>
      </c>
      <c r="DH63" s="93">
        <v>38.978533076584675</v>
      </c>
      <c r="DI63" s="93">
        <v>43.860487927335967</v>
      </c>
      <c r="DJ63" s="93">
        <v>82.839021003920635</v>
      </c>
      <c r="DK63" s="93"/>
      <c r="DL63" s="39">
        <f t="shared" si="63"/>
        <v>3.0642208582672747</v>
      </c>
      <c r="DM63" s="93">
        <v>31.634124190381911</v>
      </c>
      <c r="DN63" s="93">
        <v>8.6441377554445076</v>
      </c>
      <c r="DO63" s="93">
        <v>11.145312313202311</v>
      </c>
      <c r="DP63" s="93">
        <v>19.789450068646818</v>
      </c>
    </row>
    <row r="64" spans="1:120" x14ac:dyDescent="0.3">
      <c r="A64" s="90" t="e">
        <f>name!#REF!</f>
        <v>#REF!</v>
      </c>
      <c r="B64" s="39">
        <f t="shared" si="44"/>
        <v>2.8169915417421754</v>
      </c>
      <c r="C64" s="93">
        <v>158.75130574877755</v>
      </c>
      <c r="D64" s="93">
        <v>31.053175488358242</v>
      </c>
      <c r="E64" s="93">
        <v>50.836604439456309</v>
      </c>
      <c r="F64" s="93">
        <v>81.889779927814544</v>
      </c>
      <c r="H64" s="39">
        <f t="shared" si="45"/>
        <v>2.7131406842493488</v>
      </c>
      <c r="I64" s="93">
        <v>37.269430586923946</v>
      </c>
      <c r="J64" s="93">
        <v>2.0080357660646397</v>
      </c>
      <c r="K64" s="93">
        <v>11.439976930786587</v>
      </c>
      <c r="L64" s="93">
        <v>13.448012696851226</v>
      </c>
      <c r="N64" s="39">
        <f t="shared" si="46"/>
        <v>2.6835187325179533</v>
      </c>
      <c r="O64" s="93">
        <v>64.168727676686729</v>
      </c>
      <c r="P64" s="93">
        <v>9.648746828409589</v>
      </c>
      <c r="Q64" s="93">
        <v>19.45525621806194</v>
      </c>
      <c r="R64" s="93">
        <v>29.104003046471529</v>
      </c>
      <c r="S64" s="93"/>
      <c r="T64" s="39">
        <f t="shared" si="47"/>
        <v>3.0307741956072665</v>
      </c>
      <c r="U64" s="93">
        <v>57.313147485166859</v>
      </c>
      <c r="V64" s="93">
        <v>19.396392893884016</v>
      </c>
      <c r="W64" s="93">
        <v>19.941371290607766</v>
      </c>
      <c r="X64" s="93">
        <v>39.337764184491782</v>
      </c>
      <c r="Y64" s="90" t="e">
        <f t="shared" si="64"/>
        <v>#REF!</v>
      </c>
      <c r="Z64" s="39">
        <f t="shared" si="48"/>
        <v>3.0844034831169376</v>
      </c>
      <c r="AA64" s="93">
        <v>54.043501876163091</v>
      </c>
      <c r="AB64" s="93">
        <v>16.838248878570081</v>
      </c>
      <c r="AC64" s="93">
        <v>19.18381203425853</v>
      </c>
      <c r="AD64" s="93">
        <v>36.022060912828607</v>
      </c>
      <c r="AF64" s="39">
        <f t="shared" si="49"/>
        <v>3.0687126992563263</v>
      </c>
      <c r="AG64" s="93">
        <v>2.872339077635929</v>
      </c>
      <c r="AH64" s="93">
        <v>0.88105911598627318</v>
      </c>
      <c r="AI64" s="93">
        <v>1.0136737094918047</v>
      </c>
      <c r="AJ64" s="93">
        <v>1.8947328254780778</v>
      </c>
      <c r="AL64" s="39">
        <f t="shared" si="50"/>
        <v>2.9854531104971826</v>
      </c>
      <c r="AM64" s="93">
        <v>8.4616752757594771</v>
      </c>
      <c r="AN64" s="93">
        <v>0.5129240985808613</v>
      </c>
      <c r="AO64" s="93">
        <v>2.8940583365838495</v>
      </c>
      <c r="AP64" s="93">
        <v>3.4069824351647107</v>
      </c>
      <c r="AQ64" s="93"/>
      <c r="AR64" s="39">
        <f t="shared" si="51"/>
        <v>3.1049593059016889</v>
      </c>
      <c r="AS64" s="93">
        <v>42.709487522767688</v>
      </c>
      <c r="AT64" s="93">
        <v>15.444265664002945</v>
      </c>
      <c r="AU64" s="93">
        <v>15.276079988182877</v>
      </c>
      <c r="AV64" s="93">
        <v>30.72034565218582</v>
      </c>
      <c r="AW64" s="90" t="e">
        <f t="shared" si="65"/>
        <v>#REF!</v>
      </c>
      <c r="AX64" s="39">
        <f t="shared" si="52"/>
        <v>2.6049805214462873</v>
      </c>
      <c r="AY64" s="93">
        <v>67.279720597550053</v>
      </c>
      <c r="AZ64" s="93">
        <v>-1.7061260839949342</v>
      </c>
      <c r="BA64" s="93">
        <v>19.73016584504331</v>
      </c>
      <c r="BB64" s="93">
        <v>18.024039761048375</v>
      </c>
      <c r="BD64" s="39">
        <f t="shared" si="53"/>
        <v>2.5409532368865007</v>
      </c>
      <c r="BE64" s="93">
        <v>14.926976334729311</v>
      </c>
      <c r="BF64" s="93">
        <v>-1.3830273865244627</v>
      </c>
      <c r="BG64" s="93">
        <v>4.2572967639145958</v>
      </c>
      <c r="BH64" s="93">
        <v>2.8742693773901333</v>
      </c>
      <c r="BJ64" s="39">
        <f t="shared" si="54"/>
        <v>2.5796718808031471</v>
      </c>
      <c r="BK64" s="93">
        <v>40.385319730226364</v>
      </c>
      <c r="BL64" s="93">
        <v>-0.75084702548436888</v>
      </c>
      <c r="BM64" s="93">
        <v>11.714543255967428</v>
      </c>
      <c r="BN64" s="93">
        <v>10.963696230483059</v>
      </c>
      <c r="BO64" s="93"/>
      <c r="BP64" s="39">
        <f t="shared" si="55"/>
        <v>2.7687485385664345</v>
      </c>
      <c r="BQ64" s="93">
        <v>11.967424532594377</v>
      </c>
      <c r="BR64" s="93">
        <v>0.42774832801389723</v>
      </c>
      <c r="BS64" s="93">
        <v>3.7583258251612852</v>
      </c>
      <c r="BT64" s="93">
        <v>4.1860741531751824</v>
      </c>
      <c r="BU64" s="90" t="e">
        <f t="shared" si="66"/>
        <v>#REF!</v>
      </c>
      <c r="BV64" s="39">
        <f t="shared" si="56"/>
        <v>2.518201489640326</v>
      </c>
      <c r="BW64" s="93">
        <v>11.027664527945932</v>
      </c>
      <c r="BX64" s="93">
        <v>1.3879359269084375</v>
      </c>
      <c r="BY64" s="93">
        <v>3.1137656010156576</v>
      </c>
      <c r="BZ64" s="93">
        <v>4.5017015279240953</v>
      </c>
      <c r="CB64" s="39">
        <f t="shared" si="57"/>
        <v>2.4600010102901804</v>
      </c>
      <c r="CC64" s="93">
        <v>4.6043551889988352</v>
      </c>
      <c r="CD64" s="93">
        <v>-9.4762721156135488E-2</v>
      </c>
      <c r="CE64" s="93">
        <v>1.2666488182504458</v>
      </c>
      <c r="CF64" s="93">
        <v>1.1718860970943104</v>
      </c>
      <c r="CH64" s="39">
        <f t="shared" si="58"/>
        <v>2.5135092689739569</v>
      </c>
      <c r="CI64" s="93">
        <v>5.3897928205850842</v>
      </c>
      <c r="CJ64" s="93">
        <v>0.93986804735963958</v>
      </c>
      <c r="CK64" s="93">
        <v>1.5186963016257615</v>
      </c>
      <c r="CL64" s="93">
        <v>2.458564348985401</v>
      </c>
      <c r="CM64" s="93"/>
      <c r="CN64" s="39">
        <f t="shared" si="59"/>
        <v>2.7978329732376128</v>
      </c>
      <c r="CO64" s="93">
        <v>1.0335165183620134</v>
      </c>
      <c r="CP64" s="93">
        <v>0.5428306007049335</v>
      </c>
      <c r="CQ64" s="93">
        <v>0.32842048113944977</v>
      </c>
      <c r="CR64" s="93">
        <v>0.87125108184438327</v>
      </c>
      <c r="CS64" s="90" t="e">
        <f t="shared" si="67"/>
        <v>#REF!</v>
      </c>
      <c r="CT64" s="39">
        <f t="shared" si="60"/>
        <v>2.9211505487475975</v>
      </c>
      <c r="CU64" s="93">
        <v>26.400418747118454</v>
      </c>
      <c r="CV64" s="93">
        <v>14.533116766874658</v>
      </c>
      <c r="CW64" s="93">
        <v>8.8088609591388032</v>
      </c>
      <c r="CX64" s="93">
        <v>23.341977726013461</v>
      </c>
      <c r="CZ64" s="39">
        <f t="shared" si="61"/>
        <v>2.8911023071172881</v>
      </c>
      <c r="DA64" s="93">
        <v>14.865759985559873</v>
      </c>
      <c r="DB64" s="93">
        <v>2.6047667577589646</v>
      </c>
      <c r="DC64" s="93">
        <v>4.9023576391297414</v>
      </c>
      <c r="DD64" s="93">
        <v>7.507124396888706</v>
      </c>
      <c r="DF64" s="39">
        <f t="shared" si="62"/>
        <v>2.9320472834624356</v>
      </c>
      <c r="DG64" s="93">
        <v>9.9319398501158016</v>
      </c>
      <c r="DH64" s="93">
        <v>8.9468017079534565</v>
      </c>
      <c r="DI64" s="93">
        <v>3.3279583238849022</v>
      </c>
      <c r="DJ64" s="93">
        <v>12.274760031838358</v>
      </c>
      <c r="DK64" s="93"/>
      <c r="DL64" s="39">
        <f t="shared" si="63"/>
        <v>3.1300160142738953</v>
      </c>
      <c r="DM64" s="93">
        <v>1.6027189114427818</v>
      </c>
      <c r="DN64" s="93">
        <v>2.981548301162237</v>
      </c>
      <c r="DO64" s="93">
        <v>0.57854499612415899</v>
      </c>
      <c r="DP64" s="93">
        <v>3.5600932972863961</v>
      </c>
    </row>
    <row r="65" spans="1:120" x14ac:dyDescent="0.3">
      <c r="A65" s="90" t="e">
        <f>name!#REF!</f>
        <v>#REF!</v>
      </c>
      <c r="B65" s="39">
        <f t="shared" si="44"/>
        <v>0</v>
      </c>
      <c r="C65" s="93">
        <v>0</v>
      </c>
      <c r="D65" s="93">
        <v>0</v>
      </c>
      <c r="E65" s="93">
        <v>0</v>
      </c>
      <c r="F65" s="93">
        <v>0</v>
      </c>
      <c r="H65" s="39">
        <f t="shared" si="45"/>
        <v>0</v>
      </c>
      <c r="I65" s="93">
        <v>0</v>
      </c>
      <c r="J65" s="93">
        <v>0</v>
      </c>
      <c r="K65" s="93">
        <v>0</v>
      </c>
      <c r="L65" s="93">
        <v>0</v>
      </c>
      <c r="N65" s="39">
        <f t="shared" si="46"/>
        <v>0</v>
      </c>
      <c r="O65" s="93">
        <v>0</v>
      </c>
      <c r="P65" s="93">
        <v>0</v>
      </c>
      <c r="Q65" s="93">
        <v>0</v>
      </c>
      <c r="R65" s="93">
        <v>0</v>
      </c>
      <c r="S65" s="93"/>
      <c r="T65" s="39">
        <f t="shared" si="47"/>
        <v>0</v>
      </c>
      <c r="U65" s="93">
        <v>0</v>
      </c>
      <c r="V65" s="93">
        <v>0</v>
      </c>
      <c r="W65" s="93">
        <v>0</v>
      </c>
      <c r="X65" s="93">
        <v>0</v>
      </c>
      <c r="Y65" s="90" t="e">
        <f t="shared" si="64"/>
        <v>#REF!</v>
      </c>
      <c r="Z65" s="39">
        <f t="shared" si="48"/>
        <v>0</v>
      </c>
      <c r="AA65" s="93">
        <v>0</v>
      </c>
      <c r="AB65" s="93">
        <v>0</v>
      </c>
      <c r="AC65" s="93">
        <v>0</v>
      </c>
      <c r="AD65" s="93">
        <v>0</v>
      </c>
      <c r="AF65" s="39">
        <f t="shared" si="49"/>
        <v>0</v>
      </c>
      <c r="AG65" s="93">
        <v>0</v>
      </c>
      <c r="AH65" s="93">
        <v>0</v>
      </c>
      <c r="AI65" s="93">
        <v>0</v>
      </c>
      <c r="AJ65" s="93">
        <v>0</v>
      </c>
      <c r="AL65" s="39">
        <f t="shared" si="50"/>
        <v>0</v>
      </c>
      <c r="AM65" s="93">
        <v>0</v>
      </c>
      <c r="AN65" s="93">
        <v>0</v>
      </c>
      <c r="AO65" s="93">
        <v>0</v>
      </c>
      <c r="AP65" s="93">
        <v>0</v>
      </c>
      <c r="AQ65" s="93"/>
      <c r="AR65" s="39">
        <f t="shared" si="51"/>
        <v>0</v>
      </c>
      <c r="AS65" s="93">
        <v>0</v>
      </c>
      <c r="AT65" s="93">
        <v>0</v>
      </c>
      <c r="AU65" s="93">
        <v>0</v>
      </c>
      <c r="AV65" s="93">
        <v>0</v>
      </c>
      <c r="AW65" s="90" t="e">
        <f t="shared" si="65"/>
        <v>#REF!</v>
      </c>
      <c r="AX65" s="39">
        <f t="shared" si="52"/>
        <v>0</v>
      </c>
      <c r="AY65" s="93">
        <v>0</v>
      </c>
      <c r="AZ65" s="93">
        <v>0</v>
      </c>
      <c r="BA65" s="93">
        <v>0</v>
      </c>
      <c r="BB65" s="93">
        <v>0</v>
      </c>
      <c r="BD65" s="39">
        <f t="shared" si="53"/>
        <v>0</v>
      </c>
      <c r="BE65" s="93">
        <v>0</v>
      </c>
      <c r="BF65" s="93">
        <v>0</v>
      </c>
      <c r="BG65" s="93">
        <v>0</v>
      </c>
      <c r="BH65" s="93">
        <v>0</v>
      </c>
      <c r="BJ65" s="39">
        <f t="shared" si="54"/>
        <v>0</v>
      </c>
      <c r="BK65" s="93">
        <v>0</v>
      </c>
      <c r="BL65" s="93">
        <v>0</v>
      </c>
      <c r="BM65" s="93">
        <v>0</v>
      </c>
      <c r="BN65" s="93">
        <v>0</v>
      </c>
      <c r="BO65" s="93"/>
      <c r="BP65" s="39">
        <f t="shared" si="55"/>
        <v>0</v>
      </c>
      <c r="BQ65" s="93">
        <v>0</v>
      </c>
      <c r="BR65" s="93">
        <v>0</v>
      </c>
      <c r="BS65" s="93">
        <v>0</v>
      </c>
      <c r="BT65" s="93">
        <v>0</v>
      </c>
      <c r="BU65" s="90" t="e">
        <f t="shared" si="66"/>
        <v>#REF!</v>
      </c>
      <c r="BV65" s="39">
        <f t="shared" si="56"/>
        <v>0</v>
      </c>
      <c r="BW65" s="93">
        <v>0</v>
      </c>
      <c r="BX65" s="93">
        <v>0</v>
      </c>
      <c r="BY65" s="93">
        <v>0</v>
      </c>
      <c r="BZ65" s="93">
        <v>0</v>
      </c>
      <c r="CB65" s="39">
        <f t="shared" si="57"/>
        <v>0</v>
      </c>
      <c r="CC65" s="93">
        <v>0</v>
      </c>
      <c r="CD65" s="93">
        <v>0</v>
      </c>
      <c r="CE65" s="93">
        <v>0</v>
      </c>
      <c r="CF65" s="93">
        <v>0</v>
      </c>
      <c r="CH65" s="39">
        <f t="shared" si="58"/>
        <v>0</v>
      </c>
      <c r="CI65" s="93">
        <v>0</v>
      </c>
      <c r="CJ65" s="93">
        <v>0</v>
      </c>
      <c r="CK65" s="93">
        <v>0</v>
      </c>
      <c r="CL65" s="93">
        <v>0</v>
      </c>
      <c r="CM65" s="93"/>
      <c r="CN65" s="39">
        <f t="shared" si="59"/>
        <v>0</v>
      </c>
      <c r="CO65" s="93">
        <v>0</v>
      </c>
      <c r="CP65" s="93">
        <v>0</v>
      </c>
      <c r="CQ65" s="93">
        <v>0</v>
      </c>
      <c r="CR65" s="93">
        <v>0</v>
      </c>
      <c r="CS65" s="90" t="e">
        <f t="shared" si="67"/>
        <v>#REF!</v>
      </c>
      <c r="CT65" s="39">
        <f t="shared" si="60"/>
        <v>0</v>
      </c>
      <c r="CU65" s="93">
        <v>0</v>
      </c>
      <c r="CV65" s="93">
        <v>0</v>
      </c>
      <c r="CW65" s="93">
        <v>0</v>
      </c>
      <c r="CX65" s="93">
        <v>0</v>
      </c>
      <c r="CZ65" s="39">
        <f t="shared" si="61"/>
        <v>0</v>
      </c>
      <c r="DA65" s="93">
        <v>0</v>
      </c>
      <c r="DB65" s="93">
        <v>0</v>
      </c>
      <c r="DC65" s="93">
        <v>0</v>
      </c>
      <c r="DD65" s="93">
        <v>0</v>
      </c>
      <c r="DF65" s="39">
        <f t="shared" si="62"/>
        <v>0</v>
      </c>
      <c r="DG65" s="93">
        <v>0</v>
      </c>
      <c r="DH65" s="93">
        <v>0</v>
      </c>
      <c r="DI65" s="93">
        <v>0</v>
      </c>
      <c r="DJ65" s="93">
        <v>0</v>
      </c>
      <c r="DK65" s="93"/>
      <c r="DL65" s="39">
        <f t="shared" si="63"/>
        <v>0</v>
      </c>
      <c r="DM65" s="93">
        <v>0</v>
      </c>
      <c r="DN65" s="93">
        <v>0</v>
      </c>
      <c r="DO65" s="93">
        <v>0</v>
      </c>
      <c r="DP65" s="93">
        <v>0</v>
      </c>
    </row>
    <row r="66" spans="1:120" x14ac:dyDescent="0.3">
      <c r="A66" s="90" t="e">
        <f>name!#REF!</f>
        <v>#REF!</v>
      </c>
      <c r="B66" s="39" t="e">
        <f t="shared" si="44"/>
        <v>#N/A</v>
      </c>
      <c r="C66" s="93" t="e">
        <v>#N/A</v>
      </c>
      <c r="D66" s="93" t="e">
        <v>#N/A</v>
      </c>
      <c r="E66" s="93" t="e">
        <v>#N/A</v>
      </c>
      <c r="F66" s="93" t="e">
        <v>#N/A</v>
      </c>
      <c r="H66" s="39" t="e">
        <f t="shared" si="45"/>
        <v>#N/A</v>
      </c>
      <c r="I66" s="93" t="e">
        <v>#N/A</v>
      </c>
      <c r="J66" s="93" t="e">
        <v>#N/A</v>
      </c>
      <c r="K66" s="93" t="e">
        <v>#N/A</v>
      </c>
      <c r="L66" s="93" t="e">
        <v>#N/A</v>
      </c>
      <c r="N66" s="39" t="e">
        <f t="shared" si="46"/>
        <v>#N/A</v>
      </c>
      <c r="O66" s="93" t="e">
        <v>#N/A</v>
      </c>
      <c r="P66" s="93" t="e">
        <v>#N/A</v>
      </c>
      <c r="Q66" s="93" t="e">
        <v>#N/A</v>
      </c>
      <c r="R66" s="93" t="e">
        <v>#N/A</v>
      </c>
      <c r="S66" s="93"/>
      <c r="T66" s="39" t="e">
        <f t="shared" si="47"/>
        <v>#N/A</v>
      </c>
      <c r="U66" s="93" t="e">
        <v>#N/A</v>
      </c>
      <c r="V66" s="93" t="e">
        <v>#N/A</v>
      </c>
      <c r="W66" s="93" t="e">
        <v>#N/A</v>
      </c>
      <c r="X66" s="93" t="e">
        <v>#N/A</v>
      </c>
      <c r="Y66" s="90" t="e">
        <f t="shared" si="64"/>
        <v>#REF!</v>
      </c>
      <c r="Z66" s="39" t="e">
        <f t="shared" si="48"/>
        <v>#N/A</v>
      </c>
      <c r="AA66" s="93" t="e">
        <v>#N/A</v>
      </c>
      <c r="AB66" s="93" t="e">
        <v>#N/A</v>
      </c>
      <c r="AC66" s="93" t="e">
        <v>#N/A</v>
      </c>
      <c r="AD66" s="93" t="e">
        <v>#N/A</v>
      </c>
      <c r="AF66" s="39" t="e">
        <f t="shared" si="49"/>
        <v>#N/A</v>
      </c>
      <c r="AG66" s="93" t="e">
        <v>#N/A</v>
      </c>
      <c r="AH66" s="93" t="e">
        <v>#N/A</v>
      </c>
      <c r="AI66" s="93" t="e">
        <v>#N/A</v>
      </c>
      <c r="AJ66" s="93" t="e">
        <v>#N/A</v>
      </c>
      <c r="AL66" s="39" t="e">
        <f t="shared" si="50"/>
        <v>#N/A</v>
      </c>
      <c r="AM66" s="93" t="e">
        <v>#N/A</v>
      </c>
      <c r="AN66" s="93" t="e">
        <v>#N/A</v>
      </c>
      <c r="AO66" s="93" t="e">
        <v>#N/A</v>
      </c>
      <c r="AP66" s="93" t="e">
        <v>#N/A</v>
      </c>
      <c r="AQ66" s="93"/>
      <c r="AR66" s="39" t="e">
        <f t="shared" si="51"/>
        <v>#N/A</v>
      </c>
      <c r="AS66" s="93" t="e">
        <v>#N/A</v>
      </c>
      <c r="AT66" s="93" t="e">
        <v>#N/A</v>
      </c>
      <c r="AU66" s="93" t="e">
        <v>#N/A</v>
      </c>
      <c r="AV66" s="93" t="e">
        <v>#N/A</v>
      </c>
      <c r="AW66" s="90" t="e">
        <f t="shared" si="65"/>
        <v>#REF!</v>
      </c>
      <c r="AX66" s="39" t="e">
        <f t="shared" si="52"/>
        <v>#N/A</v>
      </c>
      <c r="AY66" s="93" t="e">
        <v>#N/A</v>
      </c>
      <c r="AZ66" s="93" t="e">
        <v>#N/A</v>
      </c>
      <c r="BA66" s="93" t="e">
        <v>#N/A</v>
      </c>
      <c r="BB66" s="93" t="e">
        <v>#N/A</v>
      </c>
      <c r="BD66" s="39" t="e">
        <f t="shared" si="53"/>
        <v>#N/A</v>
      </c>
      <c r="BE66" s="93" t="e">
        <v>#N/A</v>
      </c>
      <c r="BF66" s="93" t="e">
        <v>#N/A</v>
      </c>
      <c r="BG66" s="93" t="e">
        <v>#N/A</v>
      </c>
      <c r="BH66" s="93" t="e">
        <v>#N/A</v>
      </c>
      <c r="BJ66" s="39" t="e">
        <f t="shared" si="54"/>
        <v>#N/A</v>
      </c>
      <c r="BK66" s="93" t="e">
        <v>#N/A</v>
      </c>
      <c r="BL66" s="93" t="e">
        <v>#N/A</v>
      </c>
      <c r="BM66" s="93" t="e">
        <v>#N/A</v>
      </c>
      <c r="BN66" s="93" t="e">
        <v>#N/A</v>
      </c>
      <c r="BO66" s="93"/>
      <c r="BP66" s="39" t="e">
        <f t="shared" si="55"/>
        <v>#N/A</v>
      </c>
      <c r="BQ66" s="93" t="e">
        <v>#N/A</v>
      </c>
      <c r="BR66" s="93" t="e">
        <v>#N/A</v>
      </c>
      <c r="BS66" s="93" t="e">
        <v>#N/A</v>
      </c>
      <c r="BT66" s="93" t="e">
        <v>#N/A</v>
      </c>
      <c r="BU66" s="90" t="e">
        <f t="shared" si="66"/>
        <v>#REF!</v>
      </c>
      <c r="BV66" s="39" t="e">
        <f t="shared" si="56"/>
        <v>#N/A</v>
      </c>
      <c r="BW66" s="93" t="e">
        <v>#N/A</v>
      </c>
      <c r="BX66" s="93" t="e">
        <v>#N/A</v>
      </c>
      <c r="BY66" s="93" t="e">
        <v>#N/A</v>
      </c>
      <c r="BZ66" s="93" t="e">
        <v>#N/A</v>
      </c>
      <c r="CB66" s="39" t="e">
        <f t="shared" si="57"/>
        <v>#N/A</v>
      </c>
      <c r="CC66" s="93" t="e">
        <v>#N/A</v>
      </c>
      <c r="CD66" s="93" t="e">
        <v>#N/A</v>
      </c>
      <c r="CE66" s="93" t="e">
        <v>#N/A</v>
      </c>
      <c r="CF66" s="93" t="e">
        <v>#N/A</v>
      </c>
      <c r="CH66" s="39" t="e">
        <f t="shared" si="58"/>
        <v>#N/A</v>
      </c>
      <c r="CI66" s="93" t="e">
        <v>#N/A</v>
      </c>
      <c r="CJ66" s="93" t="e">
        <v>#N/A</v>
      </c>
      <c r="CK66" s="93" t="e">
        <v>#N/A</v>
      </c>
      <c r="CL66" s="93" t="e">
        <v>#N/A</v>
      </c>
      <c r="CM66" s="93"/>
      <c r="CN66" s="39" t="e">
        <f t="shared" si="59"/>
        <v>#N/A</v>
      </c>
      <c r="CO66" s="93" t="e">
        <v>#N/A</v>
      </c>
      <c r="CP66" s="93" t="e">
        <v>#N/A</v>
      </c>
      <c r="CQ66" s="93" t="e">
        <v>#N/A</v>
      </c>
      <c r="CR66" s="93" t="e">
        <v>#N/A</v>
      </c>
      <c r="CS66" s="90" t="e">
        <f t="shared" si="67"/>
        <v>#REF!</v>
      </c>
      <c r="CT66" s="39" t="e">
        <f t="shared" si="60"/>
        <v>#N/A</v>
      </c>
      <c r="CU66" s="93" t="e">
        <v>#N/A</v>
      </c>
      <c r="CV66" s="93" t="e">
        <v>#N/A</v>
      </c>
      <c r="CW66" s="93" t="e">
        <v>#N/A</v>
      </c>
      <c r="CX66" s="93" t="e">
        <v>#N/A</v>
      </c>
      <c r="CZ66" s="39" t="e">
        <f t="shared" si="61"/>
        <v>#N/A</v>
      </c>
      <c r="DA66" s="93" t="e">
        <v>#N/A</v>
      </c>
      <c r="DB66" s="93" t="e">
        <v>#N/A</v>
      </c>
      <c r="DC66" s="93" t="e">
        <v>#N/A</v>
      </c>
      <c r="DD66" s="93" t="e">
        <v>#N/A</v>
      </c>
      <c r="DF66" s="39" t="e">
        <f t="shared" si="62"/>
        <v>#N/A</v>
      </c>
      <c r="DG66" s="93" t="e">
        <v>#N/A</v>
      </c>
      <c r="DH66" s="93" t="e">
        <v>#N/A</v>
      </c>
      <c r="DI66" s="93" t="e">
        <v>#N/A</v>
      </c>
      <c r="DJ66" s="93" t="e">
        <v>#N/A</v>
      </c>
      <c r="DK66" s="93"/>
      <c r="DL66" s="39" t="e">
        <f t="shared" si="63"/>
        <v>#N/A</v>
      </c>
      <c r="DM66" s="93" t="e">
        <v>#N/A</v>
      </c>
      <c r="DN66" s="93" t="e">
        <v>#N/A</v>
      </c>
      <c r="DO66" s="93" t="e">
        <v>#N/A</v>
      </c>
      <c r="DP66" s="93" t="e">
        <v>#N/A</v>
      </c>
    </row>
    <row r="67" spans="1:120" x14ac:dyDescent="0.3">
      <c r="A67" s="90" t="e">
        <f>name!#REF!</f>
        <v>#REF!</v>
      </c>
      <c r="B67" s="39" t="e">
        <f t="shared" si="44"/>
        <v>#N/A</v>
      </c>
      <c r="C67" s="93" t="e">
        <v>#N/A</v>
      </c>
      <c r="D67" s="93" t="e">
        <v>#N/A</v>
      </c>
      <c r="E67" s="93" t="e">
        <v>#N/A</v>
      </c>
      <c r="F67" s="93" t="e">
        <v>#N/A</v>
      </c>
      <c r="H67" s="39" t="e">
        <f t="shared" si="45"/>
        <v>#N/A</v>
      </c>
      <c r="I67" s="93" t="e">
        <v>#N/A</v>
      </c>
      <c r="J67" s="93" t="e">
        <v>#N/A</v>
      </c>
      <c r="K67" s="93" t="e">
        <v>#N/A</v>
      </c>
      <c r="L67" s="93" t="e">
        <v>#N/A</v>
      </c>
      <c r="N67" s="39" t="e">
        <f t="shared" si="46"/>
        <v>#N/A</v>
      </c>
      <c r="O67" s="93" t="e">
        <v>#N/A</v>
      </c>
      <c r="P67" s="93" t="e">
        <v>#N/A</v>
      </c>
      <c r="Q67" s="93" t="e">
        <v>#N/A</v>
      </c>
      <c r="R67" s="93" t="e">
        <v>#N/A</v>
      </c>
      <c r="S67" s="93"/>
      <c r="T67" s="39" t="e">
        <f t="shared" si="47"/>
        <v>#N/A</v>
      </c>
      <c r="U67" s="93" t="e">
        <v>#N/A</v>
      </c>
      <c r="V67" s="93" t="e">
        <v>#N/A</v>
      </c>
      <c r="W67" s="93" t="e">
        <v>#N/A</v>
      </c>
      <c r="X67" s="93" t="e">
        <v>#N/A</v>
      </c>
      <c r="Y67" s="90" t="e">
        <f t="shared" si="64"/>
        <v>#REF!</v>
      </c>
      <c r="Z67" s="39" t="e">
        <f t="shared" si="48"/>
        <v>#N/A</v>
      </c>
      <c r="AA67" s="93" t="e">
        <v>#N/A</v>
      </c>
      <c r="AB67" s="93" t="e">
        <v>#N/A</v>
      </c>
      <c r="AC67" s="93" t="e">
        <v>#N/A</v>
      </c>
      <c r="AD67" s="93" t="e">
        <v>#N/A</v>
      </c>
      <c r="AF67" s="39" t="e">
        <f t="shared" si="49"/>
        <v>#N/A</v>
      </c>
      <c r="AG67" s="93" t="e">
        <v>#N/A</v>
      </c>
      <c r="AH67" s="93" t="e">
        <v>#N/A</v>
      </c>
      <c r="AI67" s="93" t="e">
        <v>#N/A</v>
      </c>
      <c r="AJ67" s="93" t="e">
        <v>#N/A</v>
      </c>
      <c r="AL67" s="39" t="e">
        <f t="shared" si="50"/>
        <v>#N/A</v>
      </c>
      <c r="AM67" s="93" t="e">
        <v>#N/A</v>
      </c>
      <c r="AN67" s="93" t="e">
        <v>#N/A</v>
      </c>
      <c r="AO67" s="93" t="e">
        <v>#N/A</v>
      </c>
      <c r="AP67" s="93" t="e">
        <v>#N/A</v>
      </c>
      <c r="AQ67" s="93"/>
      <c r="AR67" s="39" t="e">
        <f t="shared" si="51"/>
        <v>#N/A</v>
      </c>
      <c r="AS67" s="93" t="e">
        <v>#N/A</v>
      </c>
      <c r="AT67" s="93" t="e">
        <v>#N/A</v>
      </c>
      <c r="AU67" s="93" t="e">
        <v>#N/A</v>
      </c>
      <c r="AV67" s="93" t="e">
        <v>#N/A</v>
      </c>
      <c r="AW67" s="90" t="e">
        <f t="shared" si="65"/>
        <v>#REF!</v>
      </c>
      <c r="AX67" s="39" t="e">
        <f t="shared" si="52"/>
        <v>#N/A</v>
      </c>
      <c r="AY67" s="93" t="e">
        <v>#N/A</v>
      </c>
      <c r="AZ67" s="93" t="e">
        <v>#N/A</v>
      </c>
      <c r="BA67" s="93" t="e">
        <v>#N/A</v>
      </c>
      <c r="BB67" s="93" t="e">
        <v>#N/A</v>
      </c>
      <c r="BD67" s="39" t="e">
        <f t="shared" si="53"/>
        <v>#N/A</v>
      </c>
      <c r="BE67" s="93" t="e">
        <v>#N/A</v>
      </c>
      <c r="BF67" s="93" t="e">
        <v>#N/A</v>
      </c>
      <c r="BG67" s="93" t="e">
        <v>#N/A</v>
      </c>
      <c r="BH67" s="93" t="e">
        <v>#N/A</v>
      </c>
      <c r="BJ67" s="39" t="e">
        <f t="shared" si="54"/>
        <v>#N/A</v>
      </c>
      <c r="BK67" s="93" t="e">
        <v>#N/A</v>
      </c>
      <c r="BL67" s="93" t="e">
        <v>#N/A</v>
      </c>
      <c r="BM67" s="93" t="e">
        <v>#N/A</v>
      </c>
      <c r="BN67" s="93" t="e">
        <v>#N/A</v>
      </c>
      <c r="BO67" s="93"/>
      <c r="BP67" s="39" t="e">
        <f t="shared" si="55"/>
        <v>#N/A</v>
      </c>
      <c r="BQ67" s="93" t="e">
        <v>#N/A</v>
      </c>
      <c r="BR67" s="93" t="e">
        <v>#N/A</v>
      </c>
      <c r="BS67" s="93" t="e">
        <v>#N/A</v>
      </c>
      <c r="BT67" s="93" t="e">
        <v>#N/A</v>
      </c>
      <c r="BU67" s="90" t="e">
        <f t="shared" si="66"/>
        <v>#REF!</v>
      </c>
      <c r="BV67" s="39" t="e">
        <f t="shared" si="56"/>
        <v>#N/A</v>
      </c>
      <c r="BW67" s="93" t="e">
        <v>#N/A</v>
      </c>
      <c r="BX67" s="93" t="e">
        <v>#N/A</v>
      </c>
      <c r="BY67" s="93" t="e">
        <v>#N/A</v>
      </c>
      <c r="BZ67" s="93" t="e">
        <v>#N/A</v>
      </c>
      <c r="CB67" s="39" t="e">
        <f t="shared" si="57"/>
        <v>#N/A</v>
      </c>
      <c r="CC67" s="93" t="e">
        <v>#N/A</v>
      </c>
      <c r="CD67" s="93" t="e">
        <v>#N/A</v>
      </c>
      <c r="CE67" s="93" t="e">
        <v>#N/A</v>
      </c>
      <c r="CF67" s="93" t="e">
        <v>#N/A</v>
      </c>
      <c r="CH67" s="39" t="e">
        <f t="shared" si="58"/>
        <v>#N/A</v>
      </c>
      <c r="CI67" s="93" t="e">
        <v>#N/A</v>
      </c>
      <c r="CJ67" s="93" t="e">
        <v>#N/A</v>
      </c>
      <c r="CK67" s="93" t="e">
        <v>#N/A</v>
      </c>
      <c r="CL67" s="93" t="e">
        <v>#N/A</v>
      </c>
      <c r="CM67" s="93"/>
      <c r="CN67" s="39" t="e">
        <f t="shared" si="59"/>
        <v>#N/A</v>
      </c>
      <c r="CO67" s="93" t="e">
        <v>#N/A</v>
      </c>
      <c r="CP67" s="93" t="e">
        <v>#N/A</v>
      </c>
      <c r="CQ67" s="93" t="e">
        <v>#N/A</v>
      </c>
      <c r="CR67" s="93" t="e">
        <v>#N/A</v>
      </c>
      <c r="CS67" s="90" t="e">
        <f t="shared" si="67"/>
        <v>#REF!</v>
      </c>
      <c r="CT67" s="39" t="e">
        <f t="shared" si="60"/>
        <v>#N/A</v>
      </c>
      <c r="CU67" s="93" t="e">
        <v>#N/A</v>
      </c>
      <c r="CV67" s="93" t="e">
        <v>#N/A</v>
      </c>
      <c r="CW67" s="93" t="e">
        <v>#N/A</v>
      </c>
      <c r="CX67" s="93" t="e">
        <v>#N/A</v>
      </c>
      <c r="CZ67" s="39" t="e">
        <f t="shared" si="61"/>
        <v>#N/A</v>
      </c>
      <c r="DA67" s="93" t="e">
        <v>#N/A</v>
      </c>
      <c r="DB67" s="93" t="e">
        <v>#N/A</v>
      </c>
      <c r="DC67" s="93" t="e">
        <v>#N/A</v>
      </c>
      <c r="DD67" s="93" t="e">
        <v>#N/A</v>
      </c>
      <c r="DF67" s="39" t="e">
        <f t="shared" si="62"/>
        <v>#N/A</v>
      </c>
      <c r="DG67" s="93" t="e">
        <v>#N/A</v>
      </c>
      <c r="DH67" s="93" t="e">
        <v>#N/A</v>
      </c>
      <c r="DI67" s="93" t="e">
        <v>#N/A</v>
      </c>
      <c r="DJ67" s="93" t="e">
        <v>#N/A</v>
      </c>
      <c r="DK67" s="93"/>
      <c r="DL67" s="39" t="e">
        <f t="shared" si="63"/>
        <v>#N/A</v>
      </c>
      <c r="DM67" s="93" t="e">
        <v>#N/A</v>
      </c>
      <c r="DN67" s="93" t="e">
        <v>#N/A</v>
      </c>
      <c r="DO67" s="93" t="e">
        <v>#N/A</v>
      </c>
      <c r="DP67" s="93" t="e">
        <v>#N/A</v>
      </c>
    </row>
    <row r="68" spans="1:120" x14ac:dyDescent="0.3">
      <c r="A68" s="90" t="e">
        <f>name!#REF!</f>
        <v>#REF!</v>
      </c>
      <c r="B68" s="39" t="e">
        <f t="shared" si="44"/>
        <v>#N/A</v>
      </c>
      <c r="C68" s="93" t="e">
        <v>#N/A</v>
      </c>
      <c r="D68" s="93" t="e">
        <v>#N/A</v>
      </c>
      <c r="E68" s="93" t="e">
        <v>#N/A</v>
      </c>
      <c r="F68" s="93" t="e">
        <v>#N/A</v>
      </c>
      <c r="H68" s="39" t="e">
        <f t="shared" si="45"/>
        <v>#N/A</v>
      </c>
      <c r="I68" s="93" t="e">
        <v>#N/A</v>
      </c>
      <c r="J68" s="93" t="e">
        <v>#N/A</v>
      </c>
      <c r="K68" s="93" t="e">
        <v>#N/A</v>
      </c>
      <c r="L68" s="93" t="e">
        <v>#N/A</v>
      </c>
      <c r="N68" s="39" t="e">
        <f t="shared" si="46"/>
        <v>#N/A</v>
      </c>
      <c r="O68" s="93" t="e">
        <v>#N/A</v>
      </c>
      <c r="P68" s="93" t="e">
        <v>#N/A</v>
      </c>
      <c r="Q68" s="93" t="e">
        <v>#N/A</v>
      </c>
      <c r="R68" s="93" t="e">
        <v>#N/A</v>
      </c>
      <c r="S68" s="93"/>
      <c r="T68" s="39" t="e">
        <f t="shared" si="47"/>
        <v>#N/A</v>
      </c>
      <c r="U68" s="93" t="e">
        <v>#N/A</v>
      </c>
      <c r="V68" s="93" t="e">
        <v>#N/A</v>
      </c>
      <c r="W68" s="93" t="e">
        <v>#N/A</v>
      </c>
      <c r="X68" s="93" t="e">
        <v>#N/A</v>
      </c>
      <c r="Y68" s="90" t="e">
        <f t="shared" si="64"/>
        <v>#REF!</v>
      </c>
      <c r="Z68" s="39" t="e">
        <f t="shared" si="48"/>
        <v>#N/A</v>
      </c>
      <c r="AA68" s="93" t="e">
        <v>#N/A</v>
      </c>
      <c r="AB68" s="93" t="e">
        <v>#N/A</v>
      </c>
      <c r="AC68" s="93" t="e">
        <v>#N/A</v>
      </c>
      <c r="AD68" s="93" t="e">
        <v>#N/A</v>
      </c>
      <c r="AF68" s="39" t="e">
        <f t="shared" si="49"/>
        <v>#N/A</v>
      </c>
      <c r="AG68" s="93" t="e">
        <v>#N/A</v>
      </c>
      <c r="AH68" s="93" t="e">
        <v>#N/A</v>
      </c>
      <c r="AI68" s="93" t="e">
        <v>#N/A</v>
      </c>
      <c r="AJ68" s="93" t="e">
        <v>#N/A</v>
      </c>
      <c r="AL68" s="39" t="e">
        <f t="shared" si="50"/>
        <v>#N/A</v>
      </c>
      <c r="AM68" s="93" t="e">
        <v>#N/A</v>
      </c>
      <c r="AN68" s="93" t="e">
        <v>#N/A</v>
      </c>
      <c r="AO68" s="93" t="e">
        <v>#N/A</v>
      </c>
      <c r="AP68" s="93" t="e">
        <v>#N/A</v>
      </c>
      <c r="AQ68" s="93"/>
      <c r="AR68" s="39" t="e">
        <f t="shared" si="51"/>
        <v>#N/A</v>
      </c>
      <c r="AS68" s="93" t="e">
        <v>#N/A</v>
      </c>
      <c r="AT68" s="93" t="e">
        <v>#N/A</v>
      </c>
      <c r="AU68" s="93" t="e">
        <v>#N/A</v>
      </c>
      <c r="AV68" s="93" t="e">
        <v>#N/A</v>
      </c>
      <c r="AW68" s="90" t="e">
        <f t="shared" si="65"/>
        <v>#REF!</v>
      </c>
      <c r="AX68" s="39" t="e">
        <f t="shared" si="52"/>
        <v>#N/A</v>
      </c>
      <c r="AY68" s="93" t="e">
        <v>#N/A</v>
      </c>
      <c r="AZ68" s="93" t="e">
        <v>#N/A</v>
      </c>
      <c r="BA68" s="93" t="e">
        <v>#N/A</v>
      </c>
      <c r="BB68" s="93" t="e">
        <v>#N/A</v>
      </c>
      <c r="BD68" s="39" t="e">
        <f t="shared" si="53"/>
        <v>#N/A</v>
      </c>
      <c r="BE68" s="93" t="e">
        <v>#N/A</v>
      </c>
      <c r="BF68" s="93" t="e">
        <v>#N/A</v>
      </c>
      <c r="BG68" s="93" t="e">
        <v>#N/A</v>
      </c>
      <c r="BH68" s="93" t="e">
        <v>#N/A</v>
      </c>
      <c r="BJ68" s="39" t="e">
        <f t="shared" si="54"/>
        <v>#N/A</v>
      </c>
      <c r="BK68" s="93" t="e">
        <v>#N/A</v>
      </c>
      <c r="BL68" s="93" t="e">
        <v>#N/A</v>
      </c>
      <c r="BM68" s="93" t="e">
        <v>#N/A</v>
      </c>
      <c r="BN68" s="93" t="e">
        <v>#N/A</v>
      </c>
      <c r="BO68" s="93"/>
      <c r="BP68" s="39" t="e">
        <f t="shared" si="55"/>
        <v>#N/A</v>
      </c>
      <c r="BQ68" s="93" t="e">
        <v>#N/A</v>
      </c>
      <c r="BR68" s="93" t="e">
        <v>#N/A</v>
      </c>
      <c r="BS68" s="93" t="e">
        <v>#N/A</v>
      </c>
      <c r="BT68" s="93" t="e">
        <v>#N/A</v>
      </c>
      <c r="BU68" s="90" t="e">
        <f t="shared" si="66"/>
        <v>#REF!</v>
      </c>
      <c r="BV68" s="39" t="e">
        <f t="shared" si="56"/>
        <v>#N/A</v>
      </c>
      <c r="BW68" s="93" t="e">
        <v>#N/A</v>
      </c>
      <c r="BX68" s="93" t="e">
        <v>#N/A</v>
      </c>
      <c r="BY68" s="93" t="e">
        <v>#N/A</v>
      </c>
      <c r="BZ68" s="93" t="e">
        <v>#N/A</v>
      </c>
      <c r="CB68" s="39" t="e">
        <f t="shared" si="57"/>
        <v>#N/A</v>
      </c>
      <c r="CC68" s="93" t="e">
        <v>#N/A</v>
      </c>
      <c r="CD68" s="93" t="e">
        <v>#N/A</v>
      </c>
      <c r="CE68" s="93" t="e">
        <v>#N/A</v>
      </c>
      <c r="CF68" s="93" t="e">
        <v>#N/A</v>
      </c>
      <c r="CH68" s="39" t="e">
        <f t="shared" si="58"/>
        <v>#N/A</v>
      </c>
      <c r="CI68" s="93" t="e">
        <v>#N/A</v>
      </c>
      <c r="CJ68" s="93" t="e">
        <v>#N/A</v>
      </c>
      <c r="CK68" s="93" t="e">
        <v>#N/A</v>
      </c>
      <c r="CL68" s="93" t="e">
        <v>#N/A</v>
      </c>
      <c r="CM68" s="93"/>
      <c r="CN68" s="39" t="e">
        <f t="shared" si="59"/>
        <v>#N/A</v>
      </c>
      <c r="CO68" s="93" t="e">
        <v>#N/A</v>
      </c>
      <c r="CP68" s="93" t="e">
        <v>#N/A</v>
      </c>
      <c r="CQ68" s="93" t="e">
        <v>#N/A</v>
      </c>
      <c r="CR68" s="93" t="e">
        <v>#N/A</v>
      </c>
      <c r="CS68" s="90" t="e">
        <f t="shared" si="67"/>
        <v>#REF!</v>
      </c>
      <c r="CT68" s="39" t="e">
        <f t="shared" si="60"/>
        <v>#N/A</v>
      </c>
      <c r="CU68" s="93" t="e">
        <v>#N/A</v>
      </c>
      <c r="CV68" s="93" t="e">
        <v>#N/A</v>
      </c>
      <c r="CW68" s="93" t="e">
        <v>#N/A</v>
      </c>
      <c r="CX68" s="93" t="e">
        <v>#N/A</v>
      </c>
      <c r="CZ68" s="39" t="e">
        <f t="shared" si="61"/>
        <v>#N/A</v>
      </c>
      <c r="DA68" s="93" t="e">
        <v>#N/A</v>
      </c>
      <c r="DB68" s="93" t="e">
        <v>#N/A</v>
      </c>
      <c r="DC68" s="93" t="e">
        <v>#N/A</v>
      </c>
      <c r="DD68" s="93" t="e">
        <v>#N/A</v>
      </c>
      <c r="DF68" s="39" t="e">
        <f t="shared" si="62"/>
        <v>#N/A</v>
      </c>
      <c r="DG68" s="93" t="e">
        <v>#N/A</v>
      </c>
      <c r="DH68" s="93" t="e">
        <v>#N/A</v>
      </c>
      <c r="DI68" s="93" t="e">
        <v>#N/A</v>
      </c>
      <c r="DJ68" s="93" t="e">
        <v>#N/A</v>
      </c>
      <c r="DK68" s="93"/>
      <c r="DL68" s="39" t="e">
        <f t="shared" si="63"/>
        <v>#N/A</v>
      </c>
      <c r="DM68" s="93" t="e">
        <v>#N/A</v>
      </c>
      <c r="DN68" s="93" t="e">
        <v>#N/A</v>
      </c>
      <c r="DO68" s="93" t="e">
        <v>#N/A</v>
      </c>
      <c r="DP68" s="93" t="e">
        <v>#N/A</v>
      </c>
    </row>
    <row r="69" spans="1:120" x14ac:dyDescent="0.3">
      <c r="A69" s="90" t="e">
        <f>name!#REF!</f>
        <v>#REF!</v>
      </c>
      <c r="B69" s="39" t="e">
        <f t="shared" si="44"/>
        <v>#N/A</v>
      </c>
      <c r="C69" s="93" t="e">
        <v>#N/A</v>
      </c>
      <c r="D69" s="93" t="e">
        <v>#N/A</v>
      </c>
      <c r="E69" s="93" t="e">
        <v>#N/A</v>
      </c>
      <c r="F69" s="93" t="e">
        <v>#N/A</v>
      </c>
      <c r="H69" s="39" t="e">
        <f t="shared" si="45"/>
        <v>#N/A</v>
      </c>
      <c r="I69" s="93" t="e">
        <v>#N/A</v>
      </c>
      <c r="J69" s="93" t="e">
        <v>#N/A</v>
      </c>
      <c r="K69" s="93" t="e">
        <v>#N/A</v>
      </c>
      <c r="L69" s="93" t="e">
        <v>#N/A</v>
      </c>
      <c r="N69" s="39" t="e">
        <f t="shared" si="46"/>
        <v>#N/A</v>
      </c>
      <c r="O69" s="93" t="e">
        <v>#N/A</v>
      </c>
      <c r="P69" s="93" t="e">
        <v>#N/A</v>
      </c>
      <c r="Q69" s="93" t="e">
        <v>#N/A</v>
      </c>
      <c r="R69" s="93" t="e">
        <v>#N/A</v>
      </c>
      <c r="S69" s="93"/>
      <c r="T69" s="39" t="e">
        <f t="shared" si="47"/>
        <v>#N/A</v>
      </c>
      <c r="U69" s="93" t="e">
        <v>#N/A</v>
      </c>
      <c r="V69" s="93" t="e">
        <v>#N/A</v>
      </c>
      <c r="W69" s="93" t="e">
        <v>#N/A</v>
      </c>
      <c r="X69" s="93" t="e">
        <v>#N/A</v>
      </c>
      <c r="Y69" s="90" t="e">
        <f t="shared" si="64"/>
        <v>#REF!</v>
      </c>
      <c r="Z69" s="39" t="e">
        <f t="shared" si="48"/>
        <v>#N/A</v>
      </c>
      <c r="AA69" s="93" t="e">
        <v>#N/A</v>
      </c>
      <c r="AB69" s="93" t="e">
        <v>#N/A</v>
      </c>
      <c r="AC69" s="93" t="e">
        <v>#N/A</v>
      </c>
      <c r="AD69" s="93" t="e">
        <v>#N/A</v>
      </c>
      <c r="AF69" s="39" t="e">
        <f t="shared" si="49"/>
        <v>#N/A</v>
      </c>
      <c r="AG69" s="93" t="e">
        <v>#N/A</v>
      </c>
      <c r="AH69" s="93" t="e">
        <v>#N/A</v>
      </c>
      <c r="AI69" s="93" t="e">
        <v>#N/A</v>
      </c>
      <c r="AJ69" s="93" t="e">
        <v>#N/A</v>
      </c>
      <c r="AL69" s="39" t="e">
        <f t="shared" si="50"/>
        <v>#N/A</v>
      </c>
      <c r="AM69" s="93" t="e">
        <v>#N/A</v>
      </c>
      <c r="AN69" s="93" t="e">
        <v>#N/A</v>
      </c>
      <c r="AO69" s="93" t="e">
        <v>#N/A</v>
      </c>
      <c r="AP69" s="93" t="e">
        <v>#N/A</v>
      </c>
      <c r="AQ69" s="93"/>
      <c r="AR69" s="39" t="e">
        <f t="shared" si="51"/>
        <v>#N/A</v>
      </c>
      <c r="AS69" s="93" t="e">
        <v>#N/A</v>
      </c>
      <c r="AT69" s="93" t="e">
        <v>#N/A</v>
      </c>
      <c r="AU69" s="93" t="e">
        <v>#N/A</v>
      </c>
      <c r="AV69" s="93" t="e">
        <v>#N/A</v>
      </c>
      <c r="AW69" s="90" t="e">
        <f t="shared" si="65"/>
        <v>#REF!</v>
      </c>
      <c r="AX69" s="39" t="e">
        <f t="shared" si="52"/>
        <v>#N/A</v>
      </c>
      <c r="AY69" s="93" t="e">
        <v>#N/A</v>
      </c>
      <c r="AZ69" s="93" t="e">
        <v>#N/A</v>
      </c>
      <c r="BA69" s="93" t="e">
        <v>#N/A</v>
      </c>
      <c r="BB69" s="93" t="e">
        <v>#N/A</v>
      </c>
      <c r="BD69" s="39" t="e">
        <f t="shared" si="53"/>
        <v>#N/A</v>
      </c>
      <c r="BE69" s="93" t="e">
        <v>#N/A</v>
      </c>
      <c r="BF69" s="93" t="e">
        <v>#N/A</v>
      </c>
      <c r="BG69" s="93" t="e">
        <v>#N/A</v>
      </c>
      <c r="BH69" s="93" t="e">
        <v>#N/A</v>
      </c>
      <c r="BJ69" s="39" t="e">
        <f t="shared" si="54"/>
        <v>#N/A</v>
      </c>
      <c r="BK69" s="93" t="e">
        <v>#N/A</v>
      </c>
      <c r="BL69" s="93" t="e">
        <v>#N/A</v>
      </c>
      <c r="BM69" s="93" t="e">
        <v>#N/A</v>
      </c>
      <c r="BN69" s="93" t="e">
        <v>#N/A</v>
      </c>
      <c r="BO69" s="93"/>
      <c r="BP69" s="39" t="e">
        <f t="shared" si="55"/>
        <v>#N/A</v>
      </c>
      <c r="BQ69" s="93" t="e">
        <v>#N/A</v>
      </c>
      <c r="BR69" s="93" t="e">
        <v>#N/A</v>
      </c>
      <c r="BS69" s="93" t="e">
        <v>#N/A</v>
      </c>
      <c r="BT69" s="93" t="e">
        <v>#N/A</v>
      </c>
      <c r="BU69" s="90" t="e">
        <f t="shared" si="66"/>
        <v>#REF!</v>
      </c>
      <c r="BV69" s="39" t="e">
        <f t="shared" si="56"/>
        <v>#N/A</v>
      </c>
      <c r="BW69" s="93" t="e">
        <v>#N/A</v>
      </c>
      <c r="BX69" s="93" t="e">
        <v>#N/A</v>
      </c>
      <c r="BY69" s="93" t="e">
        <v>#N/A</v>
      </c>
      <c r="BZ69" s="93" t="e">
        <v>#N/A</v>
      </c>
      <c r="CB69" s="39" t="e">
        <f t="shared" si="57"/>
        <v>#N/A</v>
      </c>
      <c r="CC69" s="93" t="e">
        <v>#N/A</v>
      </c>
      <c r="CD69" s="93" t="e">
        <v>#N/A</v>
      </c>
      <c r="CE69" s="93" t="e">
        <v>#N/A</v>
      </c>
      <c r="CF69" s="93" t="e">
        <v>#N/A</v>
      </c>
      <c r="CH69" s="39" t="e">
        <f t="shared" si="58"/>
        <v>#N/A</v>
      </c>
      <c r="CI69" s="93" t="e">
        <v>#N/A</v>
      </c>
      <c r="CJ69" s="93" t="e">
        <v>#N/A</v>
      </c>
      <c r="CK69" s="93" t="e">
        <v>#N/A</v>
      </c>
      <c r="CL69" s="93" t="e">
        <v>#N/A</v>
      </c>
      <c r="CM69" s="93"/>
      <c r="CN69" s="39" t="e">
        <f t="shared" si="59"/>
        <v>#N/A</v>
      </c>
      <c r="CO69" s="93" t="e">
        <v>#N/A</v>
      </c>
      <c r="CP69" s="93" t="e">
        <v>#N/A</v>
      </c>
      <c r="CQ69" s="93" t="e">
        <v>#N/A</v>
      </c>
      <c r="CR69" s="93" t="e">
        <v>#N/A</v>
      </c>
      <c r="CS69" s="90" t="e">
        <f t="shared" si="67"/>
        <v>#REF!</v>
      </c>
      <c r="CT69" s="39" t="e">
        <f t="shared" si="60"/>
        <v>#N/A</v>
      </c>
      <c r="CU69" s="93" t="e">
        <v>#N/A</v>
      </c>
      <c r="CV69" s="93" t="e">
        <v>#N/A</v>
      </c>
      <c r="CW69" s="93" t="e">
        <v>#N/A</v>
      </c>
      <c r="CX69" s="93" t="e">
        <v>#N/A</v>
      </c>
      <c r="CZ69" s="39" t="e">
        <f t="shared" si="61"/>
        <v>#N/A</v>
      </c>
      <c r="DA69" s="93" t="e">
        <v>#N/A</v>
      </c>
      <c r="DB69" s="93" t="e">
        <v>#N/A</v>
      </c>
      <c r="DC69" s="93" t="e">
        <v>#N/A</v>
      </c>
      <c r="DD69" s="93" t="e">
        <v>#N/A</v>
      </c>
      <c r="DF69" s="39" t="e">
        <f t="shared" si="62"/>
        <v>#N/A</v>
      </c>
      <c r="DG69" s="93" t="e">
        <v>#N/A</v>
      </c>
      <c r="DH69" s="93" t="e">
        <v>#N/A</v>
      </c>
      <c r="DI69" s="93" t="e">
        <v>#N/A</v>
      </c>
      <c r="DJ69" s="93" t="e">
        <v>#N/A</v>
      </c>
      <c r="DK69" s="93"/>
      <c r="DL69" s="39" t="e">
        <f t="shared" si="63"/>
        <v>#N/A</v>
      </c>
      <c r="DM69" s="93" t="e">
        <v>#N/A</v>
      </c>
      <c r="DN69" s="93" t="e">
        <v>#N/A</v>
      </c>
      <c r="DO69" s="93" t="e">
        <v>#N/A</v>
      </c>
      <c r="DP69" s="93" t="e">
        <v>#N/A</v>
      </c>
    </row>
    <row r="70" spans="1:120" x14ac:dyDescent="0.3">
      <c r="A70" s="90" t="e">
        <f>name!#REF!</f>
        <v>#REF!</v>
      </c>
      <c r="B70" s="39" t="e">
        <f t="shared" si="44"/>
        <v>#N/A</v>
      </c>
      <c r="C70" s="93" t="e">
        <v>#N/A</v>
      </c>
      <c r="D70" s="93" t="e">
        <v>#N/A</v>
      </c>
      <c r="E70" s="93" t="e">
        <v>#N/A</v>
      </c>
      <c r="F70" s="93" t="e">
        <v>#N/A</v>
      </c>
      <c r="H70" s="39" t="e">
        <f t="shared" si="45"/>
        <v>#N/A</v>
      </c>
      <c r="I70" s="93" t="e">
        <v>#N/A</v>
      </c>
      <c r="J70" s="93" t="e">
        <v>#N/A</v>
      </c>
      <c r="K70" s="93" t="e">
        <v>#N/A</v>
      </c>
      <c r="L70" s="93" t="e">
        <v>#N/A</v>
      </c>
      <c r="N70" s="39" t="e">
        <f t="shared" si="46"/>
        <v>#N/A</v>
      </c>
      <c r="O70" s="93" t="e">
        <v>#N/A</v>
      </c>
      <c r="P70" s="93" t="e">
        <v>#N/A</v>
      </c>
      <c r="Q70" s="93" t="e">
        <v>#N/A</v>
      </c>
      <c r="R70" s="93" t="e">
        <v>#N/A</v>
      </c>
      <c r="S70" s="93"/>
      <c r="T70" s="39" t="e">
        <f t="shared" si="47"/>
        <v>#N/A</v>
      </c>
      <c r="U70" s="93" t="e">
        <v>#N/A</v>
      </c>
      <c r="V70" s="93" t="e">
        <v>#N/A</v>
      </c>
      <c r="W70" s="93" t="e">
        <v>#N/A</v>
      </c>
      <c r="X70" s="93" t="e">
        <v>#N/A</v>
      </c>
      <c r="Y70" s="90" t="e">
        <f t="shared" si="64"/>
        <v>#REF!</v>
      </c>
      <c r="Z70" s="39" t="e">
        <f t="shared" si="48"/>
        <v>#N/A</v>
      </c>
      <c r="AA70" s="93" t="e">
        <v>#N/A</v>
      </c>
      <c r="AB70" s="93" t="e">
        <v>#N/A</v>
      </c>
      <c r="AC70" s="93" t="e">
        <v>#N/A</v>
      </c>
      <c r="AD70" s="93" t="e">
        <v>#N/A</v>
      </c>
      <c r="AF70" s="39" t="e">
        <f t="shared" si="49"/>
        <v>#N/A</v>
      </c>
      <c r="AG70" s="93" t="e">
        <v>#N/A</v>
      </c>
      <c r="AH70" s="93" t="e">
        <v>#N/A</v>
      </c>
      <c r="AI70" s="93" t="e">
        <v>#N/A</v>
      </c>
      <c r="AJ70" s="93" t="e">
        <v>#N/A</v>
      </c>
      <c r="AL70" s="39" t="e">
        <f t="shared" si="50"/>
        <v>#N/A</v>
      </c>
      <c r="AM70" s="93" t="e">
        <v>#N/A</v>
      </c>
      <c r="AN70" s="93" t="e">
        <v>#N/A</v>
      </c>
      <c r="AO70" s="93" t="e">
        <v>#N/A</v>
      </c>
      <c r="AP70" s="93" t="e">
        <v>#N/A</v>
      </c>
      <c r="AQ70" s="93"/>
      <c r="AR70" s="39" t="e">
        <f t="shared" si="51"/>
        <v>#N/A</v>
      </c>
      <c r="AS70" s="93" t="e">
        <v>#N/A</v>
      </c>
      <c r="AT70" s="93" t="e">
        <v>#N/A</v>
      </c>
      <c r="AU70" s="93" t="e">
        <v>#N/A</v>
      </c>
      <c r="AV70" s="93" t="e">
        <v>#N/A</v>
      </c>
      <c r="AW70" s="90" t="e">
        <f t="shared" si="65"/>
        <v>#REF!</v>
      </c>
      <c r="AX70" s="39" t="e">
        <f t="shared" si="52"/>
        <v>#N/A</v>
      </c>
      <c r="AY70" s="93" t="e">
        <v>#N/A</v>
      </c>
      <c r="AZ70" s="93" t="e">
        <v>#N/A</v>
      </c>
      <c r="BA70" s="93" t="e">
        <v>#N/A</v>
      </c>
      <c r="BB70" s="93" t="e">
        <v>#N/A</v>
      </c>
      <c r="BD70" s="39" t="e">
        <f t="shared" si="53"/>
        <v>#N/A</v>
      </c>
      <c r="BE70" s="93" t="e">
        <v>#N/A</v>
      </c>
      <c r="BF70" s="93" t="e">
        <v>#N/A</v>
      </c>
      <c r="BG70" s="93" t="e">
        <v>#N/A</v>
      </c>
      <c r="BH70" s="93" t="e">
        <v>#N/A</v>
      </c>
      <c r="BJ70" s="39" t="e">
        <f t="shared" si="54"/>
        <v>#N/A</v>
      </c>
      <c r="BK70" s="93" t="e">
        <v>#N/A</v>
      </c>
      <c r="BL70" s="93" t="e">
        <v>#N/A</v>
      </c>
      <c r="BM70" s="93" t="e">
        <v>#N/A</v>
      </c>
      <c r="BN70" s="93" t="e">
        <v>#N/A</v>
      </c>
      <c r="BO70" s="93"/>
      <c r="BP70" s="39" t="e">
        <f t="shared" si="55"/>
        <v>#N/A</v>
      </c>
      <c r="BQ70" s="93" t="e">
        <v>#N/A</v>
      </c>
      <c r="BR70" s="93" t="e">
        <v>#N/A</v>
      </c>
      <c r="BS70" s="93" t="e">
        <v>#N/A</v>
      </c>
      <c r="BT70" s="93" t="e">
        <v>#N/A</v>
      </c>
      <c r="BU70" s="90" t="e">
        <f t="shared" si="66"/>
        <v>#REF!</v>
      </c>
      <c r="BV70" s="39" t="e">
        <f t="shared" si="56"/>
        <v>#N/A</v>
      </c>
      <c r="BW70" s="93" t="e">
        <v>#N/A</v>
      </c>
      <c r="BX70" s="93" t="e">
        <v>#N/A</v>
      </c>
      <c r="BY70" s="93" t="e">
        <v>#N/A</v>
      </c>
      <c r="BZ70" s="93" t="e">
        <v>#N/A</v>
      </c>
      <c r="CB70" s="39" t="e">
        <f t="shared" si="57"/>
        <v>#N/A</v>
      </c>
      <c r="CC70" s="93" t="e">
        <v>#N/A</v>
      </c>
      <c r="CD70" s="93" t="e">
        <v>#N/A</v>
      </c>
      <c r="CE70" s="93" t="e">
        <v>#N/A</v>
      </c>
      <c r="CF70" s="93" t="e">
        <v>#N/A</v>
      </c>
      <c r="CH70" s="39" t="e">
        <f t="shared" si="58"/>
        <v>#N/A</v>
      </c>
      <c r="CI70" s="93" t="e">
        <v>#N/A</v>
      </c>
      <c r="CJ70" s="93" t="e">
        <v>#N/A</v>
      </c>
      <c r="CK70" s="93" t="e">
        <v>#N/A</v>
      </c>
      <c r="CL70" s="93" t="e">
        <v>#N/A</v>
      </c>
      <c r="CM70" s="93"/>
      <c r="CN70" s="39" t="e">
        <f t="shared" si="59"/>
        <v>#N/A</v>
      </c>
      <c r="CO70" s="93" t="e">
        <v>#N/A</v>
      </c>
      <c r="CP70" s="93" t="e">
        <v>#N/A</v>
      </c>
      <c r="CQ70" s="93" t="e">
        <v>#N/A</v>
      </c>
      <c r="CR70" s="93" t="e">
        <v>#N/A</v>
      </c>
      <c r="CS70" s="90" t="e">
        <f t="shared" si="67"/>
        <v>#REF!</v>
      </c>
      <c r="CT70" s="39" t="e">
        <f t="shared" si="60"/>
        <v>#N/A</v>
      </c>
      <c r="CU70" s="93" t="e">
        <v>#N/A</v>
      </c>
      <c r="CV70" s="93" t="e">
        <v>#N/A</v>
      </c>
      <c r="CW70" s="93" t="e">
        <v>#N/A</v>
      </c>
      <c r="CX70" s="93" t="e">
        <v>#N/A</v>
      </c>
      <c r="CZ70" s="39" t="e">
        <f t="shared" si="61"/>
        <v>#N/A</v>
      </c>
      <c r="DA70" s="93" t="e">
        <v>#N/A</v>
      </c>
      <c r="DB70" s="93" t="e">
        <v>#N/A</v>
      </c>
      <c r="DC70" s="93" t="e">
        <v>#N/A</v>
      </c>
      <c r="DD70" s="93" t="e">
        <v>#N/A</v>
      </c>
      <c r="DF70" s="39" t="e">
        <f t="shared" si="62"/>
        <v>#N/A</v>
      </c>
      <c r="DG70" s="93" t="e">
        <v>#N/A</v>
      </c>
      <c r="DH70" s="93" t="e">
        <v>#N/A</v>
      </c>
      <c r="DI70" s="93" t="e">
        <v>#N/A</v>
      </c>
      <c r="DJ70" s="93" t="e">
        <v>#N/A</v>
      </c>
      <c r="DK70" s="93"/>
      <c r="DL70" s="39" t="e">
        <f t="shared" si="63"/>
        <v>#N/A</v>
      </c>
      <c r="DM70" s="93" t="e">
        <v>#N/A</v>
      </c>
      <c r="DN70" s="93" t="e">
        <v>#N/A</v>
      </c>
      <c r="DO70" s="93" t="e">
        <v>#N/A</v>
      </c>
      <c r="DP70" s="93" t="e">
        <v>#N/A</v>
      </c>
    </row>
    <row r="71" spans="1:120" x14ac:dyDescent="0.3">
      <c r="A71" s="90" t="e">
        <f>name!#REF!</f>
        <v>#REF!</v>
      </c>
      <c r="B71" s="39" t="e">
        <f t="shared" si="44"/>
        <v>#N/A</v>
      </c>
      <c r="C71" s="93" t="e">
        <v>#N/A</v>
      </c>
      <c r="D71" s="93" t="e">
        <v>#N/A</v>
      </c>
      <c r="E71" s="93" t="e">
        <v>#N/A</v>
      </c>
      <c r="F71" s="93" t="e">
        <v>#N/A</v>
      </c>
      <c r="H71" s="39" t="e">
        <f t="shared" si="45"/>
        <v>#N/A</v>
      </c>
      <c r="I71" s="93" t="e">
        <v>#N/A</v>
      </c>
      <c r="J71" s="93" t="e">
        <v>#N/A</v>
      </c>
      <c r="K71" s="93" t="e">
        <v>#N/A</v>
      </c>
      <c r="L71" s="93" t="e">
        <v>#N/A</v>
      </c>
      <c r="N71" s="39" t="e">
        <f t="shared" si="46"/>
        <v>#N/A</v>
      </c>
      <c r="O71" s="93" t="e">
        <v>#N/A</v>
      </c>
      <c r="P71" s="93" t="e">
        <v>#N/A</v>
      </c>
      <c r="Q71" s="93" t="e">
        <v>#N/A</v>
      </c>
      <c r="R71" s="93" t="e">
        <v>#N/A</v>
      </c>
      <c r="S71" s="93"/>
      <c r="T71" s="39" t="e">
        <f t="shared" si="47"/>
        <v>#N/A</v>
      </c>
      <c r="U71" s="93" t="e">
        <v>#N/A</v>
      </c>
      <c r="V71" s="93" t="e">
        <v>#N/A</v>
      </c>
      <c r="W71" s="93" t="e">
        <v>#N/A</v>
      </c>
      <c r="X71" s="93" t="e">
        <v>#N/A</v>
      </c>
      <c r="Y71" s="90" t="e">
        <f t="shared" si="64"/>
        <v>#REF!</v>
      </c>
      <c r="Z71" s="39" t="e">
        <f t="shared" si="48"/>
        <v>#N/A</v>
      </c>
      <c r="AA71" s="93" t="e">
        <v>#N/A</v>
      </c>
      <c r="AB71" s="93" t="e">
        <v>#N/A</v>
      </c>
      <c r="AC71" s="93" t="e">
        <v>#N/A</v>
      </c>
      <c r="AD71" s="93" t="e">
        <v>#N/A</v>
      </c>
      <c r="AF71" s="39" t="e">
        <f t="shared" si="49"/>
        <v>#N/A</v>
      </c>
      <c r="AG71" s="93" t="e">
        <v>#N/A</v>
      </c>
      <c r="AH71" s="93" t="e">
        <v>#N/A</v>
      </c>
      <c r="AI71" s="93" t="e">
        <v>#N/A</v>
      </c>
      <c r="AJ71" s="93" t="e">
        <v>#N/A</v>
      </c>
      <c r="AL71" s="39" t="e">
        <f t="shared" si="50"/>
        <v>#N/A</v>
      </c>
      <c r="AM71" s="93" t="e">
        <v>#N/A</v>
      </c>
      <c r="AN71" s="93" t="e">
        <v>#N/A</v>
      </c>
      <c r="AO71" s="93" t="e">
        <v>#N/A</v>
      </c>
      <c r="AP71" s="93" t="e">
        <v>#N/A</v>
      </c>
      <c r="AQ71" s="93"/>
      <c r="AR71" s="39" t="e">
        <f t="shared" si="51"/>
        <v>#N/A</v>
      </c>
      <c r="AS71" s="93" t="e">
        <v>#N/A</v>
      </c>
      <c r="AT71" s="93" t="e">
        <v>#N/A</v>
      </c>
      <c r="AU71" s="93" t="e">
        <v>#N/A</v>
      </c>
      <c r="AV71" s="93" t="e">
        <v>#N/A</v>
      </c>
      <c r="AW71" s="90" t="e">
        <f t="shared" si="65"/>
        <v>#REF!</v>
      </c>
      <c r="AX71" s="39" t="e">
        <f t="shared" si="52"/>
        <v>#N/A</v>
      </c>
      <c r="AY71" s="93" t="e">
        <v>#N/A</v>
      </c>
      <c r="AZ71" s="93" t="e">
        <v>#N/A</v>
      </c>
      <c r="BA71" s="93" t="e">
        <v>#N/A</v>
      </c>
      <c r="BB71" s="93" t="e">
        <v>#N/A</v>
      </c>
      <c r="BD71" s="39" t="e">
        <f t="shared" si="53"/>
        <v>#N/A</v>
      </c>
      <c r="BE71" s="93" t="e">
        <v>#N/A</v>
      </c>
      <c r="BF71" s="93" t="e">
        <v>#N/A</v>
      </c>
      <c r="BG71" s="93" t="e">
        <v>#N/A</v>
      </c>
      <c r="BH71" s="93" t="e">
        <v>#N/A</v>
      </c>
      <c r="BJ71" s="39" t="e">
        <f t="shared" si="54"/>
        <v>#N/A</v>
      </c>
      <c r="BK71" s="93" t="e">
        <v>#N/A</v>
      </c>
      <c r="BL71" s="93" t="e">
        <v>#N/A</v>
      </c>
      <c r="BM71" s="93" t="e">
        <v>#N/A</v>
      </c>
      <c r="BN71" s="93" t="e">
        <v>#N/A</v>
      </c>
      <c r="BO71" s="93"/>
      <c r="BP71" s="39" t="e">
        <f t="shared" si="55"/>
        <v>#N/A</v>
      </c>
      <c r="BQ71" s="93" t="e">
        <v>#N/A</v>
      </c>
      <c r="BR71" s="93" t="e">
        <v>#N/A</v>
      </c>
      <c r="BS71" s="93" t="e">
        <v>#N/A</v>
      </c>
      <c r="BT71" s="93" t="e">
        <v>#N/A</v>
      </c>
      <c r="BU71" s="90" t="e">
        <f t="shared" si="66"/>
        <v>#REF!</v>
      </c>
      <c r="BV71" s="39" t="e">
        <f t="shared" si="56"/>
        <v>#N/A</v>
      </c>
      <c r="BW71" s="93" t="e">
        <v>#N/A</v>
      </c>
      <c r="BX71" s="93" t="e">
        <v>#N/A</v>
      </c>
      <c r="BY71" s="93" t="e">
        <v>#N/A</v>
      </c>
      <c r="BZ71" s="93" t="e">
        <v>#N/A</v>
      </c>
      <c r="CB71" s="39" t="e">
        <f t="shared" si="57"/>
        <v>#N/A</v>
      </c>
      <c r="CC71" s="93" t="e">
        <v>#N/A</v>
      </c>
      <c r="CD71" s="93" t="e">
        <v>#N/A</v>
      </c>
      <c r="CE71" s="93" t="e">
        <v>#N/A</v>
      </c>
      <c r="CF71" s="93" t="e">
        <v>#N/A</v>
      </c>
      <c r="CH71" s="39" t="e">
        <f t="shared" si="58"/>
        <v>#N/A</v>
      </c>
      <c r="CI71" s="93" t="e">
        <v>#N/A</v>
      </c>
      <c r="CJ71" s="93" t="e">
        <v>#N/A</v>
      </c>
      <c r="CK71" s="93" t="e">
        <v>#N/A</v>
      </c>
      <c r="CL71" s="93" t="e">
        <v>#N/A</v>
      </c>
      <c r="CM71" s="93"/>
      <c r="CN71" s="39" t="e">
        <f t="shared" si="59"/>
        <v>#N/A</v>
      </c>
      <c r="CO71" s="93" t="e">
        <v>#N/A</v>
      </c>
      <c r="CP71" s="93" t="e">
        <v>#N/A</v>
      </c>
      <c r="CQ71" s="93" t="e">
        <v>#N/A</v>
      </c>
      <c r="CR71" s="93" t="e">
        <v>#N/A</v>
      </c>
      <c r="CS71" s="90" t="e">
        <f t="shared" si="67"/>
        <v>#REF!</v>
      </c>
      <c r="CT71" s="39" t="e">
        <f t="shared" si="60"/>
        <v>#N/A</v>
      </c>
      <c r="CU71" s="93" t="e">
        <v>#N/A</v>
      </c>
      <c r="CV71" s="93" t="e">
        <v>#N/A</v>
      </c>
      <c r="CW71" s="93" t="e">
        <v>#N/A</v>
      </c>
      <c r="CX71" s="93" t="e">
        <v>#N/A</v>
      </c>
      <c r="CZ71" s="39" t="e">
        <f t="shared" si="61"/>
        <v>#N/A</v>
      </c>
      <c r="DA71" s="93" t="e">
        <v>#N/A</v>
      </c>
      <c r="DB71" s="93" t="e">
        <v>#N/A</v>
      </c>
      <c r="DC71" s="93" t="e">
        <v>#N/A</v>
      </c>
      <c r="DD71" s="93" t="e">
        <v>#N/A</v>
      </c>
      <c r="DF71" s="39" t="e">
        <f t="shared" si="62"/>
        <v>#N/A</v>
      </c>
      <c r="DG71" s="93" t="e">
        <v>#N/A</v>
      </c>
      <c r="DH71" s="93" t="e">
        <v>#N/A</v>
      </c>
      <c r="DI71" s="93" t="e">
        <v>#N/A</v>
      </c>
      <c r="DJ71" s="93" t="e">
        <v>#N/A</v>
      </c>
      <c r="DK71" s="93"/>
      <c r="DL71" s="39" t="e">
        <f t="shared" si="63"/>
        <v>#N/A</v>
      </c>
      <c r="DM71" s="93" t="e">
        <v>#N/A</v>
      </c>
      <c r="DN71" s="93" t="e">
        <v>#N/A</v>
      </c>
      <c r="DO71" s="93" t="e">
        <v>#N/A</v>
      </c>
      <c r="DP71" s="93" t="e">
        <v>#N/A</v>
      </c>
    </row>
    <row r="72" spans="1:120" x14ac:dyDescent="0.3">
      <c r="A72" s="90" t="e">
        <f>name!#REF!</f>
        <v>#REF!</v>
      </c>
      <c r="B72" s="39" t="e">
        <f t="shared" si="44"/>
        <v>#N/A</v>
      </c>
      <c r="C72" s="93" t="e">
        <v>#N/A</v>
      </c>
      <c r="D72" s="93" t="e">
        <v>#N/A</v>
      </c>
      <c r="E72" s="93" t="e">
        <v>#N/A</v>
      </c>
      <c r="F72" s="93" t="e">
        <v>#N/A</v>
      </c>
      <c r="H72" s="39" t="e">
        <f t="shared" si="45"/>
        <v>#N/A</v>
      </c>
      <c r="I72" s="93" t="e">
        <v>#N/A</v>
      </c>
      <c r="J72" s="93" t="e">
        <v>#N/A</v>
      </c>
      <c r="K72" s="93" t="e">
        <v>#N/A</v>
      </c>
      <c r="L72" s="93" t="e">
        <v>#N/A</v>
      </c>
      <c r="N72" s="39" t="e">
        <f t="shared" si="46"/>
        <v>#N/A</v>
      </c>
      <c r="O72" s="93" t="e">
        <v>#N/A</v>
      </c>
      <c r="P72" s="93" t="e">
        <v>#N/A</v>
      </c>
      <c r="Q72" s="93" t="e">
        <v>#N/A</v>
      </c>
      <c r="R72" s="93" t="e">
        <v>#N/A</v>
      </c>
      <c r="S72" s="93"/>
      <c r="T72" s="39" t="e">
        <f t="shared" si="47"/>
        <v>#N/A</v>
      </c>
      <c r="U72" s="93" t="e">
        <v>#N/A</v>
      </c>
      <c r="V72" s="93" t="e">
        <v>#N/A</v>
      </c>
      <c r="W72" s="93" t="e">
        <v>#N/A</v>
      </c>
      <c r="X72" s="93" t="e">
        <v>#N/A</v>
      </c>
      <c r="Y72" s="90" t="e">
        <f t="shared" si="64"/>
        <v>#REF!</v>
      </c>
      <c r="Z72" s="39" t="e">
        <f t="shared" si="48"/>
        <v>#N/A</v>
      </c>
      <c r="AA72" s="93" t="e">
        <v>#N/A</v>
      </c>
      <c r="AB72" s="93" t="e">
        <v>#N/A</v>
      </c>
      <c r="AC72" s="93" t="e">
        <v>#N/A</v>
      </c>
      <c r="AD72" s="93" t="e">
        <v>#N/A</v>
      </c>
      <c r="AF72" s="39" t="e">
        <f t="shared" si="49"/>
        <v>#N/A</v>
      </c>
      <c r="AG72" s="93" t="e">
        <v>#N/A</v>
      </c>
      <c r="AH72" s="93" t="e">
        <v>#N/A</v>
      </c>
      <c r="AI72" s="93" t="e">
        <v>#N/A</v>
      </c>
      <c r="AJ72" s="93" t="e">
        <v>#N/A</v>
      </c>
      <c r="AL72" s="39" t="e">
        <f t="shared" si="50"/>
        <v>#N/A</v>
      </c>
      <c r="AM72" s="93" t="e">
        <v>#N/A</v>
      </c>
      <c r="AN72" s="93" t="e">
        <v>#N/A</v>
      </c>
      <c r="AO72" s="93" t="e">
        <v>#N/A</v>
      </c>
      <c r="AP72" s="93" t="e">
        <v>#N/A</v>
      </c>
      <c r="AQ72" s="93"/>
      <c r="AR72" s="39" t="e">
        <f t="shared" si="51"/>
        <v>#N/A</v>
      </c>
      <c r="AS72" s="93" t="e">
        <v>#N/A</v>
      </c>
      <c r="AT72" s="93" t="e">
        <v>#N/A</v>
      </c>
      <c r="AU72" s="93" t="e">
        <v>#N/A</v>
      </c>
      <c r="AV72" s="93" t="e">
        <v>#N/A</v>
      </c>
      <c r="AW72" s="90" t="e">
        <f t="shared" si="65"/>
        <v>#REF!</v>
      </c>
      <c r="AX72" s="39" t="e">
        <f t="shared" si="52"/>
        <v>#N/A</v>
      </c>
      <c r="AY72" s="93" t="e">
        <v>#N/A</v>
      </c>
      <c r="AZ72" s="93" t="e">
        <v>#N/A</v>
      </c>
      <c r="BA72" s="93" t="e">
        <v>#N/A</v>
      </c>
      <c r="BB72" s="93" t="e">
        <v>#N/A</v>
      </c>
      <c r="BD72" s="39" t="e">
        <f t="shared" si="53"/>
        <v>#N/A</v>
      </c>
      <c r="BE72" s="93" t="e">
        <v>#N/A</v>
      </c>
      <c r="BF72" s="93" t="e">
        <v>#N/A</v>
      </c>
      <c r="BG72" s="93" t="e">
        <v>#N/A</v>
      </c>
      <c r="BH72" s="93" t="e">
        <v>#N/A</v>
      </c>
      <c r="BJ72" s="39" t="e">
        <f t="shared" si="54"/>
        <v>#N/A</v>
      </c>
      <c r="BK72" s="93" t="e">
        <v>#N/A</v>
      </c>
      <c r="BL72" s="93" t="e">
        <v>#N/A</v>
      </c>
      <c r="BM72" s="93" t="e">
        <v>#N/A</v>
      </c>
      <c r="BN72" s="93" t="e">
        <v>#N/A</v>
      </c>
      <c r="BO72" s="93"/>
      <c r="BP72" s="39" t="e">
        <f t="shared" si="55"/>
        <v>#N/A</v>
      </c>
      <c r="BQ72" s="93" t="e">
        <v>#N/A</v>
      </c>
      <c r="BR72" s="93" t="e">
        <v>#N/A</v>
      </c>
      <c r="BS72" s="93" t="e">
        <v>#N/A</v>
      </c>
      <c r="BT72" s="93" t="e">
        <v>#N/A</v>
      </c>
      <c r="BU72" s="90" t="e">
        <f t="shared" si="66"/>
        <v>#REF!</v>
      </c>
      <c r="BV72" s="39" t="e">
        <f t="shared" si="56"/>
        <v>#N/A</v>
      </c>
      <c r="BW72" s="93" t="e">
        <v>#N/A</v>
      </c>
      <c r="BX72" s="93" t="e">
        <v>#N/A</v>
      </c>
      <c r="BY72" s="93" t="e">
        <v>#N/A</v>
      </c>
      <c r="BZ72" s="93" t="e">
        <v>#N/A</v>
      </c>
      <c r="CB72" s="39" t="e">
        <f t="shared" si="57"/>
        <v>#N/A</v>
      </c>
      <c r="CC72" s="93" t="e">
        <v>#N/A</v>
      </c>
      <c r="CD72" s="93" t="e">
        <v>#N/A</v>
      </c>
      <c r="CE72" s="93" t="e">
        <v>#N/A</v>
      </c>
      <c r="CF72" s="93" t="e">
        <v>#N/A</v>
      </c>
      <c r="CH72" s="39" t="e">
        <f t="shared" si="58"/>
        <v>#N/A</v>
      </c>
      <c r="CI72" s="93" t="e">
        <v>#N/A</v>
      </c>
      <c r="CJ72" s="93" t="e">
        <v>#N/A</v>
      </c>
      <c r="CK72" s="93" t="e">
        <v>#N/A</v>
      </c>
      <c r="CL72" s="93" t="e">
        <v>#N/A</v>
      </c>
      <c r="CM72" s="93"/>
      <c r="CN72" s="39" t="e">
        <f t="shared" si="59"/>
        <v>#N/A</v>
      </c>
      <c r="CO72" s="93" t="e">
        <v>#N/A</v>
      </c>
      <c r="CP72" s="93" t="e">
        <v>#N/A</v>
      </c>
      <c r="CQ72" s="93" t="e">
        <v>#N/A</v>
      </c>
      <c r="CR72" s="93" t="e">
        <v>#N/A</v>
      </c>
      <c r="CS72" s="90" t="e">
        <f t="shared" si="67"/>
        <v>#REF!</v>
      </c>
      <c r="CT72" s="39" t="e">
        <f t="shared" si="60"/>
        <v>#N/A</v>
      </c>
      <c r="CU72" s="93" t="e">
        <v>#N/A</v>
      </c>
      <c r="CV72" s="93" t="e">
        <v>#N/A</v>
      </c>
      <c r="CW72" s="93" t="e">
        <v>#N/A</v>
      </c>
      <c r="CX72" s="93" t="e">
        <v>#N/A</v>
      </c>
      <c r="CZ72" s="39" t="e">
        <f t="shared" si="61"/>
        <v>#N/A</v>
      </c>
      <c r="DA72" s="93" t="e">
        <v>#N/A</v>
      </c>
      <c r="DB72" s="93" t="e">
        <v>#N/A</v>
      </c>
      <c r="DC72" s="93" t="e">
        <v>#N/A</v>
      </c>
      <c r="DD72" s="93" t="e">
        <v>#N/A</v>
      </c>
      <c r="DF72" s="39" t="e">
        <f t="shared" si="62"/>
        <v>#N/A</v>
      </c>
      <c r="DG72" s="93" t="e">
        <v>#N/A</v>
      </c>
      <c r="DH72" s="93" t="e">
        <v>#N/A</v>
      </c>
      <c r="DI72" s="93" t="e">
        <v>#N/A</v>
      </c>
      <c r="DJ72" s="93" t="e">
        <v>#N/A</v>
      </c>
      <c r="DK72" s="93"/>
      <c r="DL72" s="39" t="e">
        <f t="shared" si="63"/>
        <v>#N/A</v>
      </c>
      <c r="DM72" s="93" t="e">
        <v>#N/A</v>
      </c>
      <c r="DN72" s="93" t="e">
        <v>#N/A</v>
      </c>
      <c r="DO72" s="93" t="e">
        <v>#N/A</v>
      </c>
      <c r="DP72" s="93" t="e">
        <v>#N/A</v>
      </c>
    </row>
    <row r="73" spans="1:120" x14ac:dyDescent="0.3">
      <c r="A73" s="90" t="e">
        <f>name!#REF!</f>
        <v>#REF!</v>
      </c>
      <c r="B73" s="39" t="e">
        <f t="shared" si="44"/>
        <v>#N/A</v>
      </c>
      <c r="C73" s="93" t="e">
        <v>#N/A</v>
      </c>
      <c r="D73" s="93" t="e">
        <v>#N/A</v>
      </c>
      <c r="E73" s="93" t="e">
        <v>#N/A</v>
      </c>
      <c r="F73" s="93" t="e">
        <v>#N/A</v>
      </c>
      <c r="H73" s="39" t="e">
        <f t="shared" si="45"/>
        <v>#N/A</v>
      </c>
      <c r="I73" s="93" t="e">
        <v>#N/A</v>
      </c>
      <c r="J73" s="93" t="e">
        <v>#N/A</v>
      </c>
      <c r="K73" s="93" t="e">
        <v>#N/A</v>
      </c>
      <c r="L73" s="93" t="e">
        <v>#N/A</v>
      </c>
      <c r="N73" s="39" t="e">
        <f t="shared" si="46"/>
        <v>#N/A</v>
      </c>
      <c r="O73" s="93" t="e">
        <v>#N/A</v>
      </c>
      <c r="P73" s="93" t="e">
        <v>#N/A</v>
      </c>
      <c r="Q73" s="93" t="e">
        <v>#N/A</v>
      </c>
      <c r="R73" s="93" t="e">
        <v>#N/A</v>
      </c>
      <c r="S73" s="93"/>
      <c r="T73" s="39" t="e">
        <f t="shared" si="47"/>
        <v>#N/A</v>
      </c>
      <c r="U73" s="93" t="e">
        <v>#N/A</v>
      </c>
      <c r="V73" s="93" t="e">
        <v>#N/A</v>
      </c>
      <c r="W73" s="93" t="e">
        <v>#N/A</v>
      </c>
      <c r="X73" s="93" t="e">
        <v>#N/A</v>
      </c>
      <c r="Y73" s="90" t="e">
        <f t="shared" si="64"/>
        <v>#REF!</v>
      </c>
      <c r="Z73" s="39" t="e">
        <f t="shared" si="48"/>
        <v>#N/A</v>
      </c>
      <c r="AA73" s="93" t="e">
        <v>#N/A</v>
      </c>
      <c r="AB73" s="93" t="e">
        <v>#N/A</v>
      </c>
      <c r="AC73" s="93" t="e">
        <v>#N/A</v>
      </c>
      <c r="AD73" s="93" t="e">
        <v>#N/A</v>
      </c>
      <c r="AF73" s="39" t="e">
        <f t="shared" si="49"/>
        <v>#N/A</v>
      </c>
      <c r="AG73" s="93" t="e">
        <v>#N/A</v>
      </c>
      <c r="AH73" s="93" t="e">
        <v>#N/A</v>
      </c>
      <c r="AI73" s="93" t="e">
        <v>#N/A</v>
      </c>
      <c r="AJ73" s="93" t="e">
        <v>#N/A</v>
      </c>
      <c r="AL73" s="39" t="e">
        <f t="shared" si="50"/>
        <v>#N/A</v>
      </c>
      <c r="AM73" s="93" t="e">
        <v>#N/A</v>
      </c>
      <c r="AN73" s="93" t="e">
        <v>#N/A</v>
      </c>
      <c r="AO73" s="93" t="e">
        <v>#N/A</v>
      </c>
      <c r="AP73" s="93" t="e">
        <v>#N/A</v>
      </c>
      <c r="AQ73" s="93"/>
      <c r="AR73" s="39" t="e">
        <f t="shared" si="51"/>
        <v>#N/A</v>
      </c>
      <c r="AS73" s="93" t="e">
        <v>#N/A</v>
      </c>
      <c r="AT73" s="93" t="e">
        <v>#N/A</v>
      </c>
      <c r="AU73" s="93" t="e">
        <v>#N/A</v>
      </c>
      <c r="AV73" s="93" t="e">
        <v>#N/A</v>
      </c>
      <c r="AW73" s="90" t="e">
        <f t="shared" si="65"/>
        <v>#REF!</v>
      </c>
      <c r="AX73" s="39" t="e">
        <f t="shared" si="52"/>
        <v>#N/A</v>
      </c>
      <c r="AY73" s="93" t="e">
        <v>#N/A</v>
      </c>
      <c r="AZ73" s="93" t="e">
        <v>#N/A</v>
      </c>
      <c r="BA73" s="93" t="e">
        <v>#N/A</v>
      </c>
      <c r="BB73" s="93" t="e">
        <v>#N/A</v>
      </c>
      <c r="BD73" s="39" t="e">
        <f t="shared" si="53"/>
        <v>#N/A</v>
      </c>
      <c r="BE73" s="93" t="e">
        <v>#N/A</v>
      </c>
      <c r="BF73" s="93" t="e">
        <v>#N/A</v>
      </c>
      <c r="BG73" s="93" t="e">
        <v>#N/A</v>
      </c>
      <c r="BH73" s="93" t="e">
        <v>#N/A</v>
      </c>
      <c r="BJ73" s="39" t="e">
        <f t="shared" si="54"/>
        <v>#N/A</v>
      </c>
      <c r="BK73" s="93" t="e">
        <v>#N/A</v>
      </c>
      <c r="BL73" s="93" t="e">
        <v>#N/A</v>
      </c>
      <c r="BM73" s="93" t="e">
        <v>#N/A</v>
      </c>
      <c r="BN73" s="93" t="e">
        <v>#N/A</v>
      </c>
      <c r="BO73" s="93"/>
      <c r="BP73" s="39" t="e">
        <f t="shared" si="55"/>
        <v>#N/A</v>
      </c>
      <c r="BQ73" s="93" t="e">
        <v>#N/A</v>
      </c>
      <c r="BR73" s="93" t="e">
        <v>#N/A</v>
      </c>
      <c r="BS73" s="93" t="e">
        <v>#N/A</v>
      </c>
      <c r="BT73" s="93" t="e">
        <v>#N/A</v>
      </c>
      <c r="BU73" s="90" t="e">
        <f t="shared" si="66"/>
        <v>#REF!</v>
      </c>
      <c r="BV73" s="39" t="e">
        <f t="shared" si="56"/>
        <v>#N/A</v>
      </c>
      <c r="BW73" s="93" t="e">
        <v>#N/A</v>
      </c>
      <c r="BX73" s="93" t="e">
        <v>#N/A</v>
      </c>
      <c r="BY73" s="93" t="e">
        <v>#N/A</v>
      </c>
      <c r="BZ73" s="93" t="e">
        <v>#N/A</v>
      </c>
      <c r="CB73" s="39" t="e">
        <f t="shared" si="57"/>
        <v>#N/A</v>
      </c>
      <c r="CC73" s="93" t="e">
        <v>#N/A</v>
      </c>
      <c r="CD73" s="93" t="e">
        <v>#N/A</v>
      </c>
      <c r="CE73" s="93" t="e">
        <v>#N/A</v>
      </c>
      <c r="CF73" s="93" t="e">
        <v>#N/A</v>
      </c>
      <c r="CH73" s="39" t="e">
        <f t="shared" si="58"/>
        <v>#N/A</v>
      </c>
      <c r="CI73" s="93" t="e">
        <v>#N/A</v>
      </c>
      <c r="CJ73" s="93" t="e">
        <v>#N/A</v>
      </c>
      <c r="CK73" s="93" t="e">
        <v>#N/A</v>
      </c>
      <c r="CL73" s="93" t="e">
        <v>#N/A</v>
      </c>
      <c r="CM73" s="93"/>
      <c r="CN73" s="39" t="e">
        <f t="shared" si="59"/>
        <v>#N/A</v>
      </c>
      <c r="CO73" s="93" t="e">
        <v>#N/A</v>
      </c>
      <c r="CP73" s="93" t="e">
        <v>#N/A</v>
      </c>
      <c r="CQ73" s="93" t="e">
        <v>#N/A</v>
      </c>
      <c r="CR73" s="93" t="e">
        <v>#N/A</v>
      </c>
      <c r="CS73" s="90" t="e">
        <f t="shared" si="67"/>
        <v>#REF!</v>
      </c>
      <c r="CT73" s="39" t="e">
        <f t="shared" si="60"/>
        <v>#N/A</v>
      </c>
      <c r="CU73" s="93" t="e">
        <v>#N/A</v>
      </c>
      <c r="CV73" s="93" t="e">
        <v>#N/A</v>
      </c>
      <c r="CW73" s="93" t="e">
        <v>#N/A</v>
      </c>
      <c r="CX73" s="93" t="e">
        <v>#N/A</v>
      </c>
      <c r="CZ73" s="39" t="e">
        <f t="shared" si="61"/>
        <v>#N/A</v>
      </c>
      <c r="DA73" s="93" t="e">
        <v>#N/A</v>
      </c>
      <c r="DB73" s="93" t="e">
        <v>#N/A</v>
      </c>
      <c r="DC73" s="93" t="e">
        <v>#N/A</v>
      </c>
      <c r="DD73" s="93" t="e">
        <v>#N/A</v>
      </c>
      <c r="DF73" s="39" t="e">
        <f t="shared" si="62"/>
        <v>#N/A</v>
      </c>
      <c r="DG73" s="93" t="e">
        <v>#N/A</v>
      </c>
      <c r="DH73" s="93" t="e">
        <v>#N/A</v>
      </c>
      <c r="DI73" s="93" t="e">
        <v>#N/A</v>
      </c>
      <c r="DJ73" s="93" t="e">
        <v>#N/A</v>
      </c>
      <c r="DK73" s="93"/>
      <c r="DL73" s="39" t="e">
        <f t="shared" si="63"/>
        <v>#N/A</v>
      </c>
      <c r="DM73" s="93" t="e">
        <v>#N/A</v>
      </c>
      <c r="DN73" s="93" t="e">
        <v>#N/A</v>
      </c>
      <c r="DO73" s="93" t="e">
        <v>#N/A</v>
      </c>
      <c r="DP73" s="93" t="e">
        <v>#N/A</v>
      </c>
    </row>
    <row r="74" spans="1:120" x14ac:dyDescent="0.3">
      <c r="A74" s="90" t="e">
        <f>name!#REF!</f>
        <v>#REF!</v>
      </c>
      <c r="B74" s="39" t="e">
        <f t="shared" si="44"/>
        <v>#N/A</v>
      </c>
      <c r="C74" s="93" t="e">
        <v>#N/A</v>
      </c>
      <c r="D74" s="93" t="e">
        <v>#N/A</v>
      </c>
      <c r="E74" s="93" t="e">
        <v>#N/A</v>
      </c>
      <c r="F74" s="93" t="e">
        <v>#N/A</v>
      </c>
      <c r="H74" s="39" t="e">
        <f t="shared" si="45"/>
        <v>#N/A</v>
      </c>
      <c r="I74" s="93" t="e">
        <v>#N/A</v>
      </c>
      <c r="J74" s="93" t="e">
        <v>#N/A</v>
      </c>
      <c r="K74" s="93" t="e">
        <v>#N/A</v>
      </c>
      <c r="L74" s="93" t="e">
        <v>#N/A</v>
      </c>
      <c r="N74" s="39" t="e">
        <f t="shared" si="46"/>
        <v>#N/A</v>
      </c>
      <c r="O74" s="93" t="e">
        <v>#N/A</v>
      </c>
      <c r="P74" s="93" t="e">
        <v>#N/A</v>
      </c>
      <c r="Q74" s="93" t="e">
        <v>#N/A</v>
      </c>
      <c r="R74" s="93" t="e">
        <v>#N/A</v>
      </c>
      <c r="S74" s="93"/>
      <c r="T74" s="39" t="e">
        <f t="shared" si="47"/>
        <v>#N/A</v>
      </c>
      <c r="U74" s="93" t="e">
        <v>#N/A</v>
      </c>
      <c r="V74" s="93" t="e">
        <v>#N/A</v>
      </c>
      <c r="W74" s="93" t="e">
        <v>#N/A</v>
      </c>
      <c r="X74" s="93" t="e">
        <v>#N/A</v>
      </c>
      <c r="Y74" s="90" t="e">
        <f t="shared" si="64"/>
        <v>#REF!</v>
      </c>
      <c r="Z74" s="39" t="e">
        <f t="shared" si="48"/>
        <v>#N/A</v>
      </c>
      <c r="AA74" s="93" t="e">
        <v>#N/A</v>
      </c>
      <c r="AB74" s="93" t="e">
        <v>#N/A</v>
      </c>
      <c r="AC74" s="93" t="e">
        <v>#N/A</v>
      </c>
      <c r="AD74" s="93" t="e">
        <v>#N/A</v>
      </c>
      <c r="AF74" s="39" t="e">
        <f t="shared" si="49"/>
        <v>#N/A</v>
      </c>
      <c r="AG74" s="93" t="e">
        <v>#N/A</v>
      </c>
      <c r="AH74" s="93" t="e">
        <v>#N/A</v>
      </c>
      <c r="AI74" s="93" t="e">
        <v>#N/A</v>
      </c>
      <c r="AJ74" s="93" t="e">
        <v>#N/A</v>
      </c>
      <c r="AL74" s="39" t="e">
        <f t="shared" si="50"/>
        <v>#N/A</v>
      </c>
      <c r="AM74" s="93" t="e">
        <v>#N/A</v>
      </c>
      <c r="AN74" s="93" t="e">
        <v>#N/A</v>
      </c>
      <c r="AO74" s="93" t="e">
        <v>#N/A</v>
      </c>
      <c r="AP74" s="93" t="e">
        <v>#N/A</v>
      </c>
      <c r="AQ74" s="93"/>
      <c r="AR74" s="39" t="e">
        <f t="shared" si="51"/>
        <v>#N/A</v>
      </c>
      <c r="AS74" s="93" t="e">
        <v>#N/A</v>
      </c>
      <c r="AT74" s="93" t="e">
        <v>#N/A</v>
      </c>
      <c r="AU74" s="93" t="e">
        <v>#N/A</v>
      </c>
      <c r="AV74" s="93" t="e">
        <v>#N/A</v>
      </c>
      <c r="AW74" s="90" t="e">
        <f t="shared" si="65"/>
        <v>#REF!</v>
      </c>
      <c r="AX74" s="39" t="e">
        <f t="shared" si="52"/>
        <v>#N/A</v>
      </c>
      <c r="AY74" s="93" t="e">
        <v>#N/A</v>
      </c>
      <c r="AZ74" s="93" t="e">
        <v>#N/A</v>
      </c>
      <c r="BA74" s="93" t="e">
        <v>#N/A</v>
      </c>
      <c r="BB74" s="93" t="e">
        <v>#N/A</v>
      </c>
      <c r="BD74" s="39" t="e">
        <f t="shared" si="53"/>
        <v>#N/A</v>
      </c>
      <c r="BE74" s="93" t="e">
        <v>#N/A</v>
      </c>
      <c r="BF74" s="93" t="e">
        <v>#N/A</v>
      </c>
      <c r="BG74" s="93" t="e">
        <v>#N/A</v>
      </c>
      <c r="BH74" s="93" t="e">
        <v>#N/A</v>
      </c>
      <c r="BJ74" s="39" t="e">
        <f t="shared" si="54"/>
        <v>#N/A</v>
      </c>
      <c r="BK74" s="93" t="e">
        <v>#N/A</v>
      </c>
      <c r="BL74" s="93" t="e">
        <v>#N/A</v>
      </c>
      <c r="BM74" s="93" t="e">
        <v>#N/A</v>
      </c>
      <c r="BN74" s="93" t="e">
        <v>#N/A</v>
      </c>
      <c r="BO74" s="93"/>
      <c r="BP74" s="39" t="e">
        <f t="shared" si="55"/>
        <v>#N/A</v>
      </c>
      <c r="BQ74" s="93" t="e">
        <v>#N/A</v>
      </c>
      <c r="BR74" s="93" t="e">
        <v>#N/A</v>
      </c>
      <c r="BS74" s="93" t="e">
        <v>#N/A</v>
      </c>
      <c r="BT74" s="93" t="e">
        <v>#N/A</v>
      </c>
      <c r="BU74" s="90" t="e">
        <f t="shared" si="66"/>
        <v>#REF!</v>
      </c>
      <c r="BV74" s="39" t="e">
        <f t="shared" si="56"/>
        <v>#N/A</v>
      </c>
      <c r="BW74" s="93" t="e">
        <v>#N/A</v>
      </c>
      <c r="BX74" s="93" t="e">
        <v>#N/A</v>
      </c>
      <c r="BY74" s="93" t="e">
        <v>#N/A</v>
      </c>
      <c r="BZ74" s="93" t="e">
        <v>#N/A</v>
      </c>
      <c r="CB74" s="39" t="e">
        <f t="shared" si="57"/>
        <v>#N/A</v>
      </c>
      <c r="CC74" s="93" t="e">
        <v>#N/A</v>
      </c>
      <c r="CD74" s="93" t="e">
        <v>#N/A</v>
      </c>
      <c r="CE74" s="93" t="e">
        <v>#N/A</v>
      </c>
      <c r="CF74" s="93" t="e">
        <v>#N/A</v>
      </c>
      <c r="CH74" s="39" t="e">
        <f t="shared" si="58"/>
        <v>#N/A</v>
      </c>
      <c r="CI74" s="93" t="e">
        <v>#N/A</v>
      </c>
      <c r="CJ74" s="93" t="e">
        <v>#N/A</v>
      </c>
      <c r="CK74" s="93" t="e">
        <v>#N/A</v>
      </c>
      <c r="CL74" s="93" t="e">
        <v>#N/A</v>
      </c>
      <c r="CM74" s="93"/>
      <c r="CN74" s="39" t="e">
        <f t="shared" si="59"/>
        <v>#N/A</v>
      </c>
      <c r="CO74" s="93" t="e">
        <v>#N/A</v>
      </c>
      <c r="CP74" s="93" t="e">
        <v>#N/A</v>
      </c>
      <c r="CQ74" s="93" t="e">
        <v>#N/A</v>
      </c>
      <c r="CR74" s="93" t="e">
        <v>#N/A</v>
      </c>
      <c r="CS74" s="90" t="e">
        <f t="shared" si="67"/>
        <v>#REF!</v>
      </c>
      <c r="CT74" s="39" t="e">
        <f t="shared" si="60"/>
        <v>#N/A</v>
      </c>
      <c r="CU74" s="93" t="e">
        <v>#N/A</v>
      </c>
      <c r="CV74" s="93" t="e">
        <v>#N/A</v>
      </c>
      <c r="CW74" s="93" t="e">
        <v>#N/A</v>
      </c>
      <c r="CX74" s="93" t="e">
        <v>#N/A</v>
      </c>
      <c r="CZ74" s="39" t="e">
        <f t="shared" si="61"/>
        <v>#N/A</v>
      </c>
      <c r="DA74" s="93" t="e">
        <v>#N/A</v>
      </c>
      <c r="DB74" s="93" t="e">
        <v>#N/A</v>
      </c>
      <c r="DC74" s="93" t="e">
        <v>#N/A</v>
      </c>
      <c r="DD74" s="93" t="e">
        <v>#N/A</v>
      </c>
      <c r="DF74" s="39" t="e">
        <f t="shared" si="62"/>
        <v>#N/A</v>
      </c>
      <c r="DG74" s="93" t="e">
        <v>#N/A</v>
      </c>
      <c r="DH74" s="93" t="e">
        <v>#N/A</v>
      </c>
      <c r="DI74" s="93" t="e">
        <v>#N/A</v>
      </c>
      <c r="DJ74" s="93" t="e">
        <v>#N/A</v>
      </c>
      <c r="DK74" s="93"/>
      <c r="DL74" s="39" t="e">
        <f t="shared" si="63"/>
        <v>#N/A</v>
      </c>
      <c r="DM74" s="93" t="e">
        <v>#N/A</v>
      </c>
      <c r="DN74" s="93" t="e">
        <v>#N/A</v>
      </c>
      <c r="DO74" s="93" t="e">
        <v>#N/A</v>
      </c>
      <c r="DP74" s="93" t="e">
        <v>#N/A</v>
      </c>
    </row>
    <row r="75" spans="1:120" x14ac:dyDescent="0.3">
      <c r="A75" s="90" t="e">
        <f>name!#REF!</f>
        <v>#REF!</v>
      </c>
      <c r="B75" s="39" t="e">
        <f t="shared" si="44"/>
        <v>#N/A</v>
      </c>
      <c r="C75" s="93" t="e">
        <v>#N/A</v>
      </c>
      <c r="D75" s="93" t="e">
        <v>#N/A</v>
      </c>
      <c r="E75" s="93" t="e">
        <v>#N/A</v>
      </c>
      <c r="F75" s="93" t="e">
        <v>#N/A</v>
      </c>
      <c r="H75" s="39" t="e">
        <f t="shared" si="45"/>
        <v>#N/A</v>
      </c>
      <c r="I75" s="93" t="e">
        <v>#N/A</v>
      </c>
      <c r="J75" s="93" t="e">
        <v>#N/A</v>
      </c>
      <c r="K75" s="93" t="e">
        <v>#N/A</v>
      </c>
      <c r="L75" s="93" t="e">
        <v>#N/A</v>
      </c>
      <c r="N75" s="39" t="e">
        <f t="shared" si="46"/>
        <v>#N/A</v>
      </c>
      <c r="O75" s="93" t="e">
        <v>#N/A</v>
      </c>
      <c r="P75" s="93" t="e">
        <v>#N/A</v>
      </c>
      <c r="Q75" s="93" t="e">
        <v>#N/A</v>
      </c>
      <c r="R75" s="93" t="e">
        <v>#N/A</v>
      </c>
      <c r="S75" s="93"/>
      <c r="T75" s="39" t="e">
        <f t="shared" si="47"/>
        <v>#N/A</v>
      </c>
      <c r="U75" s="93" t="e">
        <v>#N/A</v>
      </c>
      <c r="V75" s="93" t="e">
        <v>#N/A</v>
      </c>
      <c r="W75" s="93" t="e">
        <v>#N/A</v>
      </c>
      <c r="X75" s="93" t="e">
        <v>#N/A</v>
      </c>
      <c r="Y75" s="90" t="e">
        <f t="shared" si="64"/>
        <v>#REF!</v>
      </c>
      <c r="Z75" s="39" t="e">
        <f t="shared" si="48"/>
        <v>#N/A</v>
      </c>
      <c r="AA75" s="93" t="e">
        <v>#N/A</v>
      </c>
      <c r="AB75" s="93" t="e">
        <v>#N/A</v>
      </c>
      <c r="AC75" s="93" t="e">
        <v>#N/A</v>
      </c>
      <c r="AD75" s="93" t="e">
        <v>#N/A</v>
      </c>
      <c r="AF75" s="39" t="e">
        <f t="shared" si="49"/>
        <v>#N/A</v>
      </c>
      <c r="AG75" s="93" t="e">
        <v>#N/A</v>
      </c>
      <c r="AH75" s="93" t="e">
        <v>#N/A</v>
      </c>
      <c r="AI75" s="93" t="e">
        <v>#N/A</v>
      </c>
      <c r="AJ75" s="93" t="e">
        <v>#N/A</v>
      </c>
      <c r="AL75" s="39" t="e">
        <f t="shared" si="50"/>
        <v>#N/A</v>
      </c>
      <c r="AM75" s="93" t="e">
        <v>#N/A</v>
      </c>
      <c r="AN75" s="93" t="e">
        <v>#N/A</v>
      </c>
      <c r="AO75" s="93" t="e">
        <v>#N/A</v>
      </c>
      <c r="AP75" s="93" t="e">
        <v>#N/A</v>
      </c>
      <c r="AQ75" s="93"/>
      <c r="AR75" s="39" t="e">
        <f t="shared" si="51"/>
        <v>#N/A</v>
      </c>
      <c r="AS75" s="93" t="e">
        <v>#N/A</v>
      </c>
      <c r="AT75" s="93" t="e">
        <v>#N/A</v>
      </c>
      <c r="AU75" s="93" t="e">
        <v>#N/A</v>
      </c>
      <c r="AV75" s="93" t="e">
        <v>#N/A</v>
      </c>
      <c r="AW75" s="90" t="e">
        <f t="shared" si="65"/>
        <v>#REF!</v>
      </c>
      <c r="AX75" s="39" t="e">
        <f t="shared" si="52"/>
        <v>#N/A</v>
      </c>
      <c r="AY75" s="93" t="e">
        <v>#N/A</v>
      </c>
      <c r="AZ75" s="93" t="e">
        <v>#N/A</v>
      </c>
      <c r="BA75" s="93" t="e">
        <v>#N/A</v>
      </c>
      <c r="BB75" s="93" t="e">
        <v>#N/A</v>
      </c>
      <c r="BD75" s="39" t="e">
        <f t="shared" si="53"/>
        <v>#N/A</v>
      </c>
      <c r="BE75" s="93" t="e">
        <v>#N/A</v>
      </c>
      <c r="BF75" s="93" t="e">
        <v>#N/A</v>
      </c>
      <c r="BG75" s="93" t="e">
        <v>#N/A</v>
      </c>
      <c r="BH75" s="93" t="e">
        <v>#N/A</v>
      </c>
      <c r="BJ75" s="39" t="e">
        <f t="shared" si="54"/>
        <v>#N/A</v>
      </c>
      <c r="BK75" s="93" t="e">
        <v>#N/A</v>
      </c>
      <c r="BL75" s="93" t="e">
        <v>#N/A</v>
      </c>
      <c r="BM75" s="93" t="e">
        <v>#N/A</v>
      </c>
      <c r="BN75" s="93" t="e">
        <v>#N/A</v>
      </c>
      <c r="BO75" s="93"/>
      <c r="BP75" s="39" t="e">
        <f t="shared" si="55"/>
        <v>#N/A</v>
      </c>
      <c r="BQ75" s="93" t="e">
        <v>#N/A</v>
      </c>
      <c r="BR75" s="93" t="e">
        <v>#N/A</v>
      </c>
      <c r="BS75" s="93" t="e">
        <v>#N/A</v>
      </c>
      <c r="BT75" s="93" t="e">
        <v>#N/A</v>
      </c>
      <c r="BU75" s="90" t="e">
        <f t="shared" si="66"/>
        <v>#REF!</v>
      </c>
      <c r="BV75" s="39" t="e">
        <f t="shared" si="56"/>
        <v>#N/A</v>
      </c>
      <c r="BW75" s="93" t="e">
        <v>#N/A</v>
      </c>
      <c r="BX75" s="93" t="e">
        <v>#N/A</v>
      </c>
      <c r="BY75" s="93" t="e">
        <v>#N/A</v>
      </c>
      <c r="BZ75" s="93" t="e">
        <v>#N/A</v>
      </c>
      <c r="CB75" s="39" t="e">
        <f t="shared" si="57"/>
        <v>#N/A</v>
      </c>
      <c r="CC75" s="93" t="e">
        <v>#N/A</v>
      </c>
      <c r="CD75" s="93" t="e">
        <v>#N/A</v>
      </c>
      <c r="CE75" s="93" t="e">
        <v>#N/A</v>
      </c>
      <c r="CF75" s="93" t="e">
        <v>#N/A</v>
      </c>
      <c r="CH75" s="39" t="e">
        <f t="shared" si="58"/>
        <v>#N/A</v>
      </c>
      <c r="CI75" s="93" t="e">
        <v>#N/A</v>
      </c>
      <c r="CJ75" s="93" t="e">
        <v>#N/A</v>
      </c>
      <c r="CK75" s="93" t="e">
        <v>#N/A</v>
      </c>
      <c r="CL75" s="93" t="e">
        <v>#N/A</v>
      </c>
      <c r="CM75" s="93"/>
      <c r="CN75" s="39" t="e">
        <f t="shared" si="59"/>
        <v>#N/A</v>
      </c>
      <c r="CO75" s="93" t="e">
        <v>#N/A</v>
      </c>
      <c r="CP75" s="93" t="e">
        <v>#N/A</v>
      </c>
      <c r="CQ75" s="93" t="e">
        <v>#N/A</v>
      </c>
      <c r="CR75" s="93" t="e">
        <v>#N/A</v>
      </c>
      <c r="CS75" s="90" t="e">
        <f t="shared" si="67"/>
        <v>#REF!</v>
      </c>
      <c r="CT75" s="39" t="e">
        <f t="shared" si="60"/>
        <v>#N/A</v>
      </c>
      <c r="CU75" s="93" t="e">
        <v>#N/A</v>
      </c>
      <c r="CV75" s="93" t="e">
        <v>#N/A</v>
      </c>
      <c r="CW75" s="93" t="e">
        <v>#N/A</v>
      </c>
      <c r="CX75" s="93" t="e">
        <v>#N/A</v>
      </c>
      <c r="CZ75" s="39" t="e">
        <f t="shared" si="61"/>
        <v>#N/A</v>
      </c>
      <c r="DA75" s="93" t="e">
        <v>#N/A</v>
      </c>
      <c r="DB75" s="93" t="e">
        <v>#N/A</v>
      </c>
      <c r="DC75" s="93" t="e">
        <v>#N/A</v>
      </c>
      <c r="DD75" s="93" t="e">
        <v>#N/A</v>
      </c>
      <c r="DF75" s="39" t="e">
        <f t="shared" si="62"/>
        <v>#N/A</v>
      </c>
      <c r="DG75" s="93" t="e">
        <v>#N/A</v>
      </c>
      <c r="DH75" s="93" t="e">
        <v>#N/A</v>
      </c>
      <c r="DI75" s="93" t="e">
        <v>#N/A</v>
      </c>
      <c r="DJ75" s="93" t="e">
        <v>#N/A</v>
      </c>
      <c r="DK75" s="93"/>
      <c r="DL75" s="39" t="e">
        <f t="shared" si="63"/>
        <v>#N/A</v>
      </c>
      <c r="DM75" s="93" t="e">
        <v>#N/A</v>
      </c>
      <c r="DN75" s="93" t="e">
        <v>#N/A</v>
      </c>
      <c r="DO75" s="93" t="e">
        <v>#N/A</v>
      </c>
      <c r="DP75" s="93" t="e">
        <v>#N/A</v>
      </c>
    </row>
    <row r="76" spans="1:120" x14ac:dyDescent="0.3">
      <c r="B76" s="39"/>
      <c r="H76" s="39"/>
      <c r="N76" s="39"/>
      <c r="T76" s="39"/>
      <c r="Z76" s="39"/>
      <c r="AF76" s="39"/>
      <c r="AL76" s="39"/>
      <c r="AR76" s="39"/>
      <c r="AX76" s="39"/>
      <c r="BD76" s="39"/>
      <c r="BJ76" s="39"/>
      <c r="BP76" s="39"/>
      <c r="BV76" s="39"/>
      <c r="CB76" s="39"/>
      <c r="CH76" s="39"/>
      <c r="CN76" s="39"/>
      <c r="CT76" s="39"/>
      <c r="CZ76" s="39"/>
      <c r="DF76" s="39"/>
      <c r="DL76" s="39"/>
    </row>
    <row r="77" spans="1:120" x14ac:dyDescent="0.3">
      <c r="A77" s="91" t="e">
        <f>name!#REF!</f>
        <v>#REF!</v>
      </c>
      <c r="B77" s="42">
        <f t="shared" si="44"/>
        <v>2.7912372459239387</v>
      </c>
      <c r="C77" s="92">
        <f>C50</f>
        <v>4561.2992279926211</v>
      </c>
      <c r="D77" s="92">
        <f>D50</f>
        <v>431.97496524334053</v>
      </c>
      <c r="E77" s="92">
        <f>E50</f>
        <v>1445.5882710202891</v>
      </c>
      <c r="F77" s="92">
        <f>F50</f>
        <v>1877.5632362636297</v>
      </c>
      <c r="G77" s="91"/>
      <c r="H77" s="42">
        <f t="shared" si="45"/>
        <v>2.6517730789267446</v>
      </c>
      <c r="I77" s="92">
        <f>I50</f>
        <v>774.77767553257945</v>
      </c>
      <c r="J77" s="92">
        <f>J50</f>
        <v>-90.9176985646708</v>
      </c>
      <c r="K77" s="92">
        <f>K50</f>
        <v>231.78692033646578</v>
      </c>
      <c r="L77" s="92">
        <f>L50</f>
        <v>140.86922177179497</v>
      </c>
      <c r="M77" s="91"/>
      <c r="N77" s="42">
        <f t="shared" si="46"/>
        <v>2.6893242464146816</v>
      </c>
      <c r="O77" s="92">
        <f>O50</f>
        <v>1810.6123702397726</v>
      </c>
      <c r="P77" s="92">
        <f>P50</f>
        <v>208.84741372398935</v>
      </c>
      <c r="Q77" s="92">
        <f>Q50</f>
        <v>550.29225403969679</v>
      </c>
      <c r="R77" s="92">
        <f>R50</f>
        <v>759.13966776368613</v>
      </c>
      <c r="S77" s="92"/>
      <c r="T77" s="42">
        <f t="shared" si="47"/>
        <v>2.9376202991175049</v>
      </c>
      <c r="U77" s="92">
        <f>U50</f>
        <v>1975.9091822202711</v>
      </c>
      <c r="V77" s="92">
        <f>V50</f>
        <v>314.04525008402186</v>
      </c>
      <c r="W77" s="92">
        <f>W50</f>
        <v>663.50909664412427</v>
      </c>
      <c r="X77" s="92">
        <f>X50</f>
        <v>977.55434672814613</v>
      </c>
      <c r="Y77" s="91" t="e">
        <f>A77</f>
        <v>#REF!</v>
      </c>
      <c r="Z77" s="42">
        <f>IF(AA77&gt;0,((1+(AC77/AA77))^(1/($A$101-$A$100))-1)*100,0)</f>
        <v>2.9771972098236787</v>
      </c>
      <c r="AA77" s="92">
        <f>AA50</f>
        <v>2141.7348734083043</v>
      </c>
      <c r="AB77" s="92">
        <f>AB50</f>
        <v>328.18012130131888</v>
      </c>
      <c r="AC77" s="92">
        <f>AC50</f>
        <v>730.21185757939747</v>
      </c>
      <c r="AD77" s="92">
        <f>AD50</f>
        <v>1058.3919788807164</v>
      </c>
      <c r="AE77" s="91"/>
      <c r="AF77" s="42">
        <f>IF(AG77&gt;0,((1+(AI77/AG77))^(1/($A$101-$A$100))-1)*100,0)</f>
        <v>3.0280155732974823</v>
      </c>
      <c r="AG77" s="92">
        <f>AG50</f>
        <v>114.36183531349347</v>
      </c>
      <c r="AH77" s="92">
        <f>AH50</f>
        <v>10.806009020856356</v>
      </c>
      <c r="AI77" s="92">
        <f>AI50</f>
        <v>39.749458273691218</v>
      </c>
      <c r="AJ77" s="92">
        <f>AJ50</f>
        <v>50.555467294547576</v>
      </c>
      <c r="AK77" s="91"/>
      <c r="AL77" s="42">
        <f>IF(AM77&gt;0,((1+(AO77/AM77))^(1/($A$101-$A$100))-1)*100,0)</f>
        <v>2.9663353480916088</v>
      </c>
      <c r="AM77" s="92">
        <f>AM50</f>
        <v>484.03376220781502</v>
      </c>
      <c r="AN77" s="92">
        <f>AN50</f>
        <v>80.752171418150368</v>
      </c>
      <c r="AO77" s="92">
        <f>AO50</f>
        <v>164.34415782441963</v>
      </c>
      <c r="AP77" s="92">
        <f>AP50</f>
        <v>245.09632924256999</v>
      </c>
      <c r="AQ77" s="92"/>
      <c r="AR77" s="42">
        <f>IF(AS77&gt;0,((1+(AU77/AS77))^(1/($A$101-$A$100))-1)*100,0)</f>
        <v>2.9768281396108875</v>
      </c>
      <c r="AS77" s="92">
        <f>AS50</f>
        <v>1543.3392758869961</v>
      </c>
      <c r="AT77" s="92">
        <f>AT50</f>
        <v>236.62194086231219</v>
      </c>
      <c r="AU77" s="92">
        <f>AU50</f>
        <v>526.11824148128676</v>
      </c>
      <c r="AV77" s="92">
        <f>AV50</f>
        <v>762.74018234359892</v>
      </c>
      <c r="AW77" s="91" t="e">
        <f>Y77</f>
        <v>#REF!</v>
      </c>
      <c r="AX77" s="42">
        <f>IF(AY77&gt;0,((1+(BA77/AY77))^(1/($A$101-$A$100))-1)*100,0)</f>
        <v>2.5960689907792656</v>
      </c>
      <c r="AY77" s="92">
        <f>AY50</f>
        <v>1169.4910110900296</v>
      </c>
      <c r="AZ77" s="92">
        <f>AZ50</f>
        <v>61.012733866251224</v>
      </c>
      <c r="BA77" s="92">
        <f>BA50</f>
        <v>341.64688672572964</v>
      </c>
      <c r="BB77" s="92">
        <f>BB50</f>
        <v>402.65962059198085</v>
      </c>
      <c r="BC77" s="91"/>
      <c r="BD77" s="42">
        <f>IF(BE77&gt;0,((1+(BG77/BE77))^(1/($A$101-$A$100))-1)*100,0)</f>
        <v>2.5108134589674425</v>
      </c>
      <c r="BE77" s="92">
        <f>BE50</f>
        <v>196.77997170605971</v>
      </c>
      <c r="BF77" s="92">
        <f>BF50</f>
        <v>-19.19988351079143</v>
      </c>
      <c r="BG77" s="92">
        <f>BG50</f>
        <v>55.380896948664599</v>
      </c>
      <c r="BH77" s="92">
        <f>BH50</f>
        <v>36.181013437873169</v>
      </c>
      <c r="BI77" s="91"/>
      <c r="BJ77" s="42">
        <f>IF(BK77&gt;0,((1+(BM77/BK77))^(1/($A$101-$A$100))-1)*100,0)</f>
        <v>2.5531077119064882</v>
      </c>
      <c r="BK77" s="92">
        <f>BK50</f>
        <v>650.12175377402275</v>
      </c>
      <c r="BL77" s="92">
        <f>BL50</f>
        <v>42.192712487148434</v>
      </c>
      <c r="BM77" s="92">
        <f>BM50</f>
        <v>186.41100647521165</v>
      </c>
      <c r="BN77" s="92">
        <f>BN50</f>
        <v>228.60371896236009</v>
      </c>
      <c r="BO77" s="92"/>
      <c r="BP77" s="42">
        <f>IF(BQ77&gt;0,((1+(BS77/BQ77))^(1/($A$101-$A$100))-1)*100,0)</f>
        <v>2.7334678665663192</v>
      </c>
      <c r="BQ77" s="92">
        <f>BQ50</f>
        <v>322.58928560994713</v>
      </c>
      <c r="BR77" s="92">
        <f>BR50</f>
        <v>38.019904889894228</v>
      </c>
      <c r="BS77" s="92">
        <f>BS50</f>
        <v>99.854983301853494</v>
      </c>
      <c r="BT77" s="92">
        <f>BT50</f>
        <v>137.87488819174771</v>
      </c>
      <c r="BU77" s="91" t="e">
        <f>AW77</f>
        <v>#REF!</v>
      </c>
      <c r="BV77" s="42">
        <f>IF(BW77&gt;0,((1+(BY77/BW77))^(1/($A$101-$A$100))-1)*100,0)</f>
        <v>2.5889208699682698</v>
      </c>
      <c r="BW77" s="92">
        <f>BW50</f>
        <v>786.26148565798121</v>
      </c>
      <c r="BX77" s="92">
        <f>BX50</f>
        <v>-16.768227409449015</v>
      </c>
      <c r="BY77" s="92">
        <f>BY50</f>
        <v>228.98528730973825</v>
      </c>
      <c r="BZ77" s="92">
        <f>BZ50</f>
        <v>212.21705990028923</v>
      </c>
      <c r="CA77" s="91"/>
      <c r="CB77" s="42">
        <f>IF(CC77&gt;0,((1+(CE77/CC77))^(1/($A$101-$A$100))-1)*100,0)</f>
        <v>2.5278948366694864</v>
      </c>
      <c r="CC77" s="92">
        <f>CC50</f>
        <v>257.91842111045776</v>
      </c>
      <c r="CD77" s="92">
        <f>CD50</f>
        <v>-52.179148361626908</v>
      </c>
      <c r="CE77" s="92">
        <f>CE50</f>
        <v>73.138570554183204</v>
      </c>
      <c r="CF77" s="92">
        <f>CF50</f>
        <v>20.959422192556296</v>
      </c>
      <c r="CG77" s="91"/>
      <c r="CH77" s="42">
        <f>IF(CI77&gt;0,((1+(CK77/CI77))^(1/($A$101-$A$100))-1)*100,0)</f>
        <v>2.5655949055339189</v>
      </c>
      <c r="CI77" s="92">
        <f>CI50</f>
        <v>462.50112579230256</v>
      </c>
      <c r="CJ77" s="92">
        <f>CJ50</f>
        <v>18.263082416840735</v>
      </c>
      <c r="CK77" s="92">
        <f>CK50</f>
        <v>133.33911166207648</v>
      </c>
      <c r="CL77" s="92">
        <f>CL50</f>
        <v>151.60219407891722</v>
      </c>
      <c r="CM77" s="92"/>
      <c r="CN77" s="42">
        <f>IF(CO77&gt;0,((1+(CQ77/CO77))^(1/($A$101-$A$100))-1)*100,0)</f>
        <v>2.9840981402702971</v>
      </c>
      <c r="CO77" s="92">
        <f>CO50</f>
        <v>65.841938755220539</v>
      </c>
      <c r="CP77" s="92">
        <f>CP50</f>
        <v>17.147838535337179</v>
      </c>
      <c r="CQ77" s="92">
        <f>CQ50</f>
        <v>22.507605093478684</v>
      </c>
      <c r="CR77" s="92">
        <f>CR50</f>
        <v>39.65544362881586</v>
      </c>
      <c r="CS77" s="91" t="e">
        <f>BU77</f>
        <v>#REF!</v>
      </c>
      <c r="CT77" s="42">
        <f>IF(CU77&gt;0,((1+(CW77/CU77))^(1/($A$101-$A$100))-1)*100,0)</f>
        <v>2.7533233225370157</v>
      </c>
      <c r="CU77" s="92">
        <f>CU50</f>
        <v>463.81185783630696</v>
      </c>
      <c r="CV77" s="92">
        <f>CV50</f>
        <v>59.550337485219423</v>
      </c>
      <c r="CW77" s="92">
        <f>CW50</f>
        <v>144.74423940542175</v>
      </c>
      <c r="CX77" s="92">
        <f>CX50</f>
        <v>204.29457689064117</v>
      </c>
      <c r="CY77" s="91"/>
      <c r="CZ77" s="42">
        <f>IF(DA77&gt;0,((1+(DC77/DA77))^(1/($A$101-$A$100))-1)*100,0)</f>
        <v>2.7273559755584653</v>
      </c>
      <c r="DA77" s="92">
        <f>DA50</f>
        <v>205.71744740256855</v>
      </c>
      <c r="DB77" s="92">
        <f>DB50</f>
        <v>-30.344675713108767</v>
      </c>
      <c r="DC77" s="92">
        <f>DC50</f>
        <v>63.517994559926827</v>
      </c>
      <c r="DD77" s="92">
        <f>DD50</f>
        <v>33.173318846818063</v>
      </c>
      <c r="DE77" s="91"/>
      <c r="DF77" s="42">
        <f>IF(DG77&gt;0,((1+(DI77/DG77))^(1/($A$101-$A$100))-1)*100,0)</f>
        <v>2.7323553670193235</v>
      </c>
      <c r="DG77" s="92">
        <f>DG50</f>
        <v>213.95572846563186</v>
      </c>
      <c r="DH77" s="92">
        <f>DH50</f>
        <v>67.639447401849822</v>
      </c>
      <c r="DI77" s="92">
        <f>DI50</f>
        <v>66.197978077989319</v>
      </c>
      <c r="DJ77" s="92">
        <f>DJ50</f>
        <v>133.83742547983914</v>
      </c>
      <c r="DK77" s="92"/>
      <c r="DL77" s="42">
        <f>IF(DM77&gt;0,((1+(DO77/DM77))^(1/($A$101-$A$100))-1)*100,0)</f>
        <v>2.9736201868302725</v>
      </c>
      <c r="DM77" s="92">
        <f>DM50</f>
        <v>44.13868196810671</v>
      </c>
      <c r="DN77" s="92">
        <f>DN50</f>
        <v>22.25556579647839</v>
      </c>
      <c r="DO77" s="92">
        <f>DO50</f>
        <v>15.028266767505601</v>
      </c>
      <c r="DP77" s="92">
        <f>DP50</f>
        <v>37.283832563983992</v>
      </c>
    </row>
    <row r="79" spans="1:120" x14ac:dyDescent="0.3">
      <c r="A79" s="90" t="str">
        <f ca="1">CELL("filename")</f>
        <v>https://educationgovuk.sharepoint.com/sites/UnitforFutureSkills/Shared Documents/Research Projects/R007 Skills Imperative 2035 revised projections/Projections/Regional_national/Main tables/[EE_MainTables.Main.xlsm]RD T1</v>
      </c>
      <c r="Y79" s="90" t="str">
        <f ca="1">CELL("filename")</f>
        <v>https://educationgovuk.sharepoint.com/sites/UnitforFutureSkills/Shared Documents/Research Projects/R007 Skills Imperative 2035 revised projections/Projections/Regional_national/Main tables/[EE_MainTables.Main.xlsm]RD T1</v>
      </c>
      <c r="AW79" s="90" t="str">
        <f ca="1">CELL("filename")</f>
        <v>https://educationgovuk.sharepoint.com/sites/UnitforFutureSkills/Shared Documents/Research Projects/R007 Skills Imperative 2035 revised projections/Projections/Regional_national/Main tables/[EE_MainTables.Main.xlsm]RD T1</v>
      </c>
      <c r="BU79" s="90" t="str">
        <f ca="1">CELL("filename")</f>
        <v>https://educationgovuk.sharepoint.com/sites/UnitforFutureSkills/Shared Documents/Research Projects/R007 Skills Imperative 2035 revised projections/Projections/Regional_national/Main tables/[EE_MainTables.Main.xlsm]RD T1</v>
      </c>
      <c r="CS79" s="90" t="str">
        <f ca="1">CELL("filename")</f>
        <v>https://educationgovuk.sharepoint.com/sites/UnitforFutureSkills/Shared Documents/Research Projects/R007 Skills Imperative 2035 revised projections/Projections/Regional_national/Main tables/[EE_MainTables.Main.xlsm]RD T1</v>
      </c>
    </row>
    <row r="80" spans="1:120" ht="15.45" x14ac:dyDescent="0.4">
      <c r="A80" s="18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8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8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8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8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3">
      <c r="A82" s="91"/>
      <c r="B82" s="91"/>
      <c r="C82" s="91"/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  <c r="X82" s="115" t="str">
        <f>$X$3</f>
        <v>thousands</v>
      </c>
      <c r="Y82" s="91"/>
      <c r="Z82" s="91"/>
      <c r="AA82" s="91"/>
      <c r="AB82" s="91"/>
      <c r="AC82" s="91"/>
      <c r="AD82" s="91"/>
      <c r="AE82" s="91"/>
      <c r="AF82" s="91"/>
      <c r="AG82" s="91"/>
      <c r="AH82" s="91"/>
      <c r="AI82" s="91"/>
      <c r="AJ82" s="91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1"/>
      <c r="AV82" s="115" t="str">
        <f>$X$3</f>
        <v>thousands</v>
      </c>
      <c r="AW82" s="91"/>
      <c r="AX82" s="91"/>
      <c r="AY82" s="91"/>
      <c r="AZ82" s="91"/>
      <c r="BA82" s="91"/>
      <c r="BB82" s="91"/>
      <c r="BC82" s="91"/>
      <c r="BD82" s="91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115" t="str">
        <f>$X$3</f>
        <v>thousands</v>
      </c>
      <c r="BU82" s="91"/>
      <c r="BV82" s="91"/>
      <c r="BW82" s="91"/>
      <c r="BX82" s="91"/>
      <c r="BY82" s="91"/>
      <c r="BZ82" s="91"/>
      <c r="CA82" s="91"/>
      <c r="CB82" s="91"/>
      <c r="CC82" s="91"/>
      <c r="CD82" s="91"/>
      <c r="CE82" s="91"/>
      <c r="CF82" s="91"/>
      <c r="CG82" s="91"/>
      <c r="CH82" s="91"/>
      <c r="CI82" s="91"/>
      <c r="CJ82" s="91"/>
      <c r="CK82" s="91"/>
      <c r="CL82" s="91"/>
      <c r="CM82" s="91"/>
      <c r="CN82" s="91"/>
      <c r="CO82" s="91"/>
      <c r="CP82" s="91"/>
      <c r="CQ82" s="91"/>
      <c r="CR82" s="115" t="str">
        <f>$X$3</f>
        <v>thousands</v>
      </c>
      <c r="CS82" s="91"/>
      <c r="CT82" s="91"/>
      <c r="CU82" s="91"/>
      <c r="CV82" s="91"/>
      <c r="CW82" s="91"/>
      <c r="CX82" s="91"/>
      <c r="CY82" s="91"/>
      <c r="CZ82" s="91"/>
      <c r="DA82" s="91"/>
      <c r="DB82" s="91"/>
      <c r="DC82" s="91"/>
      <c r="DD82" s="91"/>
      <c r="DE82" s="91"/>
      <c r="DF82" s="91"/>
      <c r="DG82" s="91"/>
      <c r="DH82" s="91"/>
      <c r="DI82" s="91"/>
      <c r="DJ82" s="91"/>
      <c r="DK82" s="91"/>
      <c r="DL82" s="91"/>
      <c r="DM82" s="91"/>
      <c r="DN82" s="91"/>
      <c r="DO82" s="91"/>
      <c r="DP82" s="115" t="str">
        <f>$X$3</f>
        <v>thousands</v>
      </c>
    </row>
    <row r="83" spans="1:120" x14ac:dyDescent="0.3">
      <c r="B83" s="383" t="str">
        <f>B4</f>
        <v>All qualifications</v>
      </c>
      <c r="C83" s="383"/>
      <c r="D83" s="383"/>
      <c r="E83" s="383"/>
      <c r="F83" s="383"/>
      <c r="G83" s="113"/>
      <c r="H83" s="383" t="str">
        <f>H4</f>
        <v>RQF8 Doctorate</v>
      </c>
      <c r="I83" s="383"/>
      <c r="J83" s="383"/>
      <c r="K83" s="383"/>
      <c r="L83" s="383"/>
      <c r="M83" s="113"/>
      <c r="N83" s="382" t="str">
        <f>N4</f>
        <v>RQF7 Other higher degree</v>
      </c>
      <c r="O83" s="382"/>
      <c r="P83" s="382"/>
      <c r="Q83" s="382"/>
      <c r="R83" s="382"/>
      <c r="S83" s="110"/>
      <c r="T83" s="382" t="str">
        <f>T4</f>
        <v>RQF6 First degree</v>
      </c>
      <c r="U83" s="382"/>
      <c r="V83" s="382"/>
      <c r="W83" s="382"/>
      <c r="X83" s="382"/>
      <c r="Z83" s="383" t="str">
        <f>Z4</f>
        <v>All qualifications</v>
      </c>
      <c r="AA83" s="383"/>
      <c r="AB83" s="383"/>
      <c r="AC83" s="383"/>
      <c r="AD83" s="383"/>
      <c r="AE83" s="113"/>
      <c r="AF83" s="383" t="str">
        <f>AF4</f>
        <v>RQF8 Doctorate</v>
      </c>
      <c r="AG83" s="383"/>
      <c r="AH83" s="383"/>
      <c r="AI83" s="383"/>
      <c r="AJ83" s="383"/>
      <c r="AK83" s="113"/>
      <c r="AL83" s="382" t="str">
        <f>AL4</f>
        <v>RQF7 Other higher degree</v>
      </c>
      <c r="AM83" s="382"/>
      <c r="AN83" s="382"/>
      <c r="AO83" s="382"/>
      <c r="AP83" s="382"/>
      <c r="AQ83" s="110"/>
      <c r="AR83" s="382" t="str">
        <f>AR4</f>
        <v>RQF6 First degree</v>
      </c>
      <c r="AS83" s="382"/>
      <c r="AT83" s="382"/>
      <c r="AU83" s="382"/>
      <c r="AV83" s="382"/>
      <c r="AX83" s="383" t="str">
        <f>AX4</f>
        <v>All qualifications</v>
      </c>
      <c r="AY83" s="383"/>
      <c r="AZ83" s="383"/>
      <c r="BA83" s="383"/>
      <c r="BB83" s="383"/>
      <c r="BC83" s="113"/>
      <c r="BD83" s="383" t="str">
        <f>BD4</f>
        <v>RQF8 Doctorate</v>
      </c>
      <c r="BE83" s="383"/>
      <c r="BF83" s="383"/>
      <c r="BG83" s="383"/>
      <c r="BH83" s="383"/>
      <c r="BI83" s="113"/>
      <c r="BJ83" s="382" t="str">
        <f>BJ4</f>
        <v>RQF7 Other higher degree</v>
      </c>
      <c r="BK83" s="382"/>
      <c r="BL83" s="382"/>
      <c r="BM83" s="382"/>
      <c r="BN83" s="382"/>
      <c r="BO83" s="110"/>
      <c r="BP83" s="382" t="str">
        <f>BP4</f>
        <v>RQF6 First degree</v>
      </c>
      <c r="BQ83" s="382"/>
      <c r="BR83" s="382"/>
      <c r="BS83" s="382"/>
      <c r="BT83" s="382"/>
      <c r="BV83" s="383" t="str">
        <f>BV4</f>
        <v>All qualifications</v>
      </c>
      <c r="BW83" s="383"/>
      <c r="BX83" s="383"/>
      <c r="BY83" s="383"/>
      <c r="BZ83" s="383"/>
      <c r="CA83" s="113"/>
      <c r="CB83" s="383" t="str">
        <f>CB4</f>
        <v>RQF8 Doctorate</v>
      </c>
      <c r="CC83" s="383"/>
      <c r="CD83" s="383"/>
      <c r="CE83" s="383"/>
      <c r="CF83" s="383"/>
      <c r="CG83" s="113"/>
      <c r="CH83" s="382" t="str">
        <f>CH4</f>
        <v>RQF7 Other higher degree</v>
      </c>
      <c r="CI83" s="382"/>
      <c r="CJ83" s="382"/>
      <c r="CK83" s="382"/>
      <c r="CL83" s="382"/>
      <c r="CM83" s="110"/>
      <c r="CN83" s="382" t="str">
        <f>CN4</f>
        <v>RQF6 First degree</v>
      </c>
      <c r="CO83" s="382"/>
      <c r="CP83" s="382"/>
      <c r="CQ83" s="382"/>
      <c r="CR83" s="382"/>
      <c r="CT83" s="383" t="str">
        <f>CT4</f>
        <v>All qualifications</v>
      </c>
      <c r="CU83" s="383"/>
      <c r="CV83" s="383"/>
      <c r="CW83" s="383"/>
      <c r="CX83" s="383"/>
      <c r="CY83" s="113"/>
      <c r="CZ83" s="383" t="str">
        <f>CZ4</f>
        <v>RQF8 Doctorate</v>
      </c>
      <c r="DA83" s="383"/>
      <c r="DB83" s="383"/>
      <c r="DC83" s="383"/>
      <c r="DD83" s="383"/>
      <c r="DE83" s="113"/>
      <c r="DF83" s="382" t="str">
        <f>DF4</f>
        <v>RQF7 Other higher degree</v>
      </c>
      <c r="DG83" s="382"/>
      <c r="DH83" s="382"/>
      <c r="DI83" s="382"/>
      <c r="DJ83" s="382"/>
      <c r="DK83" s="110"/>
      <c r="DL83" s="382" t="str">
        <f>DL4</f>
        <v>RQF6 First degree</v>
      </c>
      <c r="DM83" s="382"/>
      <c r="DN83" s="382"/>
      <c r="DO83" s="382"/>
      <c r="DP83" s="382"/>
    </row>
    <row r="85" spans="1:120" ht="37.299999999999997" x14ac:dyDescent="0.3">
      <c r="A85" s="112"/>
      <c r="B85" s="109" t="str">
        <f>B6</f>
        <v>RD p.a%</v>
      </c>
      <c r="C85" s="109" t="str">
        <f>C6</f>
        <v>2015 Level</v>
      </c>
      <c r="D85" s="109" t="str">
        <f>D6</f>
        <v>Net Change</v>
      </c>
      <c r="E85" s="109" t="str">
        <f>E6</f>
        <v>Replace-ment Demand</v>
      </c>
      <c r="F85" s="109" t="str">
        <f>F6</f>
        <v>Total Require-ment</v>
      </c>
      <c r="G85" s="108"/>
      <c r="H85" s="104" t="str">
        <f>B85</f>
        <v>RD p.a%</v>
      </c>
      <c r="I85" s="104" t="str">
        <f>C85</f>
        <v>2015 Level</v>
      </c>
      <c r="J85" s="104" t="str">
        <f>D85</f>
        <v>Net Change</v>
      </c>
      <c r="K85" s="104" t="str">
        <f>E85</f>
        <v>Replace-ment Demand</v>
      </c>
      <c r="L85" s="104" t="str">
        <f>F85</f>
        <v>Total Require-ment</v>
      </c>
      <c r="M85" s="103"/>
      <c r="N85" s="105" t="str">
        <f>H85</f>
        <v>RD p.a%</v>
      </c>
      <c r="O85" s="105" t="str">
        <f>I85</f>
        <v>2015 Level</v>
      </c>
      <c r="P85" s="105" t="str">
        <f>J85</f>
        <v>Net Change</v>
      </c>
      <c r="Q85" s="105" t="str">
        <f>K85</f>
        <v>Replace-ment Demand</v>
      </c>
      <c r="R85" s="105" t="str">
        <f>L85</f>
        <v>Total Require-ment</v>
      </c>
      <c r="S85" s="103"/>
      <c r="T85" s="105" t="str">
        <f>N85</f>
        <v>RD p.a%</v>
      </c>
      <c r="U85" s="105" t="str">
        <f>O85</f>
        <v>2015 Level</v>
      </c>
      <c r="V85" s="105" t="str">
        <f>P85</f>
        <v>Net Change</v>
      </c>
      <c r="W85" s="105" t="str">
        <f>Q85</f>
        <v>Replace-ment Demand</v>
      </c>
      <c r="X85" s="105" t="str">
        <f>R85</f>
        <v>Total Require-ment</v>
      </c>
      <c r="Y85" s="112"/>
      <c r="Z85" s="109" t="str">
        <f>Z6</f>
        <v>RD p.a%</v>
      </c>
      <c r="AA85" s="109" t="str">
        <f>AA6</f>
        <v>2015 Level</v>
      </c>
      <c r="AB85" s="109" t="str">
        <f>AB6</f>
        <v>Net Change</v>
      </c>
      <c r="AC85" s="109" t="str">
        <f>AC6</f>
        <v>Replace-ment Demand</v>
      </c>
      <c r="AD85" s="109" t="str">
        <f>AD6</f>
        <v>Total Require-ment</v>
      </c>
      <c r="AE85" s="108"/>
      <c r="AF85" s="104" t="str">
        <f>Z85</f>
        <v>RD p.a%</v>
      </c>
      <c r="AG85" s="104" t="str">
        <f>AA85</f>
        <v>2015 Level</v>
      </c>
      <c r="AH85" s="104" t="str">
        <f>AB85</f>
        <v>Net Change</v>
      </c>
      <c r="AI85" s="104" t="str">
        <f>AC85</f>
        <v>Replace-ment Demand</v>
      </c>
      <c r="AJ85" s="104" t="str">
        <f>AD85</f>
        <v>Total Require-ment</v>
      </c>
      <c r="AK85" s="103"/>
      <c r="AL85" s="105" t="str">
        <f>AF85</f>
        <v>RD p.a%</v>
      </c>
      <c r="AM85" s="105" t="str">
        <f>AG85</f>
        <v>2015 Level</v>
      </c>
      <c r="AN85" s="105" t="str">
        <f>AH85</f>
        <v>Net Change</v>
      </c>
      <c r="AO85" s="105" t="str">
        <f>AI85</f>
        <v>Replace-ment Demand</v>
      </c>
      <c r="AP85" s="105" t="str">
        <f>AJ85</f>
        <v>Total Require-ment</v>
      </c>
      <c r="AQ85" s="103"/>
      <c r="AR85" s="105" t="str">
        <f>AL85</f>
        <v>RD p.a%</v>
      </c>
      <c r="AS85" s="105" t="str">
        <f>AM85</f>
        <v>2015 Level</v>
      </c>
      <c r="AT85" s="105" t="str">
        <f>AN85</f>
        <v>Net Change</v>
      </c>
      <c r="AU85" s="105" t="str">
        <f>AO85</f>
        <v>Replace-ment Demand</v>
      </c>
      <c r="AV85" s="105" t="str">
        <f>AP85</f>
        <v>Total Require-ment</v>
      </c>
      <c r="AW85" s="112"/>
      <c r="AX85" s="109" t="str">
        <f>AX6</f>
        <v>RD p.a%</v>
      </c>
      <c r="AY85" s="109" t="str">
        <f>AY6</f>
        <v>2015 Level</v>
      </c>
      <c r="AZ85" s="109" t="str">
        <f>AZ6</f>
        <v>Net Change</v>
      </c>
      <c r="BA85" s="109" t="str">
        <f>BA6</f>
        <v>Replace-ment Demand</v>
      </c>
      <c r="BB85" s="109" t="str">
        <f>BB6</f>
        <v>Total Require-ment</v>
      </c>
      <c r="BC85" s="108"/>
      <c r="BD85" s="104" t="str">
        <f>AX85</f>
        <v>RD p.a%</v>
      </c>
      <c r="BE85" s="104" t="str">
        <f>AY85</f>
        <v>2015 Level</v>
      </c>
      <c r="BF85" s="104" t="str">
        <f>AZ85</f>
        <v>Net Change</v>
      </c>
      <c r="BG85" s="104" t="str">
        <f>BA85</f>
        <v>Replace-ment Demand</v>
      </c>
      <c r="BH85" s="104" t="str">
        <f>BB85</f>
        <v>Total Require-ment</v>
      </c>
      <c r="BI85" s="103"/>
      <c r="BJ85" s="105" t="str">
        <f>BD85</f>
        <v>RD p.a%</v>
      </c>
      <c r="BK85" s="105" t="str">
        <f>BE85</f>
        <v>2015 Level</v>
      </c>
      <c r="BL85" s="105" t="str">
        <f>BF85</f>
        <v>Net Change</v>
      </c>
      <c r="BM85" s="105" t="str">
        <f>BG85</f>
        <v>Replace-ment Demand</v>
      </c>
      <c r="BN85" s="105" t="str">
        <f>BH85</f>
        <v>Total Require-ment</v>
      </c>
      <c r="BO85" s="103"/>
      <c r="BP85" s="105" t="str">
        <f>BJ85</f>
        <v>RD p.a%</v>
      </c>
      <c r="BQ85" s="105" t="str">
        <f>BK85</f>
        <v>2015 Level</v>
      </c>
      <c r="BR85" s="105" t="str">
        <f>BL85</f>
        <v>Net Change</v>
      </c>
      <c r="BS85" s="105" t="str">
        <f>BM85</f>
        <v>Replace-ment Demand</v>
      </c>
      <c r="BT85" s="105" t="str">
        <f>BN85</f>
        <v>Total Require-ment</v>
      </c>
      <c r="BU85" s="112"/>
      <c r="BV85" s="109" t="str">
        <f>BV6</f>
        <v>RD p.a%</v>
      </c>
      <c r="BW85" s="109" t="str">
        <f>BW6</f>
        <v>2015 Level</v>
      </c>
      <c r="BX85" s="109" t="str">
        <f>BX6</f>
        <v>Net Change</v>
      </c>
      <c r="BY85" s="109" t="str">
        <f>BY6</f>
        <v>Replace-ment Demand</v>
      </c>
      <c r="BZ85" s="109" t="str">
        <f>BZ6</f>
        <v>Total Require-ment</v>
      </c>
      <c r="CA85" s="108"/>
      <c r="CB85" s="104" t="str">
        <f>BV85</f>
        <v>RD p.a%</v>
      </c>
      <c r="CC85" s="104" t="str">
        <f>BW85</f>
        <v>2015 Level</v>
      </c>
      <c r="CD85" s="104" t="str">
        <f>BX85</f>
        <v>Net Change</v>
      </c>
      <c r="CE85" s="104" t="str">
        <f>BY85</f>
        <v>Replace-ment Demand</v>
      </c>
      <c r="CF85" s="104" t="str">
        <f>BZ85</f>
        <v>Total Require-ment</v>
      </c>
      <c r="CG85" s="103"/>
      <c r="CH85" s="105" t="str">
        <f>CB85</f>
        <v>RD p.a%</v>
      </c>
      <c r="CI85" s="105" t="str">
        <f>CC85</f>
        <v>2015 Level</v>
      </c>
      <c r="CJ85" s="105" t="str">
        <f>CD85</f>
        <v>Net Change</v>
      </c>
      <c r="CK85" s="105" t="str">
        <f>CE85</f>
        <v>Replace-ment Demand</v>
      </c>
      <c r="CL85" s="105" t="str">
        <f>CF85</f>
        <v>Total Require-ment</v>
      </c>
      <c r="CM85" s="103"/>
      <c r="CN85" s="105" t="str">
        <f>CH85</f>
        <v>RD p.a%</v>
      </c>
      <c r="CO85" s="105" t="str">
        <f>CI85</f>
        <v>2015 Level</v>
      </c>
      <c r="CP85" s="105" t="str">
        <f>CJ85</f>
        <v>Net Change</v>
      </c>
      <c r="CQ85" s="105" t="str">
        <f>CK85</f>
        <v>Replace-ment Demand</v>
      </c>
      <c r="CR85" s="105" t="str">
        <f>CL85</f>
        <v>Total Require-ment</v>
      </c>
      <c r="CS85" s="112"/>
      <c r="CT85" s="109" t="str">
        <f>CT6</f>
        <v>RD p.a%</v>
      </c>
      <c r="CU85" s="109" t="str">
        <f>CU6</f>
        <v>2015 Level</v>
      </c>
      <c r="CV85" s="109" t="str">
        <f>CV6</f>
        <v>Net Change</v>
      </c>
      <c r="CW85" s="109" t="str">
        <f>CW6</f>
        <v>Replace-ment Demand</v>
      </c>
      <c r="CX85" s="109" t="str">
        <f>CX6</f>
        <v>Total Require-ment</v>
      </c>
      <c r="CY85" s="108"/>
      <c r="CZ85" s="104" t="str">
        <f>CT85</f>
        <v>RD p.a%</v>
      </c>
      <c r="DA85" s="104" t="str">
        <f>CU85</f>
        <v>2015 Level</v>
      </c>
      <c r="DB85" s="104" t="str">
        <f>CV85</f>
        <v>Net Change</v>
      </c>
      <c r="DC85" s="104" t="str">
        <f>CW85</f>
        <v>Replace-ment Demand</v>
      </c>
      <c r="DD85" s="104" t="str">
        <f>CX85</f>
        <v>Total Require-ment</v>
      </c>
      <c r="DE85" s="103"/>
      <c r="DF85" s="105" t="str">
        <f>CZ85</f>
        <v>RD p.a%</v>
      </c>
      <c r="DG85" s="105" t="str">
        <f>DA85</f>
        <v>2015 Level</v>
      </c>
      <c r="DH85" s="105" t="str">
        <f>DB85</f>
        <v>Net Change</v>
      </c>
      <c r="DI85" s="105" t="str">
        <f>DC85</f>
        <v>Replace-ment Demand</v>
      </c>
      <c r="DJ85" s="105" t="str">
        <f>DD85</f>
        <v>Total Require-ment</v>
      </c>
      <c r="DK85" s="103"/>
      <c r="DL85" s="105" t="str">
        <f>DF85</f>
        <v>RD p.a%</v>
      </c>
      <c r="DM85" s="105" t="str">
        <f>DG85</f>
        <v>2015 Level</v>
      </c>
      <c r="DN85" s="105" t="str">
        <f>DH85</f>
        <v>Net Change</v>
      </c>
      <c r="DO85" s="105" t="str">
        <f>DI85</f>
        <v>Replace-ment Demand</v>
      </c>
      <c r="DP85" s="105" t="str">
        <f>DJ85</f>
        <v>Total Require-ment</v>
      </c>
    </row>
    <row r="87" spans="1:120" x14ac:dyDescent="0.3">
      <c r="A87" s="90" t="str">
        <f>name!C4</f>
        <v>Primary sector and utilities</v>
      </c>
      <c r="B87" s="39" t="e">
        <f t="shared" ref="B87:B94" si="68">IF(C87&gt;0,((1+(E87/C87))^(1/($A$101-$A$100))-1)*100,0)</f>
        <v>#REF!</v>
      </c>
      <c r="C87" s="93" t="e">
        <f t="array" ref="C87:C92">MMULT(aggregation!#REF!,BasicTable5!C8:C48)</f>
        <v>#REF!</v>
      </c>
      <c r="D87" s="93" t="e">
        <f t="array" ref="D87:D92">MMULT(aggregation!#REF!,BasicTable5!D8:D48)</f>
        <v>#REF!</v>
      </c>
      <c r="E87" s="93" t="e">
        <f t="array" ref="E87:E92">MMULT(aggregation!#REF!,BasicTable5!E8:E48)</f>
        <v>#REF!</v>
      </c>
      <c r="F87" s="93" t="e">
        <f t="array" ref="F87:F92">MMULT(aggregation!#REF!,BasicTable5!F8:F48)</f>
        <v>#REF!</v>
      </c>
      <c r="H87" s="39" t="e">
        <f t="shared" ref="H87:H94" si="69">IF(I87&gt;0,((1+(K87/I87))^(1/($A$101-$A$100))-1)*100,0)</f>
        <v>#REF!</v>
      </c>
      <c r="I87" s="93" t="e">
        <f t="array" ref="I87:I92">MMULT(aggregation!#REF!,BasicTable5!I8:I48)</f>
        <v>#REF!</v>
      </c>
      <c r="J87" s="93" t="e">
        <f t="array" ref="J87:J92">MMULT(aggregation!#REF!,BasicTable5!J8:J48)</f>
        <v>#REF!</v>
      </c>
      <c r="K87" s="93" t="e">
        <f t="array" ref="K87:K92">MMULT(aggregation!#REF!,BasicTable5!K8:K48)</f>
        <v>#REF!</v>
      </c>
      <c r="L87" s="93" t="e">
        <f t="array" ref="L87:L92">MMULT(aggregation!#REF!,BasicTable5!L8:L48)</f>
        <v>#REF!</v>
      </c>
      <c r="N87" s="39" t="e">
        <f t="shared" ref="N87:N94" si="70">IF(O87&gt;0,((1+(Q87/O87))^(1/($A$101-$A$100))-1)*100,0)</f>
        <v>#REF!</v>
      </c>
      <c r="O87" s="93" t="e">
        <f t="array" ref="O87:O92">MMULT(aggregation!#REF!,BasicTable5!O8:O48)</f>
        <v>#REF!</v>
      </c>
      <c r="P87" s="93" t="e">
        <f t="array" ref="P87:P92">MMULT(aggregation!#REF!,BasicTable5!P8:P48)</f>
        <v>#REF!</v>
      </c>
      <c r="Q87" s="93" t="e">
        <f t="array" ref="Q87:Q92">MMULT(aggregation!#REF!,BasicTable5!Q8:Q48)</f>
        <v>#REF!</v>
      </c>
      <c r="R87" s="93" t="e">
        <f t="array" ref="R87:R92">MMULT(aggregation!#REF!,BasicTable5!R8:R48)</f>
        <v>#REF!</v>
      </c>
      <c r="S87" s="93"/>
      <c r="T87" s="39" t="e">
        <f t="shared" ref="T87:T94" si="71">IF(U87&gt;0,((1+(W87/U87))^(1/($A$101-$A$100))-1)*100,0)</f>
        <v>#REF!</v>
      </c>
      <c r="U87" s="93" t="e">
        <f t="array" ref="U87:U92">MMULT(aggregation!#REF!,BasicTable5!U8:U48)</f>
        <v>#REF!</v>
      </c>
      <c r="V87" s="93" t="e">
        <f t="array" ref="V87:V92">MMULT(aggregation!#REF!,BasicTable5!V8:V48)</f>
        <v>#REF!</v>
      </c>
      <c r="W87" s="93" t="e">
        <f t="array" ref="W87:W92">MMULT(aggregation!#REF!,BasicTable5!W8:W48)</f>
        <v>#REF!</v>
      </c>
      <c r="X87" s="93" t="e">
        <f t="array" ref="X87:X92">MMULT(aggregation!#REF!,BasicTable5!X8:X48)</f>
        <v>#REF!</v>
      </c>
      <c r="Y87" s="90" t="str">
        <f t="shared" ref="Y87:Y92" si="72">A87</f>
        <v>Primary sector and utilities</v>
      </c>
      <c r="Z87" s="39" t="e">
        <f t="shared" ref="Z87:Z92" si="73">IF(AA87&gt;0,((1+(AC87/AA87))^(1/($A$101-$A$100))-1)*100,0)</f>
        <v>#REF!</v>
      </c>
      <c r="AA87" s="93" t="e">
        <f t="array" ref="AA87:AA92">MMULT(aggregation!#REF!,BasicTable5!AA8:AA48)</f>
        <v>#REF!</v>
      </c>
      <c r="AB87" s="93" t="e">
        <f t="array" ref="AB87:AB92">MMULT(aggregation!#REF!,BasicTable5!AB8:AB48)</f>
        <v>#REF!</v>
      </c>
      <c r="AC87" s="93" t="e">
        <f t="array" ref="AC87:AC92">MMULT(aggregation!#REF!,BasicTable5!AC8:AC48)</f>
        <v>#REF!</v>
      </c>
      <c r="AD87" s="93" t="e">
        <f t="array" ref="AD87:AD92">MMULT(aggregation!#REF!,BasicTable5!AD8:AD48)</f>
        <v>#REF!</v>
      </c>
      <c r="AF87" s="39" t="e">
        <f t="shared" ref="AF87:AF92" si="74">IF(AG87&gt;0,((1+(AI87/AG87))^(1/($A$101-$A$100))-1)*100,0)</f>
        <v>#REF!</v>
      </c>
      <c r="AG87" s="93" t="e">
        <f t="array" ref="AG87:AG92">MMULT(aggregation!#REF!,BasicTable5!AG8:AG48)</f>
        <v>#REF!</v>
      </c>
      <c r="AH87" s="93" t="e">
        <f t="array" ref="AH87:AH92">MMULT(aggregation!#REF!,BasicTable5!AH8:AH48)</f>
        <v>#REF!</v>
      </c>
      <c r="AI87" s="93" t="e">
        <f t="array" ref="AI87:AI92">MMULT(aggregation!#REF!,BasicTable5!AI8:AI48)</f>
        <v>#REF!</v>
      </c>
      <c r="AJ87" s="93" t="e">
        <f t="array" ref="AJ87:AJ92">MMULT(aggregation!#REF!,BasicTable5!AJ8:AJ48)</f>
        <v>#REF!</v>
      </c>
      <c r="AL87" s="39" t="e">
        <f t="shared" ref="AL87:AL92" si="75">IF(AM87&gt;0,((1+(AO87/AM87))^(1/($A$101-$A$100))-1)*100,0)</f>
        <v>#REF!</v>
      </c>
      <c r="AM87" s="93" t="e">
        <f t="array" ref="AM87:AM92">MMULT(aggregation!#REF!,BasicTable5!AM8:AM48)</f>
        <v>#REF!</v>
      </c>
      <c r="AN87" s="93" t="e">
        <f t="array" ref="AN87:AN92">MMULT(aggregation!#REF!,BasicTable5!AN8:AN48)</f>
        <v>#REF!</v>
      </c>
      <c r="AO87" s="93" t="e">
        <f t="array" ref="AO87:AO92">MMULT(aggregation!#REF!,BasicTable5!AO8:AO48)</f>
        <v>#REF!</v>
      </c>
      <c r="AP87" s="93" t="e">
        <f t="array" ref="AP87:AP92">MMULT(aggregation!#REF!,BasicTable5!AP8:AP48)</f>
        <v>#REF!</v>
      </c>
      <c r="AQ87" s="93"/>
      <c r="AR87" s="39" t="e">
        <f t="shared" ref="AR87:AR92" si="76">IF(AS87&gt;0,((1+(AU87/AS87))^(1/($A$101-$A$100))-1)*100,0)</f>
        <v>#REF!</v>
      </c>
      <c r="AS87" s="93" t="e">
        <f t="array" ref="AS87:AS92">MMULT(aggregation!#REF!,BasicTable5!AS8:AS48)</f>
        <v>#REF!</v>
      </c>
      <c r="AT87" s="93" t="e">
        <f t="array" ref="AT87:AT92">MMULT(aggregation!#REF!,BasicTable5!AT8:AT48)</f>
        <v>#REF!</v>
      </c>
      <c r="AU87" s="93" t="e">
        <f t="array" ref="AU87:AU92">MMULT(aggregation!#REF!,BasicTable5!AU8:AU48)</f>
        <v>#REF!</v>
      </c>
      <c r="AV87" s="93" t="e">
        <f t="array" ref="AV87:AV92">MMULT(aggregation!#REF!,BasicTable5!AV8:AV48)</f>
        <v>#REF!</v>
      </c>
      <c r="AW87" s="90" t="str">
        <f t="shared" ref="AW87:AW92" si="77">Y87</f>
        <v>Primary sector and utilities</v>
      </c>
      <c r="AX87" s="39" t="e">
        <f t="shared" ref="AX87:AX92" si="78">IF(AY87&gt;0,((1+(BA87/AY87))^(1/($A$101-$A$100))-1)*100,0)</f>
        <v>#REF!</v>
      </c>
      <c r="AY87" s="93" t="e">
        <f t="array" ref="AY87:AY92">MMULT(aggregation!#REF!,BasicTable5!AY8:AY48)</f>
        <v>#REF!</v>
      </c>
      <c r="AZ87" s="93" t="e">
        <f t="array" ref="AZ87:AZ92">MMULT(aggregation!#REF!,BasicTable5!AZ8:AZ48)</f>
        <v>#REF!</v>
      </c>
      <c r="BA87" s="93" t="e">
        <f t="array" ref="BA87:BA92">MMULT(aggregation!#REF!,BasicTable5!BA8:BA48)</f>
        <v>#REF!</v>
      </c>
      <c r="BB87" s="93" t="e">
        <f t="array" ref="BB87:BB92">MMULT(aggregation!#REF!,BasicTable5!BB8:BB48)</f>
        <v>#REF!</v>
      </c>
      <c r="BD87" s="39" t="e">
        <f t="shared" ref="BD87:BD92" si="79">IF(BE87&gt;0,((1+(BG87/BE87))^(1/($A$101-$A$100))-1)*100,0)</f>
        <v>#REF!</v>
      </c>
      <c r="BE87" s="93" t="e">
        <f t="array" ref="BE87:BE92">MMULT(aggregation!#REF!,BasicTable5!BE8:BE48)</f>
        <v>#REF!</v>
      </c>
      <c r="BF87" s="93" t="e">
        <f t="array" ref="BF87:BF92">MMULT(aggregation!#REF!,BasicTable5!BF8:BF48)</f>
        <v>#REF!</v>
      </c>
      <c r="BG87" s="93" t="e">
        <f t="array" ref="BG87:BG92">MMULT(aggregation!#REF!,BasicTable5!BG8:BG48)</f>
        <v>#REF!</v>
      </c>
      <c r="BH87" s="93" t="e">
        <f t="array" ref="BH87:BH92">MMULT(aggregation!#REF!,BasicTable5!BH8:BH48)</f>
        <v>#REF!</v>
      </c>
      <c r="BJ87" s="39" t="e">
        <f t="shared" ref="BJ87:BJ92" si="80">IF(BK87&gt;0,((1+(BM87/BK87))^(1/($A$101-$A$100))-1)*100,0)</f>
        <v>#REF!</v>
      </c>
      <c r="BK87" s="93" t="e">
        <f t="array" ref="BK87:BK92">MMULT(aggregation!#REF!,BasicTable5!BK8:BK48)</f>
        <v>#REF!</v>
      </c>
      <c r="BL87" s="93" t="e">
        <f t="array" ref="BL87:BL92">MMULT(aggregation!#REF!,BasicTable5!BL8:BL48)</f>
        <v>#REF!</v>
      </c>
      <c r="BM87" s="93" t="e">
        <f t="array" ref="BM87:BM92">MMULT(aggregation!#REF!,BasicTable5!BM8:BM48)</f>
        <v>#REF!</v>
      </c>
      <c r="BN87" s="93" t="e">
        <f t="array" ref="BN87:BN92">MMULT(aggregation!#REF!,BasicTable5!BN8:BN48)</f>
        <v>#REF!</v>
      </c>
      <c r="BO87" s="93"/>
      <c r="BP87" s="39" t="e">
        <f t="shared" ref="BP87:BP92" si="81">IF(BQ87&gt;0,((1+(BS87/BQ87))^(1/($A$101-$A$100))-1)*100,0)</f>
        <v>#REF!</v>
      </c>
      <c r="BQ87" s="93" t="e">
        <f t="array" ref="BQ87:BQ92">MMULT(aggregation!#REF!,BasicTable5!BQ8:BQ48)</f>
        <v>#REF!</v>
      </c>
      <c r="BR87" s="93" t="e">
        <f t="array" ref="BR87:BR92">MMULT(aggregation!#REF!,BasicTable5!BR8:BR48)</f>
        <v>#REF!</v>
      </c>
      <c r="BS87" s="93" t="e">
        <f t="array" ref="BS87:BS92">MMULT(aggregation!#REF!,BasicTable5!BS8:BS48)</f>
        <v>#REF!</v>
      </c>
      <c r="BT87" s="93" t="e">
        <f t="array" ref="BT87:BT92">MMULT(aggregation!#REF!,BasicTable5!BT8:BT48)</f>
        <v>#REF!</v>
      </c>
      <c r="BU87" s="90" t="str">
        <f t="shared" ref="BU87:BU92" si="82">AW87</f>
        <v>Primary sector and utilities</v>
      </c>
      <c r="BV87" s="39" t="e">
        <f t="shared" ref="BV87:BV92" si="83">IF(BW87&gt;0,((1+(BY87/BW87))^(1/($A$101-$A$100))-1)*100,0)</f>
        <v>#REF!</v>
      </c>
      <c r="BW87" s="93" t="e">
        <f t="array" ref="BW87:BW92">MMULT(aggregation!#REF!,BasicTable5!BW8:BW48)</f>
        <v>#REF!</v>
      </c>
      <c r="BX87" s="93" t="e">
        <f t="array" ref="BX87:BX92">MMULT(aggregation!#REF!,BasicTable5!BX8:BX48)</f>
        <v>#REF!</v>
      </c>
      <c r="BY87" s="93" t="e">
        <f t="array" ref="BY87:BY92">MMULT(aggregation!#REF!,BasicTable5!BY8:BY48)</f>
        <v>#REF!</v>
      </c>
      <c r="BZ87" s="93" t="e">
        <f t="array" ref="BZ87:BZ92">MMULT(aggregation!#REF!,BasicTable5!BZ8:BZ48)</f>
        <v>#REF!</v>
      </c>
      <c r="CB87" s="39" t="e">
        <f t="shared" ref="CB87:CB92" si="84">IF(CC87&gt;0,((1+(CE87/CC87))^(1/($A$101-$A$100))-1)*100,0)</f>
        <v>#REF!</v>
      </c>
      <c r="CC87" s="93" t="e">
        <f t="array" ref="CC87:CC92">MMULT(aggregation!#REF!,BasicTable5!CC8:CC48)</f>
        <v>#REF!</v>
      </c>
      <c r="CD87" s="93" t="e">
        <f t="array" ref="CD87:CD92">MMULT(aggregation!#REF!,BasicTable5!CD8:CD48)</f>
        <v>#REF!</v>
      </c>
      <c r="CE87" s="93" t="e">
        <f t="array" ref="CE87:CE92">MMULT(aggregation!#REF!,BasicTable5!CE8:CE48)</f>
        <v>#REF!</v>
      </c>
      <c r="CF87" s="93" t="e">
        <f t="array" ref="CF87:CF92">MMULT(aggregation!#REF!,BasicTable5!CF8:CF48)</f>
        <v>#REF!</v>
      </c>
      <c r="CH87" s="39" t="e">
        <f t="shared" ref="CH87:CH92" si="85">IF(CI87&gt;0,((1+(CK87/CI87))^(1/($A$101-$A$100))-1)*100,0)</f>
        <v>#REF!</v>
      </c>
      <c r="CI87" s="93" t="e">
        <f t="array" ref="CI87:CI92">MMULT(aggregation!#REF!,BasicTable5!CI8:CI48)</f>
        <v>#REF!</v>
      </c>
      <c r="CJ87" s="93" t="e">
        <f t="array" ref="CJ87:CJ92">MMULT(aggregation!#REF!,BasicTable5!CJ8:CJ48)</f>
        <v>#REF!</v>
      </c>
      <c r="CK87" s="93" t="e">
        <f t="array" ref="CK87:CK92">MMULT(aggregation!#REF!,BasicTable5!CK8:CK48)</f>
        <v>#REF!</v>
      </c>
      <c r="CL87" s="93" t="e">
        <f t="array" ref="CL87:CL92">MMULT(aggregation!#REF!,BasicTable5!CL8:CL48)</f>
        <v>#REF!</v>
      </c>
      <c r="CM87" s="93"/>
      <c r="CN87" s="39" t="e">
        <f t="shared" ref="CN87:CN92" si="86">IF(CO87&gt;0,((1+(CQ87/CO87))^(1/($A$101-$A$100))-1)*100,0)</f>
        <v>#REF!</v>
      </c>
      <c r="CO87" s="93" t="e">
        <f t="array" ref="CO87:CO92">MMULT(aggregation!#REF!,BasicTable5!CO8:CO48)</f>
        <v>#REF!</v>
      </c>
      <c r="CP87" s="93" t="e">
        <f t="array" ref="CP87:CP92">MMULT(aggregation!#REF!,BasicTable5!CP8:CP48)</f>
        <v>#REF!</v>
      </c>
      <c r="CQ87" s="93" t="e">
        <f t="array" ref="CQ87:CQ92">MMULT(aggregation!#REF!,BasicTable5!CQ8:CQ48)</f>
        <v>#REF!</v>
      </c>
      <c r="CR87" s="93" t="e">
        <f t="array" ref="CR87:CR92">MMULT(aggregation!#REF!,BasicTable5!CR8:CR48)</f>
        <v>#REF!</v>
      </c>
      <c r="CS87" s="90" t="str">
        <f t="shared" ref="CS87:CS92" si="87">BU87</f>
        <v>Primary sector and utilities</v>
      </c>
      <c r="CT87" s="39" t="e">
        <f t="shared" ref="CT87:CT92" si="88">IF(CU87&gt;0,((1+(CW87/CU87))^(1/($A$101-$A$100))-1)*100,0)</f>
        <v>#REF!</v>
      </c>
      <c r="CU87" s="93" t="e">
        <f t="array" ref="CU87:CU92">MMULT(aggregation!#REF!,BasicTable5!CU8:CU48)</f>
        <v>#REF!</v>
      </c>
      <c r="CV87" s="93" t="e">
        <f t="array" ref="CV87:CV92">MMULT(aggregation!#REF!,BasicTable5!CV8:CV48)</f>
        <v>#REF!</v>
      </c>
      <c r="CW87" s="93" t="e">
        <f t="array" ref="CW87:CW92">MMULT(aggregation!#REF!,BasicTable5!CW8:CW48)</f>
        <v>#REF!</v>
      </c>
      <c r="CX87" s="93" t="e">
        <f t="array" ref="CX87:CX92">MMULT(aggregation!#REF!,BasicTable5!CX8:CX48)</f>
        <v>#REF!</v>
      </c>
      <c r="CZ87" s="39" t="e">
        <f t="shared" ref="CZ87:CZ92" si="89">IF(DA87&gt;0,((1+(DC87/DA87))^(1/($A$101-$A$100))-1)*100,0)</f>
        <v>#REF!</v>
      </c>
      <c r="DA87" s="93" t="e">
        <f t="array" ref="DA87:DA92">MMULT(aggregation!#REF!,BasicTable5!DA8:DA48)</f>
        <v>#REF!</v>
      </c>
      <c r="DB87" s="93" t="e">
        <f t="array" ref="DB87:DB92">MMULT(aggregation!#REF!,BasicTable5!DB8:DB48)</f>
        <v>#REF!</v>
      </c>
      <c r="DC87" s="93" t="e">
        <f t="array" ref="DC87:DC92">MMULT(aggregation!#REF!,BasicTable5!DC8:DC48)</f>
        <v>#REF!</v>
      </c>
      <c r="DD87" s="93" t="e">
        <f t="array" ref="DD87:DD92">MMULT(aggregation!#REF!,BasicTable5!DD8:DD48)</f>
        <v>#REF!</v>
      </c>
      <c r="DF87" s="39" t="e">
        <f t="shared" ref="DF87:DF92" si="90">IF(DG87&gt;0,((1+(DI87/DG87))^(1/($A$101-$A$100))-1)*100,0)</f>
        <v>#REF!</v>
      </c>
      <c r="DG87" s="93" t="e">
        <f t="array" ref="DG87:DG92">MMULT(aggregation!#REF!,BasicTable5!DG8:DG48)</f>
        <v>#REF!</v>
      </c>
      <c r="DH87" s="93" t="e">
        <f t="array" ref="DH87:DH92">MMULT(aggregation!#REF!,BasicTable5!DH8:DH48)</f>
        <v>#REF!</v>
      </c>
      <c r="DI87" s="93" t="e">
        <f t="array" ref="DI87:DI92">MMULT(aggregation!#REF!,BasicTable5!DI8:DI48)</f>
        <v>#REF!</v>
      </c>
      <c r="DJ87" s="93" t="e">
        <f t="array" ref="DJ87:DJ92">MMULT(aggregation!#REF!,BasicTable5!DJ8:DJ48)</f>
        <v>#REF!</v>
      </c>
      <c r="DK87" s="93"/>
      <c r="DL87" s="39" t="e">
        <f t="shared" ref="DL87:DL92" si="91">IF(DM87&gt;0,((1+(DO87/DM87))^(1/($A$101-$A$100))-1)*100,0)</f>
        <v>#REF!</v>
      </c>
      <c r="DM87" s="93" t="e">
        <f t="array" ref="DM87:DM92">MMULT(aggregation!#REF!,BasicTable5!DM8:DM48)</f>
        <v>#REF!</v>
      </c>
      <c r="DN87" s="93" t="e">
        <f t="array" ref="DN87:DN92">MMULT(aggregation!#REF!,BasicTable5!DN8:DN48)</f>
        <v>#REF!</v>
      </c>
      <c r="DO87" s="93" t="e">
        <f t="array" ref="DO87:DO92">MMULT(aggregation!#REF!,BasicTable5!DO8:DO48)</f>
        <v>#REF!</v>
      </c>
      <c r="DP87" s="93" t="e">
        <f t="array" ref="DP87:DP92">MMULT(aggregation!#REF!,BasicTable5!DP8:DP48)</f>
        <v>#REF!</v>
      </c>
    </row>
    <row r="88" spans="1:120" x14ac:dyDescent="0.3">
      <c r="A88" s="90" t="str">
        <f>name!C5</f>
        <v>Manufacturing</v>
      </c>
      <c r="B88" s="39" t="e">
        <f t="shared" si="68"/>
        <v>#REF!</v>
      </c>
      <c r="C88" s="93" t="e">
        <v>#REF!</v>
      </c>
      <c r="D88" s="93" t="e">
        <v>#REF!</v>
      </c>
      <c r="E88" s="93" t="e">
        <v>#REF!</v>
      </c>
      <c r="F88" s="93" t="e">
        <v>#REF!</v>
      </c>
      <c r="H88" s="39" t="e">
        <f t="shared" si="69"/>
        <v>#REF!</v>
      </c>
      <c r="I88" s="93" t="e">
        <v>#REF!</v>
      </c>
      <c r="J88" s="93" t="e">
        <v>#REF!</v>
      </c>
      <c r="K88" s="93" t="e">
        <v>#REF!</v>
      </c>
      <c r="L88" s="93" t="e">
        <v>#REF!</v>
      </c>
      <c r="N88" s="39" t="e">
        <f t="shared" si="70"/>
        <v>#REF!</v>
      </c>
      <c r="O88" s="93" t="e">
        <v>#REF!</v>
      </c>
      <c r="P88" s="93" t="e">
        <v>#REF!</v>
      </c>
      <c r="Q88" s="93" t="e">
        <v>#REF!</v>
      </c>
      <c r="R88" s="93" t="e">
        <v>#REF!</v>
      </c>
      <c r="S88" s="93"/>
      <c r="T88" s="39" t="e">
        <f t="shared" si="71"/>
        <v>#REF!</v>
      </c>
      <c r="U88" s="93" t="e">
        <v>#REF!</v>
      </c>
      <c r="V88" s="93" t="e">
        <v>#REF!</v>
      </c>
      <c r="W88" s="93" t="e">
        <v>#REF!</v>
      </c>
      <c r="X88" s="93" t="e">
        <v>#REF!</v>
      </c>
      <c r="Y88" s="90" t="str">
        <f t="shared" si="72"/>
        <v>Manufacturing</v>
      </c>
      <c r="Z88" s="39" t="e">
        <f t="shared" si="73"/>
        <v>#REF!</v>
      </c>
      <c r="AA88" s="93" t="e">
        <v>#REF!</v>
      </c>
      <c r="AB88" s="93" t="e">
        <v>#REF!</v>
      </c>
      <c r="AC88" s="93" t="e">
        <v>#REF!</v>
      </c>
      <c r="AD88" s="93" t="e">
        <v>#REF!</v>
      </c>
      <c r="AF88" s="39" t="e">
        <f t="shared" si="74"/>
        <v>#REF!</v>
      </c>
      <c r="AG88" s="93" t="e">
        <v>#REF!</v>
      </c>
      <c r="AH88" s="93" t="e">
        <v>#REF!</v>
      </c>
      <c r="AI88" s="93" t="e">
        <v>#REF!</v>
      </c>
      <c r="AJ88" s="93" t="e">
        <v>#REF!</v>
      </c>
      <c r="AL88" s="39" t="e">
        <f t="shared" si="75"/>
        <v>#REF!</v>
      </c>
      <c r="AM88" s="93" t="e">
        <v>#REF!</v>
      </c>
      <c r="AN88" s="93" t="e">
        <v>#REF!</v>
      </c>
      <c r="AO88" s="93" t="e">
        <v>#REF!</v>
      </c>
      <c r="AP88" s="93" t="e">
        <v>#REF!</v>
      </c>
      <c r="AQ88" s="93"/>
      <c r="AR88" s="39" t="e">
        <f t="shared" si="76"/>
        <v>#REF!</v>
      </c>
      <c r="AS88" s="93" t="e">
        <v>#REF!</v>
      </c>
      <c r="AT88" s="93" t="e">
        <v>#REF!</v>
      </c>
      <c r="AU88" s="93" t="e">
        <v>#REF!</v>
      </c>
      <c r="AV88" s="93" t="e">
        <v>#REF!</v>
      </c>
      <c r="AW88" s="90" t="str">
        <f t="shared" si="77"/>
        <v>Manufacturing</v>
      </c>
      <c r="AX88" s="39" t="e">
        <f t="shared" si="78"/>
        <v>#REF!</v>
      </c>
      <c r="AY88" s="93" t="e">
        <v>#REF!</v>
      </c>
      <c r="AZ88" s="93" t="e">
        <v>#REF!</v>
      </c>
      <c r="BA88" s="93" t="e">
        <v>#REF!</v>
      </c>
      <c r="BB88" s="93" t="e">
        <v>#REF!</v>
      </c>
      <c r="BD88" s="39" t="e">
        <f t="shared" si="79"/>
        <v>#REF!</v>
      </c>
      <c r="BE88" s="93" t="e">
        <v>#REF!</v>
      </c>
      <c r="BF88" s="93" t="e">
        <v>#REF!</v>
      </c>
      <c r="BG88" s="93" t="e">
        <v>#REF!</v>
      </c>
      <c r="BH88" s="93" t="e">
        <v>#REF!</v>
      </c>
      <c r="BJ88" s="39" t="e">
        <f t="shared" si="80"/>
        <v>#REF!</v>
      </c>
      <c r="BK88" s="93" t="e">
        <v>#REF!</v>
      </c>
      <c r="BL88" s="93" t="e">
        <v>#REF!</v>
      </c>
      <c r="BM88" s="93" t="e">
        <v>#REF!</v>
      </c>
      <c r="BN88" s="93" t="e">
        <v>#REF!</v>
      </c>
      <c r="BO88" s="93"/>
      <c r="BP88" s="39" t="e">
        <f t="shared" si="81"/>
        <v>#REF!</v>
      </c>
      <c r="BQ88" s="93" t="e">
        <v>#REF!</v>
      </c>
      <c r="BR88" s="93" t="e">
        <v>#REF!</v>
      </c>
      <c r="BS88" s="93" t="e">
        <v>#REF!</v>
      </c>
      <c r="BT88" s="93" t="e">
        <v>#REF!</v>
      </c>
      <c r="BU88" s="90" t="str">
        <f t="shared" si="82"/>
        <v>Manufacturing</v>
      </c>
      <c r="BV88" s="39" t="e">
        <f t="shared" si="83"/>
        <v>#REF!</v>
      </c>
      <c r="BW88" s="93" t="e">
        <v>#REF!</v>
      </c>
      <c r="BX88" s="93" t="e">
        <v>#REF!</v>
      </c>
      <c r="BY88" s="93" t="e">
        <v>#REF!</v>
      </c>
      <c r="BZ88" s="93" t="e">
        <v>#REF!</v>
      </c>
      <c r="CB88" s="39" t="e">
        <f t="shared" si="84"/>
        <v>#REF!</v>
      </c>
      <c r="CC88" s="93" t="e">
        <v>#REF!</v>
      </c>
      <c r="CD88" s="93" t="e">
        <v>#REF!</v>
      </c>
      <c r="CE88" s="93" t="e">
        <v>#REF!</v>
      </c>
      <c r="CF88" s="93" t="e">
        <v>#REF!</v>
      </c>
      <c r="CH88" s="39" t="e">
        <f t="shared" si="85"/>
        <v>#REF!</v>
      </c>
      <c r="CI88" s="93" t="e">
        <v>#REF!</v>
      </c>
      <c r="CJ88" s="93" t="e">
        <v>#REF!</v>
      </c>
      <c r="CK88" s="93" t="e">
        <v>#REF!</v>
      </c>
      <c r="CL88" s="93" t="e">
        <v>#REF!</v>
      </c>
      <c r="CM88" s="93"/>
      <c r="CN88" s="39" t="e">
        <f t="shared" si="86"/>
        <v>#REF!</v>
      </c>
      <c r="CO88" s="93" t="e">
        <v>#REF!</v>
      </c>
      <c r="CP88" s="93" t="e">
        <v>#REF!</v>
      </c>
      <c r="CQ88" s="93" t="e">
        <v>#REF!</v>
      </c>
      <c r="CR88" s="93" t="e">
        <v>#REF!</v>
      </c>
      <c r="CS88" s="90" t="str">
        <f t="shared" si="87"/>
        <v>Manufacturing</v>
      </c>
      <c r="CT88" s="39" t="e">
        <f t="shared" si="88"/>
        <v>#REF!</v>
      </c>
      <c r="CU88" s="93" t="e">
        <v>#REF!</v>
      </c>
      <c r="CV88" s="93" t="e">
        <v>#REF!</v>
      </c>
      <c r="CW88" s="93" t="e">
        <v>#REF!</v>
      </c>
      <c r="CX88" s="93" t="e">
        <v>#REF!</v>
      </c>
      <c r="CZ88" s="39" t="e">
        <f t="shared" si="89"/>
        <v>#REF!</v>
      </c>
      <c r="DA88" s="93" t="e">
        <v>#REF!</v>
      </c>
      <c r="DB88" s="93" t="e">
        <v>#REF!</v>
      </c>
      <c r="DC88" s="93" t="e">
        <v>#REF!</v>
      </c>
      <c r="DD88" s="93" t="e">
        <v>#REF!</v>
      </c>
      <c r="DF88" s="39" t="e">
        <f t="shared" si="90"/>
        <v>#REF!</v>
      </c>
      <c r="DG88" s="93" t="e">
        <v>#REF!</v>
      </c>
      <c r="DH88" s="93" t="e">
        <v>#REF!</v>
      </c>
      <c r="DI88" s="93" t="e">
        <v>#REF!</v>
      </c>
      <c r="DJ88" s="93" t="e">
        <v>#REF!</v>
      </c>
      <c r="DK88" s="93"/>
      <c r="DL88" s="39" t="e">
        <f t="shared" si="91"/>
        <v>#REF!</v>
      </c>
      <c r="DM88" s="93" t="e">
        <v>#REF!</v>
      </c>
      <c r="DN88" s="93" t="e">
        <v>#REF!</v>
      </c>
      <c r="DO88" s="93" t="e">
        <v>#REF!</v>
      </c>
      <c r="DP88" s="93" t="e">
        <v>#REF!</v>
      </c>
    </row>
    <row r="89" spans="1:120" x14ac:dyDescent="0.3">
      <c r="A89" s="90" t="str">
        <f>name!C6</f>
        <v>Construction</v>
      </c>
      <c r="B89" s="39" t="e">
        <f t="shared" si="68"/>
        <v>#REF!</v>
      </c>
      <c r="C89" s="93" t="e">
        <v>#REF!</v>
      </c>
      <c r="D89" s="93" t="e">
        <v>#REF!</v>
      </c>
      <c r="E89" s="93" t="e">
        <v>#REF!</v>
      </c>
      <c r="F89" s="93" t="e">
        <v>#REF!</v>
      </c>
      <c r="H89" s="39" t="e">
        <f t="shared" si="69"/>
        <v>#REF!</v>
      </c>
      <c r="I89" s="93" t="e">
        <v>#REF!</v>
      </c>
      <c r="J89" s="93" t="e">
        <v>#REF!</v>
      </c>
      <c r="K89" s="93" t="e">
        <v>#REF!</v>
      </c>
      <c r="L89" s="93" t="e">
        <v>#REF!</v>
      </c>
      <c r="N89" s="39" t="e">
        <f t="shared" si="70"/>
        <v>#REF!</v>
      </c>
      <c r="O89" s="93" t="e">
        <v>#REF!</v>
      </c>
      <c r="P89" s="93" t="e">
        <v>#REF!</v>
      </c>
      <c r="Q89" s="93" t="e">
        <v>#REF!</v>
      </c>
      <c r="R89" s="93" t="e">
        <v>#REF!</v>
      </c>
      <c r="S89" s="93"/>
      <c r="T89" s="39" t="e">
        <f t="shared" si="71"/>
        <v>#REF!</v>
      </c>
      <c r="U89" s="93" t="e">
        <v>#REF!</v>
      </c>
      <c r="V89" s="93" t="e">
        <v>#REF!</v>
      </c>
      <c r="W89" s="93" t="e">
        <v>#REF!</v>
      </c>
      <c r="X89" s="93" t="e">
        <v>#REF!</v>
      </c>
      <c r="Y89" s="90" t="str">
        <f t="shared" si="72"/>
        <v>Construction</v>
      </c>
      <c r="Z89" s="39" t="e">
        <f t="shared" si="73"/>
        <v>#REF!</v>
      </c>
      <c r="AA89" s="93" t="e">
        <v>#REF!</v>
      </c>
      <c r="AB89" s="93" t="e">
        <v>#REF!</v>
      </c>
      <c r="AC89" s="93" t="e">
        <v>#REF!</v>
      </c>
      <c r="AD89" s="93" t="e">
        <v>#REF!</v>
      </c>
      <c r="AF89" s="39" t="e">
        <f t="shared" si="74"/>
        <v>#REF!</v>
      </c>
      <c r="AG89" s="93" t="e">
        <v>#REF!</v>
      </c>
      <c r="AH89" s="93" t="e">
        <v>#REF!</v>
      </c>
      <c r="AI89" s="93" t="e">
        <v>#REF!</v>
      </c>
      <c r="AJ89" s="93" t="e">
        <v>#REF!</v>
      </c>
      <c r="AL89" s="39" t="e">
        <f t="shared" si="75"/>
        <v>#REF!</v>
      </c>
      <c r="AM89" s="93" t="e">
        <v>#REF!</v>
      </c>
      <c r="AN89" s="93" t="e">
        <v>#REF!</v>
      </c>
      <c r="AO89" s="93" t="e">
        <v>#REF!</v>
      </c>
      <c r="AP89" s="93" t="e">
        <v>#REF!</v>
      </c>
      <c r="AQ89" s="93"/>
      <c r="AR89" s="39" t="e">
        <f t="shared" si="76"/>
        <v>#REF!</v>
      </c>
      <c r="AS89" s="93" t="e">
        <v>#REF!</v>
      </c>
      <c r="AT89" s="93" t="e">
        <v>#REF!</v>
      </c>
      <c r="AU89" s="93" t="e">
        <v>#REF!</v>
      </c>
      <c r="AV89" s="93" t="e">
        <v>#REF!</v>
      </c>
      <c r="AW89" s="90" t="str">
        <f t="shared" si="77"/>
        <v>Construction</v>
      </c>
      <c r="AX89" s="39" t="e">
        <f t="shared" si="78"/>
        <v>#REF!</v>
      </c>
      <c r="AY89" s="93" t="e">
        <v>#REF!</v>
      </c>
      <c r="AZ89" s="93" t="e">
        <v>#REF!</v>
      </c>
      <c r="BA89" s="93" t="e">
        <v>#REF!</v>
      </c>
      <c r="BB89" s="93" t="e">
        <v>#REF!</v>
      </c>
      <c r="BD89" s="39" t="e">
        <f t="shared" si="79"/>
        <v>#REF!</v>
      </c>
      <c r="BE89" s="93" t="e">
        <v>#REF!</v>
      </c>
      <c r="BF89" s="93" t="e">
        <v>#REF!</v>
      </c>
      <c r="BG89" s="93" t="e">
        <v>#REF!</v>
      </c>
      <c r="BH89" s="93" t="e">
        <v>#REF!</v>
      </c>
      <c r="BJ89" s="39" t="e">
        <f t="shared" si="80"/>
        <v>#REF!</v>
      </c>
      <c r="BK89" s="93" t="e">
        <v>#REF!</v>
      </c>
      <c r="BL89" s="93" t="e">
        <v>#REF!</v>
      </c>
      <c r="BM89" s="93" t="e">
        <v>#REF!</v>
      </c>
      <c r="BN89" s="93" t="e">
        <v>#REF!</v>
      </c>
      <c r="BO89" s="93"/>
      <c r="BP89" s="39" t="e">
        <f t="shared" si="81"/>
        <v>#REF!</v>
      </c>
      <c r="BQ89" s="93" t="e">
        <v>#REF!</v>
      </c>
      <c r="BR89" s="93" t="e">
        <v>#REF!</v>
      </c>
      <c r="BS89" s="93" t="e">
        <v>#REF!</v>
      </c>
      <c r="BT89" s="93" t="e">
        <v>#REF!</v>
      </c>
      <c r="BU89" s="90" t="str">
        <f t="shared" si="82"/>
        <v>Construction</v>
      </c>
      <c r="BV89" s="39" t="e">
        <f t="shared" si="83"/>
        <v>#REF!</v>
      </c>
      <c r="BW89" s="93" t="e">
        <v>#REF!</v>
      </c>
      <c r="BX89" s="93" t="e">
        <v>#REF!</v>
      </c>
      <c r="BY89" s="93" t="e">
        <v>#REF!</v>
      </c>
      <c r="BZ89" s="93" t="e">
        <v>#REF!</v>
      </c>
      <c r="CB89" s="39" t="e">
        <f t="shared" si="84"/>
        <v>#REF!</v>
      </c>
      <c r="CC89" s="93" t="e">
        <v>#REF!</v>
      </c>
      <c r="CD89" s="93" t="e">
        <v>#REF!</v>
      </c>
      <c r="CE89" s="93" t="e">
        <v>#REF!</v>
      </c>
      <c r="CF89" s="93" t="e">
        <v>#REF!</v>
      </c>
      <c r="CH89" s="39" t="e">
        <f t="shared" si="85"/>
        <v>#REF!</v>
      </c>
      <c r="CI89" s="93" t="e">
        <v>#REF!</v>
      </c>
      <c r="CJ89" s="93" t="e">
        <v>#REF!</v>
      </c>
      <c r="CK89" s="93" t="e">
        <v>#REF!</v>
      </c>
      <c r="CL89" s="93" t="e">
        <v>#REF!</v>
      </c>
      <c r="CM89" s="93"/>
      <c r="CN89" s="39" t="e">
        <f t="shared" si="86"/>
        <v>#REF!</v>
      </c>
      <c r="CO89" s="93" t="e">
        <v>#REF!</v>
      </c>
      <c r="CP89" s="93" t="e">
        <v>#REF!</v>
      </c>
      <c r="CQ89" s="93" t="e">
        <v>#REF!</v>
      </c>
      <c r="CR89" s="93" t="e">
        <v>#REF!</v>
      </c>
      <c r="CS89" s="90" t="str">
        <f t="shared" si="87"/>
        <v>Construction</v>
      </c>
      <c r="CT89" s="39" t="e">
        <f t="shared" si="88"/>
        <v>#REF!</v>
      </c>
      <c r="CU89" s="93" t="e">
        <v>#REF!</v>
      </c>
      <c r="CV89" s="93" t="e">
        <v>#REF!</v>
      </c>
      <c r="CW89" s="93" t="e">
        <v>#REF!</v>
      </c>
      <c r="CX89" s="93" t="e">
        <v>#REF!</v>
      </c>
      <c r="CZ89" s="39" t="e">
        <f t="shared" si="89"/>
        <v>#REF!</v>
      </c>
      <c r="DA89" s="93" t="e">
        <v>#REF!</v>
      </c>
      <c r="DB89" s="93" t="e">
        <v>#REF!</v>
      </c>
      <c r="DC89" s="93" t="e">
        <v>#REF!</v>
      </c>
      <c r="DD89" s="93" t="e">
        <v>#REF!</v>
      </c>
      <c r="DF89" s="39" t="e">
        <f t="shared" si="90"/>
        <v>#REF!</v>
      </c>
      <c r="DG89" s="93" t="e">
        <v>#REF!</v>
      </c>
      <c r="DH89" s="93" t="e">
        <v>#REF!</v>
      </c>
      <c r="DI89" s="93" t="e">
        <v>#REF!</v>
      </c>
      <c r="DJ89" s="93" t="e">
        <v>#REF!</v>
      </c>
      <c r="DK89" s="93"/>
      <c r="DL89" s="39" t="e">
        <f t="shared" si="91"/>
        <v>#REF!</v>
      </c>
      <c r="DM89" s="93" t="e">
        <v>#REF!</v>
      </c>
      <c r="DN89" s="93" t="e">
        <v>#REF!</v>
      </c>
      <c r="DO89" s="93" t="e">
        <v>#REF!</v>
      </c>
      <c r="DP89" s="93" t="e">
        <v>#REF!</v>
      </c>
    </row>
    <row r="90" spans="1:120" x14ac:dyDescent="0.3">
      <c r="A90" s="90" t="str">
        <f>name!C7</f>
        <v>Trade, accomod. and transport</v>
      </c>
      <c r="B90" s="39" t="e">
        <f t="shared" si="68"/>
        <v>#REF!</v>
      </c>
      <c r="C90" s="93" t="e">
        <v>#REF!</v>
      </c>
      <c r="D90" s="93" t="e">
        <v>#REF!</v>
      </c>
      <c r="E90" s="93" t="e">
        <v>#REF!</v>
      </c>
      <c r="F90" s="93" t="e">
        <v>#REF!</v>
      </c>
      <c r="H90" s="39" t="e">
        <f t="shared" si="69"/>
        <v>#REF!</v>
      </c>
      <c r="I90" s="93" t="e">
        <v>#REF!</v>
      </c>
      <c r="J90" s="93" t="e">
        <v>#REF!</v>
      </c>
      <c r="K90" s="93" t="e">
        <v>#REF!</v>
      </c>
      <c r="L90" s="93" t="e">
        <v>#REF!</v>
      </c>
      <c r="N90" s="39" t="e">
        <f t="shared" si="70"/>
        <v>#REF!</v>
      </c>
      <c r="O90" s="93" t="e">
        <v>#REF!</v>
      </c>
      <c r="P90" s="93" t="e">
        <v>#REF!</v>
      </c>
      <c r="Q90" s="93" t="e">
        <v>#REF!</v>
      </c>
      <c r="R90" s="93" t="e">
        <v>#REF!</v>
      </c>
      <c r="S90" s="93"/>
      <c r="T90" s="39" t="e">
        <f t="shared" si="71"/>
        <v>#REF!</v>
      </c>
      <c r="U90" s="93" t="e">
        <v>#REF!</v>
      </c>
      <c r="V90" s="93" t="e">
        <v>#REF!</v>
      </c>
      <c r="W90" s="93" t="e">
        <v>#REF!</v>
      </c>
      <c r="X90" s="93" t="e">
        <v>#REF!</v>
      </c>
      <c r="Y90" s="90" t="str">
        <f t="shared" si="72"/>
        <v>Trade, accomod. and transport</v>
      </c>
      <c r="Z90" s="39" t="e">
        <f t="shared" si="73"/>
        <v>#REF!</v>
      </c>
      <c r="AA90" s="93" t="e">
        <v>#REF!</v>
      </c>
      <c r="AB90" s="93" t="e">
        <v>#REF!</v>
      </c>
      <c r="AC90" s="93" t="e">
        <v>#REF!</v>
      </c>
      <c r="AD90" s="93" t="e">
        <v>#REF!</v>
      </c>
      <c r="AF90" s="39" t="e">
        <f t="shared" si="74"/>
        <v>#REF!</v>
      </c>
      <c r="AG90" s="93" t="e">
        <v>#REF!</v>
      </c>
      <c r="AH90" s="93" t="e">
        <v>#REF!</v>
      </c>
      <c r="AI90" s="93" t="e">
        <v>#REF!</v>
      </c>
      <c r="AJ90" s="93" t="e">
        <v>#REF!</v>
      </c>
      <c r="AL90" s="39" t="e">
        <f t="shared" si="75"/>
        <v>#REF!</v>
      </c>
      <c r="AM90" s="93" t="e">
        <v>#REF!</v>
      </c>
      <c r="AN90" s="93" t="e">
        <v>#REF!</v>
      </c>
      <c r="AO90" s="93" t="e">
        <v>#REF!</v>
      </c>
      <c r="AP90" s="93" t="e">
        <v>#REF!</v>
      </c>
      <c r="AQ90" s="93"/>
      <c r="AR90" s="39" t="e">
        <f t="shared" si="76"/>
        <v>#REF!</v>
      </c>
      <c r="AS90" s="93" t="e">
        <v>#REF!</v>
      </c>
      <c r="AT90" s="93" t="e">
        <v>#REF!</v>
      </c>
      <c r="AU90" s="93" t="e">
        <v>#REF!</v>
      </c>
      <c r="AV90" s="93" t="e">
        <v>#REF!</v>
      </c>
      <c r="AW90" s="90" t="str">
        <f t="shared" si="77"/>
        <v>Trade, accomod. and transport</v>
      </c>
      <c r="AX90" s="39" t="e">
        <f t="shared" si="78"/>
        <v>#REF!</v>
      </c>
      <c r="AY90" s="93" t="e">
        <v>#REF!</v>
      </c>
      <c r="AZ90" s="93" t="e">
        <v>#REF!</v>
      </c>
      <c r="BA90" s="93" t="e">
        <v>#REF!</v>
      </c>
      <c r="BB90" s="93" t="e">
        <v>#REF!</v>
      </c>
      <c r="BD90" s="39" t="e">
        <f t="shared" si="79"/>
        <v>#REF!</v>
      </c>
      <c r="BE90" s="93" t="e">
        <v>#REF!</v>
      </c>
      <c r="BF90" s="93" t="e">
        <v>#REF!</v>
      </c>
      <c r="BG90" s="93" t="e">
        <v>#REF!</v>
      </c>
      <c r="BH90" s="93" t="e">
        <v>#REF!</v>
      </c>
      <c r="BJ90" s="39" t="e">
        <f t="shared" si="80"/>
        <v>#REF!</v>
      </c>
      <c r="BK90" s="93" t="e">
        <v>#REF!</v>
      </c>
      <c r="BL90" s="93" t="e">
        <v>#REF!</v>
      </c>
      <c r="BM90" s="93" t="e">
        <v>#REF!</v>
      </c>
      <c r="BN90" s="93" t="e">
        <v>#REF!</v>
      </c>
      <c r="BO90" s="93"/>
      <c r="BP90" s="39" t="e">
        <f t="shared" si="81"/>
        <v>#REF!</v>
      </c>
      <c r="BQ90" s="93" t="e">
        <v>#REF!</v>
      </c>
      <c r="BR90" s="93" t="e">
        <v>#REF!</v>
      </c>
      <c r="BS90" s="93" t="e">
        <v>#REF!</v>
      </c>
      <c r="BT90" s="93" t="e">
        <v>#REF!</v>
      </c>
      <c r="BU90" s="90" t="str">
        <f t="shared" si="82"/>
        <v>Trade, accomod. and transport</v>
      </c>
      <c r="BV90" s="39" t="e">
        <f t="shared" si="83"/>
        <v>#REF!</v>
      </c>
      <c r="BW90" s="93" t="e">
        <v>#REF!</v>
      </c>
      <c r="BX90" s="93" t="e">
        <v>#REF!</v>
      </c>
      <c r="BY90" s="93" t="e">
        <v>#REF!</v>
      </c>
      <c r="BZ90" s="93" t="e">
        <v>#REF!</v>
      </c>
      <c r="CB90" s="39" t="e">
        <f t="shared" si="84"/>
        <v>#REF!</v>
      </c>
      <c r="CC90" s="93" t="e">
        <v>#REF!</v>
      </c>
      <c r="CD90" s="93" t="e">
        <v>#REF!</v>
      </c>
      <c r="CE90" s="93" t="e">
        <v>#REF!</v>
      </c>
      <c r="CF90" s="93" t="e">
        <v>#REF!</v>
      </c>
      <c r="CH90" s="39" t="e">
        <f t="shared" si="85"/>
        <v>#REF!</v>
      </c>
      <c r="CI90" s="93" t="e">
        <v>#REF!</v>
      </c>
      <c r="CJ90" s="93" t="e">
        <v>#REF!</v>
      </c>
      <c r="CK90" s="93" t="e">
        <v>#REF!</v>
      </c>
      <c r="CL90" s="93" t="e">
        <v>#REF!</v>
      </c>
      <c r="CM90" s="93"/>
      <c r="CN90" s="39" t="e">
        <f t="shared" si="86"/>
        <v>#REF!</v>
      </c>
      <c r="CO90" s="93" t="e">
        <v>#REF!</v>
      </c>
      <c r="CP90" s="93" t="e">
        <v>#REF!</v>
      </c>
      <c r="CQ90" s="93" t="e">
        <v>#REF!</v>
      </c>
      <c r="CR90" s="93" t="e">
        <v>#REF!</v>
      </c>
      <c r="CS90" s="90" t="str">
        <f t="shared" si="87"/>
        <v>Trade, accomod. and transport</v>
      </c>
      <c r="CT90" s="39" t="e">
        <f t="shared" si="88"/>
        <v>#REF!</v>
      </c>
      <c r="CU90" s="93" t="e">
        <v>#REF!</v>
      </c>
      <c r="CV90" s="93" t="e">
        <v>#REF!</v>
      </c>
      <c r="CW90" s="93" t="e">
        <v>#REF!</v>
      </c>
      <c r="CX90" s="93" t="e">
        <v>#REF!</v>
      </c>
      <c r="CZ90" s="39" t="e">
        <f t="shared" si="89"/>
        <v>#REF!</v>
      </c>
      <c r="DA90" s="93" t="e">
        <v>#REF!</v>
      </c>
      <c r="DB90" s="93" t="e">
        <v>#REF!</v>
      </c>
      <c r="DC90" s="93" t="e">
        <v>#REF!</v>
      </c>
      <c r="DD90" s="93" t="e">
        <v>#REF!</v>
      </c>
      <c r="DF90" s="39" t="e">
        <f t="shared" si="90"/>
        <v>#REF!</v>
      </c>
      <c r="DG90" s="93" t="e">
        <v>#REF!</v>
      </c>
      <c r="DH90" s="93" t="e">
        <v>#REF!</v>
      </c>
      <c r="DI90" s="93" t="e">
        <v>#REF!</v>
      </c>
      <c r="DJ90" s="93" t="e">
        <v>#REF!</v>
      </c>
      <c r="DK90" s="93"/>
      <c r="DL90" s="39" t="e">
        <f t="shared" si="91"/>
        <v>#REF!</v>
      </c>
      <c r="DM90" s="93" t="e">
        <v>#REF!</v>
      </c>
      <c r="DN90" s="93" t="e">
        <v>#REF!</v>
      </c>
      <c r="DO90" s="93" t="e">
        <v>#REF!</v>
      </c>
      <c r="DP90" s="93" t="e">
        <v>#REF!</v>
      </c>
    </row>
    <row r="91" spans="1:120" x14ac:dyDescent="0.3">
      <c r="A91" s="90" t="str">
        <f>name!C8</f>
        <v>Business and other services</v>
      </c>
      <c r="B91" s="39" t="e">
        <f t="shared" si="68"/>
        <v>#REF!</v>
      </c>
      <c r="C91" s="93" t="e">
        <v>#REF!</v>
      </c>
      <c r="D91" s="93" t="e">
        <v>#REF!</v>
      </c>
      <c r="E91" s="93" t="e">
        <v>#REF!</v>
      </c>
      <c r="F91" s="93" t="e">
        <v>#REF!</v>
      </c>
      <c r="H91" s="39" t="e">
        <f t="shared" si="69"/>
        <v>#REF!</v>
      </c>
      <c r="I91" s="93" t="e">
        <v>#REF!</v>
      </c>
      <c r="J91" s="93" t="e">
        <v>#REF!</v>
      </c>
      <c r="K91" s="93" t="e">
        <v>#REF!</v>
      </c>
      <c r="L91" s="93" t="e">
        <v>#REF!</v>
      </c>
      <c r="N91" s="39" t="e">
        <f t="shared" si="70"/>
        <v>#REF!</v>
      </c>
      <c r="O91" s="93" t="e">
        <v>#REF!</v>
      </c>
      <c r="P91" s="93" t="e">
        <v>#REF!</v>
      </c>
      <c r="Q91" s="93" t="e">
        <v>#REF!</v>
      </c>
      <c r="R91" s="93" t="e">
        <v>#REF!</v>
      </c>
      <c r="S91" s="93"/>
      <c r="T91" s="39" t="e">
        <f t="shared" si="71"/>
        <v>#REF!</v>
      </c>
      <c r="U91" s="93" t="e">
        <v>#REF!</v>
      </c>
      <c r="V91" s="93" t="e">
        <v>#REF!</v>
      </c>
      <c r="W91" s="93" t="e">
        <v>#REF!</v>
      </c>
      <c r="X91" s="93" t="e">
        <v>#REF!</v>
      </c>
      <c r="Y91" s="90" t="str">
        <f t="shared" si="72"/>
        <v>Business and other services</v>
      </c>
      <c r="Z91" s="39" t="e">
        <f t="shared" si="73"/>
        <v>#REF!</v>
      </c>
      <c r="AA91" s="93" t="e">
        <v>#REF!</v>
      </c>
      <c r="AB91" s="93" t="e">
        <v>#REF!</v>
      </c>
      <c r="AC91" s="93" t="e">
        <v>#REF!</v>
      </c>
      <c r="AD91" s="93" t="e">
        <v>#REF!</v>
      </c>
      <c r="AF91" s="39" t="e">
        <f t="shared" si="74"/>
        <v>#REF!</v>
      </c>
      <c r="AG91" s="93" t="e">
        <v>#REF!</v>
      </c>
      <c r="AH91" s="93" t="e">
        <v>#REF!</v>
      </c>
      <c r="AI91" s="93" t="e">
        <v>#REF!</v>
      </c>
      <c r="AJ91" s="93" t="e">
        <v>#REF!</v>
      </c>
      <c r="AL91" s="39" t="e">
        <f t="shared" si="75"/>
        <v>#REF!</v>
      </c>
      <c r="AM91" s="93" t="e">
        <v>#REF!</v>
      </c>
      <c r="AN91" s="93" t="e">
        <v>#REF!</v>
      </c>
      <c r="AO91" s="93" t="e">
        <v>#REF!</v>
      </c>
      <c r="AP91" s="93" t="e">
        <v>#REF!</v>
      </c>
      <c r="AQ91" s="93"/>
      <c r="AR91" s="39" t="e">
        <f t="shared" si="76"/>
        <v>#REF!</v>
      </c>
      <c r="AS91" s="93" t="e">
        <v>#REF!</v>
      </c>
      <c r="AT91" s="93" t="e">
        <v>#REF!</v>
      </c>
      <c r="AU91" s="93" t="e">
        <v>#REF!</v>
      </c>
      <c r="AV91" s="93" t="e">
        <v>#REF!</v>
      </c>
      <c r="AW91" s="90" t="str">
        <f t="shared" si="77"/>
        <v>Business and other services</v>
      </c>
      <c r="AX91" s="39" t="e">
        <f t="shared" si="78"/>
        <v>#REF!</v>
      </c>
      <c r="AY91" s="93" t="e">
        <v>#REF!</v>
      </c>
      <c r="AZ91" s="93" t="e">
        <v>#REF!</v>
      </c>
      <c r="BA91" s="93" t="e">
        <v>#REF!</v>
      </c>
      <c r="BB91" s="93" t="e">
        <v>#REF!</v>
      </c>
      <c r="BD91" s="39" t="e">
        <f t="shared" si="79"/>
        <v>#REF!</v>
      </c>
      <c r="BE91" s="93" t="e">
        <v>#REF!</v>
      </c>
      <c r="BF91" s="93" t="e">
        <v>#REF!</v>
      </c>
      <c r="BG91" s="93" t="e">
        <v>#REF!</v>
      </c>
      <c r="BH91" s="93" t="e">
        <v>#REF!</v>
      </c>
      <c r="BJ91" s="39" t="e">
        <f t="shared" si="80"/>
        <v>#REF!</v>
      </c>
      <c r="BK91" s="93" t="e">
        <v>#REF!</v>
      </c>
      <c r="BL91" s="93" t="e">
        <v>#REF!</v>
      </c>
      <c r="BM91" s="93" t="e">
        <v>#REF!</v>
      </c>
      <c r="BN91" s="93" t="e">
        <v>#REF!</v>
      </c>
      <c r="BO91" s="93"/>
      <c r="BP91" s="39" t="e">
        <f t="shared" si="81"/>
        <v>#REF!</v>
      </c>
      <c r="BQ91" s="93" t="e">
        <v>#REF!</v>
      </c>
      <c r="BR91" s="93" t="e">
        <v>#REF!</v>
      </c>
      <c r="BS91" s="93" t="e">
        <v>#REF!</v>
      </c>
      <c r="BT91" s="93" t="e">
        <v>#REF!</v>
      </c>
      <c r="BU91" s="90" t="str">
        <f t="shared" si="82"/>
        <v>Business and other services</v>
      </c>
      <c r="BV91" s="39" t="e">
        <f t="shared" si="83"/>
        <v>#REF!</v>
      </c>
      <c r="BW91" s="93" t="e">
        <v>#REF!</v>
      </c>
      <c r="BX91" s="93" t="e">
        <v>#REF!</v>
      </c>
      <c r="BY91" s="93" t="e">
        <v>#REF!</v>
      </c>
      <c r="BZ91" s="93" t="e">
        <v>#REF!</v>
      </c>
      <c r="CB91" s="39" t="e">
        <f t="shared" si="84"/>
        <v>#REF!</v>
      </c>
      <c r="CC91" s="93" t="e">
        <v>#REF!</v>
      </c>
      <c r="CD91" s="93" t="e">
        <v>#REF!</v>
      </c>
      <c r="CE91" s="93" t="e">
        <v>#REF!</v>
      </c>
      <c r="CF91" s="93" t="e">
        <v>#REF!</v>
      </c>
      <c r="CH91" s="39" t="e">
        <f t="shared" si="85"/>
        <v>#REF!</v>
      </c>
      <c r="CI91" s="93" t="e">
        <v>#REF!</v>
      </c>
      <c r="CJ91" s="93" t="e">
        <v>#REF!</v>
      </c>
      <c r="CK91" s="93" t="e">
        <v>#REF!</v>
      </c>
      <c r="CL91" s="93" t="e">
        <v>#REF!</v>
      </c>
      <c r="CM91" s="93"/>
      <c r="CN91" s="39" t="e">
        <f t="shared" si="86"/>
        <v>#REF!</v>
      </c>
      <c r="CO91" s="93" t="e">
        <v>#REF!</v>
      </c>
      <c r="CP91" s="93" t="e">
        <v>#REF!</v>
      </c>
      <c r="CQ91" s="93" t="e">
        <v>#REF!</v>
      </c>
      <c r="CR91" s="93" t="e">
        <v>#REF!</v>
      </c>
      <c r="CS91" s="90" t="str">
        <f t="shared" si="87"/>
        <v>Business and other services</v>
      </c>
      <c r="CT91" s="39" t="e">
        <f t="shared" si="88"/>
        <v>#REF!</v>
      </c>
      <c r="CU91" s="93" t="e">
        <v>#REF!</v>
      </c>
      <c r="CV91" s="93" t="e">
        <v>#REF!</v>
      </c>
      <c r="CW91" s="93" t="e">
        <v>#REF!</v>
      </c>
      <c r="CX91" s="93" t="e">
        <v>#REF!</v>
      </c>
      <c r="CZ91" s="39" t="e">
        <f t="shared" si="89"/>
        <v>#REF!</v>
      </c>
      <c r="DA91" s="93" t="e">
        <v>#REF!</v>
      </c>
      <c r="DB91" s="93" t="e">
        <v>#REF!</v>
      </c>
      <c r="DC91" s="93" t="e">
        <v>#REF!</v>
      </c>
      <c r="DD91" s="93" t="e">
        <v>#REF!</v>
      </c>
      <c r="DF91" s="39" t="e">
        <f t="shared" si="90"/>
        <v>#REF!</v>
      </c>
      <c r="DG91" s="93" t="e">
        <v>#REF!</v>
      </c>
      <c r="DH91" s="93" t="e">
        <v>#REF!</v>
      </c>
      <c r="DI91" s="93" t="e">
        <v>#REF!</v>
      </c>
      <c r="DJ91" s="93" t="e">
        <v>#REF!</v>
      </c>
      <c r="DK91" s="93"/>
      <c r="DL91" s="39" t="e">
        <f t="shared" si="91"/>
        <v>#REF!</v>
      </c>
      <c r="DM91" s="93" t="e">
        <v>#REF!</v>
      </c>
      <c r="DN91" s="93" t="e">
        <v>#REF!</v>
      </c>
      <c r="DO91" s="93" t="e">
        <v>#REF!</v>
      </c>
      <c r="DP91" s="93" t="e">
        <v>#REF!</v>
      </c>
    </row>
    <row r="92" spans="1:120" x14ac:dyDescent="0.3">
      <c r="A92" s="90" t="str">
        <f>name!C9</f>
        <v>Non-marketed services</v>
      </c>
      <c r="B92" s="39" t="e">
        <f t="shared" si="68"/>
        <v>#REF!</v>
      </c>
      <c r="C92" s="93" t="e">
        <v>#REF!</v>
      </c>
      <c r="D92" s="93" t="e">
        <v>#REF!</v>
      </c>
      <c r="E92" s="93" t="e">
        <v>#REF!</v>
      </c>
      <c r="F92" s="93" t="e">
        <v>#REF!</v>
      </c>
      <c r="H92" s="39" t="e">
        <f t="shared" si="69"/>
        <v>#REF!</v>
      </c>
      <c r="I92" s="93" t="e">
        <v>#REF!</v>
      </c>
      <c r="J92" s="93" t="e">
        <v>#REF!</v>
      </c>
      <c r="K92" s="93" t="e">
        <v>#REF!</v>
      </c>
      <c r="L92" s="93" t="e">
        <v>#REF!</v>
      </c>
      <c r="N92" s="39" t="e">
        <f t="shared" si="70"/>
        <v>#REF!</v>
      </c>
      <c r="O92" s="93" t="e">
        <v>#REF!</v>
      </c>
      <c r="P92" s="93" t="e">
        <v>#REF!</v>
      </c>
      <c r="Q92" s="93" t="e">
        <v>#REF!</v>
      </c>
      <c r="R92" s="93" t="e">
        <v>#REF!</v>
      </c>
      <c r="S92" s="93"/>
      <c r="T92" s="39" t="e">
        <f t="shared" si="71"/>
        <v>#REF!</v>
      </c>
      <c r="U92" s="93" t="e">
        <v>#REF!</v>
      </c>
      <c r="V92" s="93" t="e">
        <v>#REF!</v>
      </c>
      <c r="W92" s="93" t="e">
        <v>#REF!</v>
      </c>
      <c r="X92" s="93" t="e">
        <v>#REF!</v>
      </c>
      <c r="Y92" s="90" t="str">
        <f t="shared" si="72"/>
        <v>Non-marketed services</v>
      </c>
      <c r="Z92" s="39" t="e">
        <f t="shared" si="73"/>
        <v>#REF!</v>
      </c>
      <c r="AA92" s="93" t="e">
        <v>#REF!</v>
      </c>
      <c r="AB92" s="93" t="e">
        <v>#REF!</v>
      </c>
      <c r="AC92" s="93" t="e">
        <v>#REF!</v>
      </c>
      <c r="AD92" s="93" t="e">
        <v>#REF!</v>
      </c>
      <c r="AF92" s="39" t="e">
        <f t="shared" si="74"/>
        <v>#REF!</v>
      </c>
      <c r="AG92" s="93" t="e">
        <v>#REF!</v>
      </c>
      <c r="AH92" s="93" t="e">
        <v>#REF!</v>
      </c>
      <c r="AI92" s="93" t="e">
        <v>#REF!</v>
      </c>
      <c r="AJ92" s="93" t="e">
        <v>#REF!</v>
      </c>
      <c r="AL92" s="39" t="e">
        <f t="shared" si="75"/>
        <v>#REF!</v>
      </c>
      <c r="AM92" s="93" t="e">
        <v>#REF!</v>
      </c>
      <c r="AN92" s="93" t="e">
        <v>#REF!</v>
      </c>
      <c r="AO92" s="93" t="e">
        <v>#REF!</v>
      </c>
      <c r="AP92" s="93" t="e">
        <v>#REF!</v>
      </c>
      <c r="AQ92" s="93"/>
      <c r="AR92" s="39" t="e">
        <f t="shared" si="76"/>
        <v>#REF!</v>
      </c>
      <c r="AS92" s="93" t="e">
        <v>#REF!</v>
      </c>
      <c r="AT92" s="93" t="e">
        <v>#REF!</v>
      </c>
      <c r="AU92" s="93" t="e">
        <v>#REF!</v>
      </c>
      <c r="AV92" s="93" t="e">
        <v>#REF!</v>
      </c>
      <c r="AW92" s="90" t="str">
        <f t="shared" si="77"/>
        <v>Non-marketed services</v>
      </c>
      <c r="AX92" s="39" t="e">
        <f t="shared" si="78"/>
        <v>#REF!</v>
      </c>
      <c r="AY92" s="93" t="e">
        <v>#REF!</v>
      </c>
      <c r="AZ92" s="93" t="e">
        <v>#REF!</v>
      </c>
      <c r="BA92" s="93" t="e">
        <v>#REF!</v>
      </c>
      <c r="BB92" s="93" t="e">
        <v>#REF!</v>
      </c>
      <c r="BD92" s="39" t="e">
        <f t="shared" si="79"/>
        <v>#REF!</v>
      </c>
      <c r="BE92" s="93" t="e">
        <v>#REF!</v>
      </c>
      <c r="BF92" s="93" t="e">
        <v>#REF!</v>
      </c>
      <c r="BG92" s="93" t="e">
        <v>#REF!</v>
      </c>
      <c r="BH92" s="93" t="e">
        <v>#REF!</v>
      </c>
      <c r="BJ92" s="39" t="e">
        <f t="shared" si="80"/>
        <v>#REF!</v>
      </c>
      <c r="BK92" s="93" t="e">
        <v>#REF!</v>
      </c>
      <c r="BL92" s="93" t="e">
        <v>#REF!</v>
      </c>
      <c r="BM92" s="93" t="e">
        <v>#REF!</v>
      </c>
      <c r="BN92" s="93" t="e">
        <v>#REF!</v>
      </c>
      <c r="BO92" s="93"/>
      <c r="BP92" s="39" t="e">
        <f t="shared" si="81"/>
        <v>#REF!</v>
      </c>
      <c r="BQ92" s="93" t="e">
        <v>#REF!</v>
      </c>
      <c r="BR92" s="93" t="e">
        <v>#REF!</v>
      </c>
      <c r="BS92" s="93" t="e">
        <v>#REF!</v>
      </c>
      <c r="BT92" s="93" t="e">
        <v>#REF!</v>
      </c>
      <c r="BU92" s="90" t="str">
        <f t="shared" si="82"/>
        <v>Non-marketed services</v>
      </c>
      <c r="BV92" s="39" t="e">
        <f t="shared" si="83"/>
        <v>#REF!</v>
      </c>
      <c r="BW92" s="93" t="e">
        <v>#REF!</v>
      </c>
      <c r="BX92" s="93" t="e">
        <v>#REF!</v>
      </c>
      <c r="BY92" s="93" t="e">
        <v>#REF!</v>
      </c>
      <c r="BZ92" s="93" t="e">
        <v>#REF!</v>
      </c>
      <c r="CB92" s="39" t="e">
        <f t="shared" si="84"/>
        <v>#REF!</v>
      </c>
      <c r="CC92" s="93" t="e">
        <v>#REF!</v>
      </c>
      <c r="CD92" s="93" t="e">
        <v>#REF!</v>
      </c>
      <c r="CE92" s="93" t="e">
        <v>#REF!</v>
      </c>
      <c r="CF92" s="93" t="e">
        <v>#REF!</v>
      </c>
      <c r="CH92" s="39" t="e">
        <f t="shared" si="85"/>
        <v>#REF!</v>
      </c>
      <c r="CI92" s="93" t="e">
        <v>#REF!</v>
      </c>
      <c r="CJ92" s="93" t="e">
        <v>#REF!</v>
      </c>
      <c r="CK92" s="93" t="e">
        <v>#REF!</v>
      </c>
      <c r="CL92" s="93" t="e">
        <v>#REF!</v>
      </c>
      <c r="CM92" s="93"/>
      <c r="CN92" s="39" t="e">
        <f t="shared" si="86"/>
        <v>#REF!</v>
      </c>
      <c r="CO92" s="93" t="e">
        <v>#REF!</v>
      </c>
      <c r="CP92" s="93" t="e">
        <v>#REF!</v>
      </c>
      <c r="CQ92" s="93" t="e">
        <v>#REF!</v>
      </c>
      <c r="CR92" s="93" t="e">
        <v>#REF!</v>
      </c>
      <c r="CS92" s="90" t="str">
        <f t="shared" si="87"/>
        <v>Non-marketed services</v>
      </c>
      <c r="CT92" s="39" t="e">
        <f t="shared" si="88"/>
        <v>#REF!</v>
      </c>
      <c r="CU92" s="93" t="e">
        <v>#REF!</v>
      </c>
      <c r="CV92" s="93" t="e">
        <v>#REF!</v>
      </c>
      <c r="CW92" s="93" t="e">
        <v>#REF!</v>
      </c>
      <c r="CX92" s="93" t="e">
        <v>#REF!</v>
      </c>
      <c r="CZ92" s="39" t="e">
        <f t="shared" si="89"/>
        <v>#REF!</v>
      </c>
      <c r="DA92" s="93" t="e">
        <v>#REF!</v>
      </c>
      <c r="DB92" s="93" t="e">
        <v>#REF!</v>
      </c>
      <c r="DC92" s="93" t="e">
        <v>#REF!</v>
      </c>
      <c r="DD92" s="93" t="e">
        <v>#REF!</v>
      </c>
      <c r="DF92" s="39" t="e">
        <f t="shared" si="90"/>
        <v>#REF!</v>
      </c>
      <c r="DG92" s="93" t="e">
        <v>#REF!</v>
      </c>
      <c r="DH92" s="93" t="e">
        <v>#REF!</v>
      </c>
      <c r="DI92" s="93" t="e">
        <v>#REF!</v>
      </c>
      <c r="DJ92" s="93" t="e">
        <v>#REF!</v>
      </c>
      <c r="DK92" s="93"/>
      <c r="DL92" s="39" t="e">
        <f t="shared" si="91"/>
        <v>#REF!</v>
      </c>
      <c r="DM92" s="93" t="e">
        <v>#REF!</v>
      </c>
      <c r="DN92" s="93" t="e">
        <v>#REF!</v>
      </c>
      <c r="DO92" s="93" t="e">
        <v>#REF!</v>
      </c>
      <c r="DP92" s="93" t="e">
        <v>#REF!</v>
      </c>
    </row>
    <row r="93" spans="1:120" x14ac:dyDescent="0.3">
      <c r="B93" s="39"/>
      <c r="C93" s="93"/>
      <c r="D93" s="93"/>
      <c r="E93" s="93"/>
      <c r="F93" s="93"/>
      <c r="H93" s="39"/>
      <c r="I93" s="93"/>
      <c r="J93" s="93"/>
      <c r="K93" s="93"/>
      <c r="L93" s="93"/>
      <c r="N93" s="39"/>
      <c r="O93" s="93"/>
      <c r="P93" s="93"/>
      <c r="Q93" s="93"/>
      <c r="R93" s="93"/>
      <c r="S93" s="93"/>
      <c r="T93" s="39"/>
      <c r="U93" s="93"/>
      <c r="V93" s="93"/>
      <c r="W93" s="93"/>
      <c r="X93" s="93"/>
      <c r="Z93" s="39"/>
      <c r="AA93" s="93"/>
      <c r="AB93" s="93"/>
      <c r="AC93" s="93"/>
      <c r="AD93" s="93"/>
      <c r="AF93" s="39"/>
      <c r="AG93" s="93"/>
      <c r="AH93" s="93"/>
      <c r="AI93" s="93"/>
      <c r="AJ93" s="93"/>
      <c r="AL93" s="39"/>
      <c r="AM93" s="93"/>
      <c r="AN93" s="93"/>
      <c r="AO93" s="93"/>
      <c r="AP93" s="93"/>
      <c r="AQ93" s="93"/>
      <c r="AR93" s="39"/>
      <c r="AS93" s="93"/>
      <c r="AT93" s="93"/>
      <c r="AU93" s="93"/>
      <c r="AV93" s="93"/>
      <c r="AX93" s="39"/>
      <c r="AY93" s="93"/>
      <c r="AZ93" s="93"/>
      <c r="BA93" s="93"/>
      <c r="BB93" s="93"/>
      <c r="BD93" s="39"/>
      <c r="BE93" s="93"/>
      <c r="BF93" s="93"/>
      <c r="BG93" s="93"/>
      <c r="BH93" s="93"/>
      <c r="BJ93" s="39"/>
      <c r="BK93" s="93"/>
      <c r="BL93" s="93"/>
      <c r="BM93" s="93"/>
      <c r="BN93" s="93"/>
      <c r="BO93" s="93"/>
      <c r="BP93" s="39"/>
      <c r="BQ93" s="93"/>
      <c r="BR93" s="93"/>
      <c r="BS93" s="93"/>
      <c r="BT93" s="93"/>
      <c r="BV93" s="39"/>
      <c r="BW93" s="93"/>
      <c r="BX93" s="93"/>
      <c r="BY93" s="93"/>
      <c r="BZ93" s="93"/>
      <c r="CB93" s="39"/>
      <c r="CC93" s="93"/>
      <c r="CD93" s="93"/>
      <c r="CE93" s="93"/>
      <c r="CF93" s="93"/>
      <c r="CH93" s="39"/>
      <c r="CI93" s="93"/>
      <c r="CJ93" s="93"/>
      <c r="CK93" s="93"/>
      <c r="CL93" s="93"/>
      <c r="CM93" s="93"/>
      <c r="CN93" s="39"/>
      <c r="CO93" s="93"/>
      <c r="CP93" s="93"/>
      <c r="CQ93" s="93"/>
      <c r="CR93" s="93"/>
      <c r="CT93" s="39"/>
      <c r="CU93" s="93"/>
      <c r="CV93" s="93"/>
      <c r="CW93" s="93"/>
      <c r="CX93" s="93"/>
      <c r="CZ93" s="39"/>
      <c r="DA93" s="93"/>
      <c r="DB93" s="93"/>
      <c r="DC93" s="93"/>
      <c r="DD93" s="93"/>
      <c r="DF93" s="39"/>
      <c r="DG93" s="93"/>
      <c r="DH93" s="93"/>
      <c r="DI93" s="93"/>
      <c r="DJ93" s="93"/>
      <c r="DK93" s="93"/>
      <c r="DL93" s="39"/>
      <c r="DM93" s="93"/>
      <c r="DN93" s="93"/>
      <c r="DO93" s="93"/>
      <c r="DP93" s="93"/>
    </row>
    <row r="94" spans="1:120" x14ac:dyDescent="0.3">
      <c r="A94" s="90" t="str">
        <f>name!C3</f>
        <v>All industries</v>
      </c>
      <c r="B94" s="39">
        <f t="shared" si="68"/>
        <v>2.7912372459239387</v>
      </c>
      <c r="C94" s="93">
        <f>C50</f>
        <v>4561.2992279926211</v>
      </c>
      <c r="D94" s="93">
        <f>D50</f>
        <v>431.97496524334053</v>
      </c>
      <c r="E94" s="93">
        <f>E50</f>
        <v>1445.5882710202891</v>
      </c>
      <c r="F94" s="93">
        <f>F50</f>
        <v>1877.5632362636297</v>
      </c>
      <c r="H94" s="39">
        <f t="shared" si="69"/>
        <v>2.6517730789267446</v>
      </c>
      <c r="I94" s="93">
        <f>I50</f>
        <v>774.77767553257945</v>
      </c>
      <c r="J94" s="93">
        <f>J50</f>
        <v>-90.9176985646708</v>
      </c>
      <c r="K94" s="93">
        <f>K50</f>
        <v>231.78692033646578</v>
      </c>
      <c r="L94" s="93">
        <f>L50</f>
        <v>140.86922177179497</v>
      </c>
      <c r="N94" s="39">
        <f t="shared" si="70"/>
        <v>2.6893242464146816</v>
      </c>
      <c r="O94" s="93">
        <f>O50</f>
        <v>1810.6123702397726</v>
      </c>
      <c r="P94" s="93">
        <f>P50</f>
        <v>208.84741372398935</v>
      </c>
      <c r="Q94" s="93">
        <f>Q50</f>
        <v>550.29225403969679</v>
      </c>
      <c r="R94" s="93">
        <f>R50</f>
        <v>759.13966776368613</v>
      </c>
      <c r="S94" s="93"/>
      <c r="T94" s="39">
        <f t="shared" si="71"/>
        <v>2.9376202991175049</v>
      </c>
      <c r="U94" s="93">
        <f>U50</f>
        <v>1975.9091822202711</v>
      </c>
      <c r="V94" s="93">
        <f>V50</f>
        <v>314.04525008402186</v>
      </c>
      <c r="W94" s="93">
        <f>W50</f>
        <v>663.50909664412427</v>
      </c>
      <c r="X94" s="93">
        <f>X50</f>
        <v>977.55434672814613</v>
      </c>
      <c r="Y94" s="91" t="str">
        <f>A94</f>
        <v>All industries</v>
      </c>
      <c r="Z94" s="39">
        <f>IF(AA94&gt;0,((1+(AC94/AA94))^(1/($A$101-$A$100))-1)*100,0)</f>
        <v>2.9771972098236787</v>
      </c>
      <c r="AA94" s="93">
        <f>AA50</f>
        <v>2141.7348734083043</v>
      </c>
      <c r="AB94" s="93">
        <f>AB50</f>
        <v>328.18012130131888</v>
      </c>
      <c r="AC94" s="93">
        <f>AC50</f>
        <v>730.21185757939747</v>
      </c>
      <c r="AD94" s="93">
        <f>AD50</f>
        <v>1058.3919788807164</v>
      </c>
      <c r="AF94" s="39">
        <f>IF(AG94&gt;0,((1+(AI94/AG94))^(1/($A$101-$A$100))-1)*100,0)</f>
        <v>3.0280155732974823</v>
      </c>
      <c r="AG94" s="93">
        <f>AG50</f>
        <v>114.36183531349347</v>
      </c>
      <c r="AH94" s="93">
        <f>AH50</f>
        <v>10.806009020856356</v>
      </c>
      <c r="AI94" s="93">
        <f>AI50</f>
        <v>39.749458273691218</v>
      </c>
      <c r="AJ94" s="93">
        <f>AJ50</f>
        <v>50.555467294547576</v>
      </c>
      <c r="AL94" s="39">
        <f>IF(AM94&gt;0,((1+(AO94/AM94))^(1/($A$101-$A$100))-1)*100,0)</f>
        <v>2.9663353480916088</v>
      </c>
      <c r="AM94" s="93">
        <f>AM50</f>
        <v>484.03376220781502</v>
      </c>
      <c r="AN94" s="93">
        <f>AN50</f>
        <v>80.752171418150368</v>
      </c>
      <c r="AO94" s="93">
        <f>AO50</f>
        <v>164.34415782441963</v>
      </c>
      <c r="AP94" s="93">
        <f>AP50</f>
        <v>245.09632924256999</v>
      </c>
      <c r="AQ94" s="93"/>
      <c r="AR94" s="39">
        <f>IF(AS94&gt;0,((1+(AU94/AS94))^(1/($A$101-$A$100))-1)*100,0)</f>
        <v>2.9768281396108875</v>
      </c>
      <c r="AS94" s="93">
        <f>AS50</f>
        <v>1543.3392758869961</v>
      </c>
      <c r="AT94" s="93">
        <f>AT50</f>
        <v>236.62194086231219</v>
      </c>
      <c r="AU94" s="93">
        <f>AU50</f>
        <v>526.11824148128676</v>
      </c>
      <c r="AV94" s="93">
        <f>AV50</f>
        <v>762.74018234359892</v>
      </c>
      <c r="AW94" s="91" t="str">
        <f>Y94</f>
        <v>All industries</v>
      </c>
      <c r="AX94" s="39">
        <f>IF(AY94&gt;0,((1+(BA94/AY94))^(1/($A$101-$A$100))-1)*100,0)</f>
        <v>2.5960689907792656</v>
      </c>
      <c r="AY94" s="93">
        <f>AY50</f>
        <v>1169.4910110900296</v>
      </c>
      <c r="AZ94" s="93">
        <f>AZ50</f>
        <v>61.012733866251224</v>
      </c>
      <c r="BA94" s="93">
        <f>BA50</f>
        <v>341.64688672572964</v>
      </c>
      <c r="BB94" s="93">
        <f>BB50</f>
        <v>402.65962059198085</v>
      </c>
      <c r="BD94" s="39">
        <f>IF(BE94&gt;0,((1+(BG94/BE94))^(1/($A$101-$A$100))-1)*100,0)</f>
        <v>2.5108134589674425</v>
      </c>
      <c r="BE94" s="93">
        <f>BE50</f>
        <v>196.77997170605971</v>
      </c>
      <c r="BF94" s="93">
        <f>BF50</f>
        <v>-19.19988351079143</v>
      </c>
      <c r="BG94" s="93">
        <f>BG50</f>
        <v>55.380896948664599</v>
      </c>
      <c r="BH94" s="93">
        <f>BH50</f>
        <v>36.181013437873169</v>
      </c>
      <c r="BJ94" s="39">
        <f>IF(BK94&gt;0,((1+(BM94/BK94))^(1/($A$101-$A$100))-1)*100,0)</f>
        <v>2.5531077119064882</v>
      </c>
      <c r="BK94" s="93">
        <f>BK50</f>
        <v>650.12175377402275</v>
      </c>
      <c r="BL94" s="93">
        <f>BL50</f>
        <v>42.192712487148434</v>
      </c>
      <c r="BM94" s="93">
        <f>BM50</f>
        <v>186.41100647521165</v>
      </c>
      <c r="BN94" s="93">
        <f>BN50</f>
        <v>228.60371896236009</v>
      </c>
      <c r="BO94" s="93"/>
      <c r="BP94" s="39">
        <f>IF(BQ94&gt;0,((1+(BS94/BQ94))^(1/($A$101-$A$100))-1)*100,0)</f>
        <v>2.7334678665663192</v>
      </c>
      <c r="BQ94" s="93">
        <f>BQ50</f>
        <v>322.58928560994713</v>
      </c>
      <c r="BR94" s="93">
        <f>BR50</f>
        <v>38.019904889894228</v>
      </c>
      <c r="BS94" s="93">
        <f>BS50</f>
        <v>99.854983301853494</v>
      </c>
      <c r="BT94" s="93">
        <f>BT50</f>
        <v>137.87488819174771</v>
      </c>
      <c r="BU94" s="91" t="str">
        <f>AW94</f>
        <v>All industries</v>
      </c>
      <c r="BV94" s="39">
        <f>IF(BW94&gt;0,((1+(BY94/BW94))^(1/($A$101-$A$100))-1)*100,0)</f>
        <v>2.5889208699682698</v>
      </c>
      <c r="BW94" s="93">
        <f>BW50</f>
        <v>786.26148565798121</v>
      </c>
      <c r="BX94" s="93">
        <f>BX50</f>
        <v>-16.768227409449015</v>
      </c>
      <c r="BY94" s="93">
        <f>BY50</f>
        <v>228.98528730973825</v>
      </c>
      <c r="BZ94" s="93">
        <f>BZ50</f>
        <v>212.21705990028923</v>
      </c>
      <c r="CB94" s="39">
        <f>IF(CC94&gt;0,((1+(CE94/CC94))^(1/($A$101-$A$100))-1)*100,0)</f>
        <v>2.5278948366694864</v>
      </c>
      <c r="CC94" s="93">
        <f>CC50</f>
        <v>257.91842111045776</v>
      </c>
      <c r="CD94" s="93">
        <f>CD50</f>
        <v>-52.179148361626908</v>
      </c>
      <c r="CE94" s="93">
        <f>CE50</f>
        <v>73.138570554183204</v>
      </c>
      <c r="CF94" s="93">
        <f>CF50</f>
        <v>20.959422192556296</v>
      </c>
      <c r="CH94" s="39">
        <f>IF(CI94&gt;0,((1+(CK94/CI94))^(1/($A$101-$A$100))-1)*100,0)</f>
        <v>2.5655949055339189</v>
      </c>
      <c r="CI94" s="93">
        <f>CI50</f>
        <v>462.50112579230256</v>
      </c>
      <c r="CJ94" s="93">
        <f>CJ50</f>
        <v>18.263082416840735</v>
      </c>
      <c r="CK94" s="93">
        <f>CK50</f>
        <v>133.33911166207648</v>
      </c>
      <c r="CL94" s="93">
        <f>CL50</f>
        <v>151.60219407891722</v>
      </c>
      <c r="CM94" s="93"/>
      <c r="CN94" s="39">
        <f>IF(CO94&gt;0,((1+(CQ94/CO94))^(1/($A$101-$A$100))-1)*100,0)</f>
        <v>2.9840981402702971</v>
      </c>
      <c r="CO94" s="93">
        <f>CO50</f>
        <v>65.841938755220539</v>
      </c>
      <c r="CP94" s="93">
        <f>CP50</f>
        <v>17.147838535337179</v>
      </c>
      <c r="CQ94" s="93">
        <f>CQ50</f>
        <v>22.507605093478684</v>
      </c>
      <c r="CR94" s="93">
        <f>CR50</f>
        <v>39.65544362881586</v>
      </c>
      <c r="CS94" s="91" t="str">
        <f>BU94</f>
        <v>All industries</v>
      </c>
      <c r="CT94" s="39">
        <f>IF(CU94&gt;0,((1+(CW94/CU94))^(1/($A$101-$A$100))-1)*100,0)</f>
        <v>2.7533233225370157</v>
      </c>
      <c r="CU94" s="93">
        <f>CU50</f>
        <v>463.81185783630696</v>
      </c>
      <c r="CV94" s="93">
        <f>CV50</f>
        <v>59.550337485219423</v>
      </c>
      <c r="CW94" s="93">
        <f>CW50</f>
        <v>144.74423940542175</v>
      </c>
      <c r="CX94" s="93">
        <f>CX50</f>
        <v>204.29457689064117</v>
      </c>
      <c r="CZ94" s="39">
        <f>IF(DA94&gt;0,((1+(DC94/DA94))^(1/($A$101-$A$100))-1)*100,0)</f>
        <v>2.7273559755584653</v>
      </c>
      <c r="DA94" s="93">
        <f>DA50</f>
        <v>205.71744740256855</v>
      </c>
      <c r="DB94" s="93">
        <f>DB50</f>
        <v>-30.344675713108767</v>
      </c>
      <c r="DC94" s="93">
        <f>DC50</f>
        <v>63.517994559926827</v>
      </c>
      <c r="DD94" s="93">
        <f>DD50</f>
        <v>33.173318846818063</v>
      </c>
      <c r="DF94" s="39">
        <f>IF(DG94&gt;0,((1+(DI94/DG94))^(1/($A$101-$A$100))-1)*100,0)</f>
        <v>2.7323553670193235</v>
      </c>
      <c r="DG94" s="93">
        <f>DG50</f>
        <v>213.95572846563186</v>
      </c>
      <c r="DH94" s="93">
        <f>DH50</f>
        <v>67.639447401849822</v>
      </c>
      <c r="DI94" s="93">
        <f>DI50</f>
        <v>66.197978077989319</v>
      </c>
      <c r="DJ94" s="93">
        <f>DJ50</f>
        <v>133.83742547983914</v>
      </c>
      <c r="DK94" s="93"/>
      <c r="DL94" s="39">
        <f>IF(DM94&gt;0,((1+(DO94/DM94))^(1/($A$101-$A$100))-1)*100,0)</f>
        <v>2.9736201868302725</v>
      </c>
      <c r="DM94" s="93">
        <f>DM50</f>
        <v>44.13868196810671</v>
      </c>
      <c r="DN94" s="93">
        <f>DN50</f>
        <v>22.25556579647839</v>
      </c>
      <c r="DO94" s="93">
        <f>DO50</f>
        <v>15.028266767505601</v>
      </c>
      <c r="DP94" s="93">
        <f>DP50</f>
        <v>37.283832563983992</v>
      </c>
    </row>
    <row r="95" spans="1:120" x14ac:dyDescent="0.3">
      <c r="A95" s="95"/>
      <c r="B95" s="111"/>
      <c r="C95" s="111"/>
      <c r="D95" s="111"/>
      <c r="E95" s="111"/>
      <c r="F95" s="111"/>
      <c r="G95" s="95"/>
      <c r="H95" s="111"/>
      <c r="I95" s="111"/>
      <c r="J95" s="111"/>
      <c r="K95" s="111"/>
      <c r="L95" s="111"/>
      <c r="M95" s="95"/>
      <c r="N95" s="95"/>
      <c r="O95" s="111"/>
      <c r="P95" s="111"/>
      <c r="Q95" s="111"/>
      <c r="R95" s="111"/>
      <c r="S95" s="111"/>
      <c r="T95" s="95"/>
      <c r="U95" s="111"/>
      <c r="V95" s="111"/>
      <c r="W95" s="111"/>
      <c r="X95" s="111"/>
      <c r="Y95" s="95"/>
      <c r="Z95" s="111"/>
      <c r="AA95" s="111"/>
      <c r="AB95" s="111"/>
      <c r="AC95" s="111"/>
      <c r="AD95" s="111"/>
      <c r="AE95" s="95"/>
      <c r="AF95" s="111"/>
      <c r="AG95" s="111"/>
      <c r="AH95" s="111"/>
      <c r="AI95" s="111"/>
      <c r="AJ95" s="111"/>
      <c r="AK95" s="95"/>
      <c r="AL95" s="95"/>
      <c r="AM95" s="111"/>
      <c r="AN95" s="111"/>
      <c r="AO95" s="111"/>
      <c r="AP95" s="111"/>
      <c r="AQ95" s="111"/>
      <c r="AR95" s="95"/>
      <c r="AS95" s="111"/>
      <c r="AT95" s="111"/>
      <c r="AU95" s="111"/>
      <c r="AV95" s="111"/>
      <c r="AW95" s="95"/>
      <c r="AX95" s="111"/>
      <c r="AY95" s="111"/>
      <c r="AZ95" s="111"/>
      <c r="BA95" s="111"/>
      <c r="BB95" s="111"/>
      <c r="BC95" s="95"/>
      <c r="BD95" s="111"/>
      <c r="BE95" s="111"/>
      <c r="BF95" s="111"/>
      <c r="BG95" s="111"/>
      <c r="BH95" s="111"/>
      <c r="BI95" s="95"/>
      <c r="BJ95" s="95"/>
      <c r="BK95" s="111"/>
      <c r="BL95" s="111"/>
      <c r="BM95" s="111"/>
      <c r="BN95" s="111"/>
      <c r="BO95" s="111"/>
      <c r="BP95" s="95"/>
      <c r="BQ95" s="111"/>
      <c r="BR95" s="111"/>
      <c r="BS95" s="111"/>
      <c r="BT95" s="111"/>
      <c r="BU95" s="95"/>
      <c r="BV95" s="111"/>
      <c r="BW95" s="111"/>
      <c r="BX95" s="111"/>
      <c r="BY95" s="111"/>
      <c r="BZ95" s="111"/>
      <c r="CA95" s="95"/>
      <c r="CB95" s="111"/>
      <c r="CC95" s="111"/>
      <c r="CD95" s="111"/>
      <c r="CE95" s="111"/>
      <c r="CF95" s="111"/>
      <c r="CG95" s="95"/>
      <c r="CH95" s="95"/>
      <c r="CI95" s="111"/>
      <c r="CJ95" s="111"/>
      <c r="CK95" s="111"/>
      <c r="CL95" s="111"/>
      <c r="CM95" s="111"/>
      <c r="CN95" s="95"/>
      <c r="CO95" s="111"/>
      <c r="CP95" s="111"/>
      <c r="CQ95" s="111"/>
      <c r="CR95" s="111"/>
      <c r="CS95" s="95"/>
      <c r="CT95" s="111"/>
      <c r="CU95" s="111"/>
      <c r="CV95" s="111"/>
      <c r="CW95" s="111"/>
      <c r="CX95" s="111"/>
      <c r="CY95" s="95"/>
      <c r="CZ95" s="111"/>
      <c r="DA95" s="111"/>
      <c r="DB95" s="111"/>
      <c r="DC95" s="111"/>
      <c r="DD95" s="111"/>
      <c r="DE95" s="95"/>
      <c r="DF95" s="95"/>
      <c r="DG95" s="111"/>
      <c r="DH95" s="111"/>
      <c r="DI95" s="111"/>
      <c r="DJ95" s="111"/>
      <c r="DK95" s="111"/>
      <c r="DL95" s="95"/>
      <c r="DM95" s="111"/>
      <c r="DN95" s="111"/>
      <c r="DO95" s="111"/>
      <c r="DP95" s="111"/>
    </row>
    <row r="96" spans="1:120" x14ac:dyDescent="0.3">
      <c r="A96" s="90" t="str">
        <f ca="1">CELL("filename")</f>
        <v>https://educationgovuk.sharepoint.com/sites/UnitforFutureSkills/Shared Documents/Research Projects/R007 Skills Imperative 2035 revised projections/Projections/Regional_national/Main tables/[EE_MainTables.Main.xlsm]RD T1</v>
      </c>
      <c r="Y96" s="90" t="str">
        <f ca="1">CELL("filename")</f>
        <v>https://educationgovuk.sharepoint.com/sites/UnitforFutureSkills/Shared Documents/Research Projects/R007 Skills Imperative 2035 revised projections/Projections/Regional_national/Main tables/[EE_MainTables.Main.xlsm]RD T1</v>
      </c>
      <c r="AW96" s="90" t="str">
        <f ca="1">CELL("filename")</f>
        <v>https://educationgovuk.sharepoint.com/sites/UnitforFutureSkills/Shared Documents/Research Projects/R007 Skills Imperative 2035 revised projections/Projections/Regional_national/Main tables/[EE_MainTables.Main.xlsm]RD T1</v>
      </c>
      <c r="BU96" s="90" t="str">
        <f ca="1">CELL("filename")</f>
        <v>https://educationgovuk.sharepoint.com/sites/UnitforFutureSkills/Shared Documents/Research Projects/R007 Skills Imperative 2035 revised projections/Projections/Regional_national/Main tables/[EE_MainTables.Main.xlsm]RD T1</v>
      </c>
      <c r="CS96" s="90" t="str">
        <f ca="1">CELL("filename")</f>
        <v>https://educationgovuk.sharepoint.com/sites/UnitforFutureSkills/Shared Documents/Research Projects/R007 Skills Imperative 2035 revised projections/Projections/Regional_national/Main tables/[EE_MainTables.Main.xlsm]RD T1</v>
      </c>
    </row>
    <row r="99" spans="1:1" x14ac:dyDescent="0.3">
      <c r="A99" s="90" t="s">
        <v>45</v>
      </c>
    </row>
    <row r="100" spans="1:1" x14ac:dyDescent="0.3">
      <c r="A100" s="90">
        <v>2015</v>
      </c>
    </row>
    <row r="101" spans="1:1" x14ac:dyDescent="0.3">
      <c r="A101" s="90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5234375" defaultRowHeight="12.45" x14ac:dyDescent="0.3"/>
  <cols>
    <col min="1" max="1" width="50.69140625" style="129" customWidth="1"/>
    <col min="2" max="2" width="13" style="129" customWidth="1"/>
    <col min="3" max="3" width="9.69140625" style="129" customWidth="1"/>
    <col min="4" max="4" width="10.15234375" style="129" customWidth="1"/>
    <col min="5" max="5" width="13" style="129" customWidth="1"/>
    <col min="6" max="6" width="9.69140625" style="129" customWidth="1"/>
    <col min="7" max="7" width="3.69140625" style="129" customWidth="1"/>
    <col min="8" max="9" width="10.15234375" style="129" customWidth="1"/>
    <col min="10" max="10" width="3.69140625" style="129" customWidth="1"/>
    <col min="11" max="12" width="10.15234375" style="129" customWidth="1"/>
    <col min="13" max="13" width="3.69140625" style="129" customWidth="1"/>
    <col min="14" max="14" width="11.4609375" style="129" customWidth="1"/>
    <col min="15" max="15" width="10.15234375" style="129" customWidth="1"/>
    <col min="16" max="16" width="3.69140625" style="129" customWidth="1"/>
    <col min="17" max="18" width="10.15234375" style="129" customWidth="1"/>
    <col min="19" max="19" width="2.4609375" style="129" customWidth="1"/>
    <col min="20" max="22" width="13" style="129" customWidth="1"/>
    <col min="23" max="23" width="23.23046875" style="129" customWidth="1"/>
    <col min="24" max="24" width="9.15234375" style="129"/>
    <col min="25" max="25" width="12.23046875" style="129" customWidth="1"/>
    <col min="26" max="26" width="10.84375" style="129" customWidth="1"/>
    <col min="27" max="27" width="8.15234375" style="129" customWidth="1"/>
    <col min="28" max="28" width="8" style="129" customWidth="1"/>
    <col min="29" max="16384" width="9.15234375" style="129"/>
  </cols>
  <sheetData>
    <row r="1" spans="1:32" ht="12.75" customHeight="1" x14ac:dyDescent="0.3">
      <c r="A1" s="127" t="e">
        <f>CONCATENATE("Table 4.6  Shift-share by industry, ",I3)</f>
        <v>#REF!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</row>
    <row r="2" spans="1:32" ht="12.75" customHeight="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384" t="s">
        <v>53</v>
      </c>
      <c r="L2" s="384"/>
      <c r="M2" s="384"/>
      <c r="N2" s="384"/>
      <c r="O2" s="384"/>
      <c r="P2" s="384"/>
      <c r="Q2" s="384"/>
      <c r="R2" s="384"/>
      <c r="S2" s="191"/>
      <c r="T2" s="191"/>
      <c r="U2" s="128"/>
    </row>
    <row r="3" spans="1:32" ht="12.75" customHeight="1" x14ac:dyDescent="0.3">
      <c r="A3" s="128"/>
      <c r="B3" s="130" t="s">
        <v>54</v>
      </c>
      <c r="C3" s="131" t="e">
        <f>#REF!</f>
        <v>#REF!</v>
      </c>
      <c r="D3" s="127"/>
      <c r="E3" s="130" t="s">
        <v>55</v>
      </c>
      <c r="F3" s="131" t="e">
        <f>#REF!</f>
        <v>#REF!</v>
      </c>
      <c r="G3" s="127"/>
      <c r="H3" s="130" t="s">
        <v>18</v>
      </c>
      <c r="I3" s="130" t="e">
        <f>CONCATENATE(C3,"-",F3)</f>
        <v>#REF!</v>
      </c>
      <c r="J3" s="127"/>
      <c r="K3" s="385" t="s">
        <v>56</v>
      </c>
      <c r="L3" s="385"/>
      <c r="M3" s="127"/>
      <c r="N3" s="386" t="s">
        <v>69</v>
      </c>
      <c r="O3" s="386"/>
      <c r="P3" s="127"/>
      <c r="Q3" s="386" t="s">
        <v>68</v>
      </c>
      <c r="R3" s="386"/>
      <c r="S3" s="191"/>
      <c r="T3" s="192" t="s">
        <v>72</v>
      </c>
      <c r="U3" s="152" t="s">
        <v>71</v>
      </c>
      <c r="V3" s="159"/>
      <c r="AA3" s="159"/>
      <c r="AD3" s="159"/>
    </row>
    <row r="4" spans="1:32" ht="12.75" customHeight="1" x14ac:dyDescent="0.3">
      <c r="A4" s="132" t="s">
        <v>59</v>
      </c>
      <c r="B4" s="133" t="s">
        <v>60</v>
      </c>
      <c r="C4" s="133" t="s">
        <v>61</v>
      </c>
      <c r="D4" s="127"/>
      <c r="E4" s="133" t="str">
        <f>B4</f>
        <v>000s</v>
      </c>
      <c r="F4" s="133" t="str">
        <f>C4</f>
        <v>% share</v>
      </c>
      <c r="G4" s="127"/>
      <c r="H4" s="133" t="str">
        <f>E4</f>
        <v>000s</v>
      </c>
      <c r="I4" s="133" t="s">
        <v>62</v>
      </c>
      <c r="J4" s="127"/>
      <c r="K4" s="133" t="str">
        <f>H4</f>
        <v>000s</v>
      </c>
      <c r="L4" s="133" t="str">
        <f>I4</f>
        <v xml:space="preserve">%   </v>
      </c>
      <c r="M4" s="127"/>
      <c r="N4" s="133" t="str">
        <f>K4</f>
        <v>000s</v>
      </c>
      <c r="O4" s="133" t="str">
        <f>L4</f>
        <v xml:space="preserve">%   </v>
      </c>
      <c r="P4" s="127"/>
      <c r="Q4" s="133" t="str">
        <f>N4</f>
        <v>000s</v>
      </c>
      <c r="R4" s="133" t="str">
        <f>O4</f>
        <v xml:space="preserve">%   </v>
      </c>
      <c r="S4" s="153"/>
      <c r="T4" s="133"/>
      <c r="U4" s="165"/>
      <c r="V4" s="159"/>
      <c r="W4" s="167"/>
      <c r="Y4" s="160"/>
      <c r="Z4" s="160"/>
      <c r="AA4" s="159"/>
      <c r="AB4" s="160"/>
      <c r="AC4" s="159"/>
    </row>
    <row r="5" spans="1:32" ht="12.75" customHeight="1" x14ac:dyDescent="0.3">
      <c r="A5" s="132"/>
      <c r="B5" s="130"/>
      <c r="C5" s="158"/>
      <c r="D5" s="127" t="s">
        <v>70</v>
      </c>
      <c r="E5" s="130"/>
      <c r="F5" s="158"/>
      <c r="G5" s="127"/>
      <c r="H5" s="130"/>
      <c r="I5" s="130"/>
      <c r="J5" s="127"/>
      <c r="K5" s="130"/>
      <c r="L5" s="130"/>
      <c r="M5" s="127"/>
      <c r="N5" s="130"/>
      <c r="O5" s="130"/>
      <c r="P5" s="127"/>
      <c r="Q5" s="158"/>
      <c r="R5" s="158"/>
      <c r="S5" s="133"/>
      <c r="T5" s="133"/>
      <c r="U5" s="154"/>
      <c r="V5" s="159"/>
      <c r="W5" s="135"/>
    </row>
    <row r="6" spans="1:32" x14ac:dyDescent="0.3">
      <c r="A6" s="35" t="str">
        <f>name!A4</f>
        <v>Agriculture, etc</v>
      </c>
      <c r="B6" s="149">
        <v>290.31999999994002</v>
      </c>
      <c r="C6" s="140">
        <v>0.93859557238401636</v>
      </c>
      <c r="D6" s="163">
        <v>100</v>
      </c>
      <c r="E6" s="149">
        <v>302.0150000000844</v>
      </c>
      <c r="F6" s="140">
        <v>0.90967729595909619</v>
      </c>
      <c r="G6" s="145"/>
      <c r="H6" s="149">
        <v>11.695000000144354</v>
      </c>
      <c r="I6" s="141">
        <v>4.0283135850601992</v>
      </c>
      <c r="J6" s="145"/>
      <c r="K6" s="149">
        <v>21.295935731168065</v>
      </c>
      <c r="L6" s="141">
        <v>7.3353319547990026</v>
      </c>
      <c r="M6" s="145"/>
      <c r="N6" s="149">
        <v>-0.65613111154677028</v>
      </c>
      <c r="O6" s="141">
        <v>-0.22600272511260189</v>
      </c>
      <c r="P6" s="145"/>
      <c r="Q6" s="150">
        <v>-8.9448046194769404</v>
      </c>
      <c r="R6" s="140">
        <v>-3.0810156446262016</v>
      </c>
      <c r="S6" s="140"/>
      <c r="T6" s="161">
        <v>290.31999999994002</v>
      </c>
      <c r="U6" s="162">
        <v>302.0150000000844</v>
      </c>
      <c r="V6" s="168"/>
      <c r="Y6" s="134"/>
      <c r="Z6" s="150"/>
      <c r="AA6" s="150"/>
      <c r="AB6" s="134"/>
      <c r="AC6" s="150"/>
      <c r="AE6" s="134"/>
      <c r="AF6" s="150"/>
    </row>
    <row r="7" spans="1:32" x14ac:dyDescent="0.3">
      <c r="A7" t="str">
        <f>name!A5</f>
        <v>Coal, oil &amp; gas; Mining &amp; related</v>
      </c>
      <c r="B7" s="150">
        <v>12.074999999997509</v>
      </c>
      <c r="C7" s="140">
        <v>3.9038101186749101E-2</v>
      </c>
      <c r="D7" s="164">
        <v>100</v>
      </c>
      <c r="E7" s="150">
        <v>12.334000000003453</v>
      </c>
      <c r="F7" s="140">
        <v>3.715033944790655E-2</v>
      </c>
      <c r="H7" s="150">
        <v>0.25900000000594448</v>
      </c>
      <c r="I7" s="140">
        <v>2.1449275362815561</v>
      </c>
      <c r="K7" s="150">
        <v>0.88574133354179663</v>
      </c>
      <c r="L7" s="140">
        <v>7.3353319547990017</v>
      </c>
      <c r="N7" s="150">
        <v>-4.283170925688029E-2</v>
      </c>
      <c r="O7" s="140">
        <v>-0.35471394829721842</v>
      </c>
      <c r="Q7" s="150">
        <v>-0.58390962427897186</v>
      </c>
      <c r="R7" s="140">
        <v>-4.8356904702202259</v>
      </c>
      <c r="S7" s="140"/>
      <c r="T7" s="161">
        <v>12.074999999997509</v>
      </c>
      <c r="U7" s="162">
        <v>12.334000000003453</v>
      </c>
      <c r="V7" s="168"/>
      <c r="W7" s="135"/>
      <c r="Y7" s="134"/>
      <c r="Z7" s="150"/>
      <c r="AA7" s="150"/>
      <c r="AB7" s="134"/>
      <c r="AC7" s="150"/>
      <c r="AE7" s="134"/>
      <c r="AF7" s="150"/>
    </row>
    <row r="8" spans="1:32" x14ac:dyDescent="0.3">
      <c r="A8" t="str">
        <f>name!A6</f>
        <v>Food products</v>
      </c>
      <c r="B8" s="150">
        <v>10.050999999997924</v>
      </c>
      <c r="C8" s="140">
        <v>3.2494571844970191E-2</v>
      </c>
      <c r="D8" s="164">
        <v>100</v>
      </c>
      <c r="E8" s="150">
        <v>9.1810000000025642</v>
      </c>
      <c r="F8" s="140">
        <v>2.7653418718277107E-2</v>
      </c>
      <c r="H8" s="150">
        <v>-0.86999999999535793</v>
      </c>
      <c r="I8" s="140">
        <v>-8.6558551387477642</v>
      </c>
      <c r="K8" s="150">
        <v>0.7372742147766953</v>
      </c>
      <c r="L8" s="140">
        <v>7.3353319547990017</v>
      </c>
      <c r="N8" s="150">
        <v>-0.1098416494645672</v>
      </c>
      <c r="O8" s="140">
        <v>-1.0928429953695145</v>
      </c>
      <c r="Q8" s="150">
        <v>-1.497432565307486</v>
      </c>
      <c r="R8" s="140">
        <v>-14.898344098177249</v>
      </c>
      <c r="S8" s="140"/>
      <c r="T8" s="161">
        <v>10.050999999997924</v>
      </c>
      <c r="U8" s="162">
        <v>9.1810000000025642</v>
      </c>
      <c r="V8" s="168"/>
      <c r="Y8" s="134"/>
      <c r="Z8" s="150"/>
      <c r="AA8" s="150"/>
      <c r="AB8" s="134"/>
      <c r="AC8" s="150"/>
      <c r="AE8" s="134"/>
      <c r="AF8" s="150"/>
    </row>
    <row r="9" spans="1:32" x14ac:dyDescent="0.3">
      <c r="A9" t="str">
        <f>name!A7</f>
        <v>Beverages and tobacco</v>
      </c>
      <c r="B9" s="150">
        <v>2.1699999999991144</v>
      </c>
      <c r="C9" s="140">
        <v>7.0155428219650902E-3</v>
      </c>
      <c r="D9" s="164">
        <v>100</v>
      </c>
      <c r="E9" s="150">
        <v>1.1269999999995304</v>
      </c>
      <c r="F9" s="140">
        <v>3.3945542855327972E-3</v>
      </c>
      <c r="H9" s="150">
        <v>-1.042999999999584</v>
      </c>
      <c r="I9" s="140">
        <v>-48.064516129032704</v>
      </c>
      <c r="K9" s="150">
        <v>0.15917670341907339</v>
      </c>
      <c r="L9" s="140">
        <v>7.3353319547990026</v>
      </c>
      <c r="N9" s="150">
        <v>-8.2157152051436144E-2</v>
      </c>
      <c r="O9" s="140">
        <v>-3.786043873339616</v>
      </c>
      <c r="Q9" s="150">
        <v>-1.1200195513672213</v>
      </c>
      <c r="R9" s="140">
        <v>-51.613804210492084</v>
      </c>
      <c r="S9" s="140"/>
      <c r="T9" s="161">
        <v>2.1699999999991144</v>
      </c>
      <c r="U9" s="162">
        <v>1.1269999999995304</v>
      </c>
      <c r="V9" s="168"/>
      <c r="W9" s="135"/>
      <c r="Y9" s="134"/>
      <c r="Z9" s="150"/>
      <c r="AA9" s="150"/>
      <c r="AB9" s="134"/>
      <c r="AC9" s="150"/>
      <c r="AE9" s="134"/>
      <c r="AF9" s="150"/>
    </row>
    <row r="10" spans="1:32" x14ac:dyDescent="0.3">
      <c r="A10" t="str">
        <f>name!A8</f>
        <v>Textiles</v>
      </c>
      <c r="B10" s="150">
        <v>11.083999999995481</v>
      </c>
      <c r="C10" s="140">
        <v>3.5834228865742432E-2</v>
      </c>
      <c r="D10" s="164">
        <v>100</v>
      </c>
      <c r="E10" s="150">
        <v>7.2319999999969857</v>
      </c>
      <c r="F10" s="140">
        <v>2.1782978343365737E-2</v>
      </c>
      <c r="H10" s="150">
        <v>-3.851999999998494</v>
      </c>
      <c r="I10" s="140">
        <v>-34.75279682425176</v>
      </c>
      <c r="K10" s="150">
        <v>0.81304819386958971</v>
      </c>
      <c r="L10" s="140">
        <v>7.3353319547989999</v>
      </c>
      <c r="N10" s="150">
        <v>-0.31881093078995182</v>
      </c>
      <c r="O10" s="140">
        <v>-2.8763165895893343</v>
      </c>
      <c r="Q10" s="150">
        <v>-4.3462372630781321</v>
      </c>
      <c r="R10" s="140">
        <v>-39.211812189461426</v>
      </c>
      <c r="S10" s="140"/>
      <c r="T10" s="161">
        <v>11.083999999995481</v>
      </c>
      <c r="U10" s="162">
        <v>7.2319999999969857</v>
      </c>
      <c r="V10" s="168"/>
      <c r="Y10" s="134"/>
      <c r="Z10" s="150"/>
      <c r="AA10" s="150"/>
      <c r="AB10" s="134"/>
      <c r="AC10" s="150"/>
      <c r="AE10" s="134"/>
      <c r="AF10" s="150"/>
    </row>
    <row r="11" spans="1:32" x14ac:dyDescent="0.3">
      <c r="A11" t="str">
        <f>name!A9</f>
        <v>Wearing apparel; Leather, etc</v>
      </c>
      <c r="B11" s="150">
        <v>37.589999999984677</v>
      </c>
      <c r="C11" s="140">
        <v>0.12152730630307274</v>
      </c>
      <c r="D11" s="164">
        <v>100</v>
      </c>
      <c r="E11" s="150">
        <v>29.919999999987525</v>
      </c>
      <c r="F11" s="140">
        <v>9.0119844031181243E-2</v>
      </c>
      <c r="H11" s="150">
        <v>-7.6699999999971515</v>
      </c>
      <c r="I11" s="140">
        <v>-20.404362862464161</v>
      </c>
      <c r="K11" s="150">
        <v>2.7573512818078205</v>
      </c>
      <c r="L11" s="140">
        <v>7.3353319547990017</v>
      </c>
      <c r="N11" s="150">
        <v>-0.7126086226066608</v>
      </c>
      <c r="O11" s="140">
        <v>-1.8957398845622542</v>
      </c>
      <c r="Q11" s="150">
        <v>-9.7147426591983113</v>
      </c>
      <c r="R11" s="140">
        <v>-25.843954932700907</v>
      </c>
      <c r="S11" s="140"/>
      <c r="T11" s="161">
        <v>37.589999999984677</v>
      </c>
      <c r="U11" s="162">
        <v>29.919999999987525</v>
      </c>
      <c r="V11" s="168"/>
      <c r="W11" s="135"/>
      <c r="Y11" s="134"/>
      <c r="Z11" s="150"/>
      <c r="AA11" s="150"/>
      <c r="AB11" s="134"/>
      <c r="AC11" s="150"/>
      <c r="AE11" s="134"/>
      <c r="AF11" s="150"/>
    </row>
    <row r="12" spans="1:32" x14ac:dyDescent="0.3">
      <c r="A12" t="str">
        <f>name!A10</f>
        <v xml:space="preserve">Wood and cork </v>
      </c>
      <c r="B12" s="150">
        <v>395.97300000001809</v>
      </c>
      <c r="C12" s="140">
        <v>1.2801684506190061</v>
      </c>
      <c r="D12" s="164">
        <v>100</v>
      </c>
      <c r="E12" s="150">
        <v>368.47099999980418</v>
      </c>
      <c r="F12" s="140">
        <v>1.1098445538104806</v>
      </c>
      <c r="H12" s="150">
        <v>-27.502000000213915</v>
      </c>
      <c r="I12" s="140">
        <v>-6.945423046574553</v>
      </c>
      <c r="K12" s="150">
        <v>29.045934001377578</v>
      </c>
      <c r="L12" s="140">
        <v>7.3353319547990017</v>
      </c>
      <c r="N12" s="150">
        <v>-3.864504443275159</v>
      </c>
      <c r="O12" s="140">
        <v>-0.97595150257087782</v>
      </c>
      <c r="Q12" s="150">
        <v>-52.683429558316334</v>
      </c>
      <c r="R12" s="140">
        <v>-13.304803498802679</v>
      </c>
      <c r="S12" s="140"/>
      <c r="T12" s="161">
        <v>395.97300000001809</v>
      </c>
      <c r="U12" s="162">
        <v>368.47099999980418</v>
      </c>
      <c r="V12" s="168"/>
      <c r="Y12" s="134"/>
      <c r="Z12" s="150"/>
      <c r="AA12" s="150"/>
      <c r="AB12" s="134"/>
      <c r="AC12" s="150"/>
      <c r="AE12" s="134"/>
      <c r="AF12" s="150"/>
    </row>
    <row r="13" spans="1:32" x14ac:dyDescent="0.3">
      <c r="A13" t="str">
        <f>name!A11</f>
        <v>Paper, etc</v>
      </c>
      <c r="B13" s="150">
        <v>75.845999999976854</v>
      </c>
      <c r="C13" s="140">
        <v>0.24520776998839583</v>
      </c>
      <c r="D13" s="164">
        <v>100</v>
      </c>
      <c r="E13" s="150">
        <v>49.305999999976621</v>
      </c>
      <c r="F13" s="140">
        <v>0.14851099698533315</v>
      </c>
      <c r="H13" s="150">
        <v>-26.540000000000227</v>
      </c>
      <c r="I13" s="140">
        <v>-34.991957387348478</v>
      </c>
      <c r="K13" s="150">
        <v>5.5635558744351528</v>
      </c>
      <c r="L13" s="140">
        <v>7.3353319547990017</v>
      </c>
      <c r="N13" s="150">
        <v>-2.1939675871835931</v>
      </c>
      <c r="O13" s="140">
        <v>-2.8926609012792532</v>
      </c>
      <c r="Q13" s="150">
        <v>-29.909588287251786</v>
      </c>
      <c r="R13" s="140">
        <v>-39.434628440868224</v>
      </c>
      <c r="S13" s="140"/>
      <c r="T13" s="161">
        <v>75.845999999976854</v>
      </c>
      <c r="U13" s="162">
        <v>49.305999999976621</v>
      </c>
      <c r="V13" s="168"/>
      <c r="Y13" s="134"/>
      <c r="Z13" s="150"/>
      <c r="AA13" s="150"/>
      <c r="AB13" s="134"/>
      <c r="AC13" s="150"/>
      <c r="AE13" s="134"/>
      <c r="AF13" s="150"/>
    </row>
    <row r="14" spans="1:32" x14ac:dyDescent="0.3">
      <c r="A14" t="str">
        <f>name!A12</f>
        <v>Printing and recording</v>
      </c>
      <c r="B14" s="150">
        <v>73.1450000000373</v>
      </c>
      <c r="C14" s="140">
        <v>0.2364755206051187</v>
      </c>
      <c r="D14" s="164">
        <v>100</v>
      </c>
      <c r="E14" s="150">
        <v>122.94699999997626</v>
      </c>
      <c r="F14" s="140">
        <v>0.37031966791791843</v>
      </c>
      <c r="H14" s="150">
        <v>49.801999999938957</v>
      </c>
      <c r="I14" s="140">
        <v>68.086677148012257</v>
      </c>
      <c r="K14" s="150">
        <v>5.3654285583404651</v>
      </c>
      <c r="L14" s="140">
        <v>7.3353319547989999</v>
      </c>
      <c r="N14" s="150">
        <v>3.0368099350038165</v>
      </c>
      <c r="O14" s="140">
        <v>4.1517669492135729</v>
      </c>
      <c r="Q14" s="150">
        <v>41.399761506594672</v>
      </c>
      <c r="R14" s="140">
        <v>56.599578243999673</v>
      </c>
      <c r="S14" s="140"/>
      <c r="T14" s="161">
        <v>73.1450000000373</v>
      </c>
      <c r="U14" s="162">
        <v>122.94699999997626</v>
      </c>
      <c r="V14" s="168"/>
      <c r="Y14" s="134"/>
      <c r="Z14" s="150"/>
      <c r="AA14" s="150"/>
      <c r="AB14" s="134"/>
      <c r="AC14" s="150"/>
      <c r="AE14" s="134"/>
      <c r="AF14" s="150"/>
    </row>
    <row r="15" spans="1:32" x14ac:dyDescent="0.3">
      <c r="A15" t="str">
        <f>name!A13</f>
        <v>Coke and petroleum; Chemicals, etc</v>
      </c>
      <c r="B15" s="150">
        <v>80.073000000040807</v>
      </c>
      <c r="C15" s="140">
        <v>0.25887353013074937</v>
      </c>
      <c r="D15" s="164">
        <v>100</v>
      </c>
      <c r="E15" s="150">
        <v>72.98899999998595</v>
      </c>
      <c r="F15" s="140">
        <v>0.2198448294115429</v>
      </c>
      <c r="H15" s="150">
        <v>-7.0840000000548606</v>
      </c>
      <c r="I15" s="140">
        <v>-8.846927179013214</v>
      </c>
      <c r="K15" s="150">
        <v>5.873620356169198</v>
      </c>
      <c r="L15" s="140">
        <v>7.3353319547990017</v>
      </c>
      <c r="N15" s="150">
        <v>-0.88552804492364956</v>
      </c>
      <c r="O15" s="140">
        <v>-1.1059009215630717</v>
      </c>
      <c r="Q15" s="150">
        <v>-12.072092311300409</v>
      </c>
      <c r="R15" s="140">
        <v>-15.076358212249144</v>
      </c>
      <c r="S15" s="140"/>
      <c r="T15" s="161">
        <v>80.073000000040807</v>
      </c>
      <c r="U15" s="162">
        <v>72.98899999998595</v>
      </c>
      <c r="V15" s="168"/>
      <c r="Y15" s="134"/>
      <c r="Z15" s="150"/>
      <c r="AA15" s="150"/>
      <c r="AB15" s="134"/>
      <c r="AC15" s="150"/>
      <c r="AE15" s="134"/>
      <c r="AF15" s="150"/>
    </row>
    <row r="16" spans="1:32" x14ac:dyDescent="0.3">
      <c r="A16" t="str">
        <f>name!A14</f>
        <v>Pharmaceuticals</v>
      </c>
      <c r="B16" s="150">
        <v>104.71500000005337</v>
      </c>
      <c r="C16" s="140">
        <v>0.33854035327315601</v>
      </c>
      <c r="D16" s="164">
        <v>100</v>
      </c>
      <c r="E16" s="150">
        <v>86.702999999983263</v>
      </c>
      <c r="F16" s="140">
        <v>0.26115176594375861</v>
      </c>
      <c r="H16" s="150">
        <v>-18.012000000070095</v>
      </c>
      <c r="I16" s="140">
        <v>-17.200974072540628</v>
      </c>
      <c r="K16" s="150">
        <v>7.6811928564716885</v>
      </c>
      <c r="L16" s="140">
        <v>7.3353319547990017</v>
      </c>
      <c r="N16" s="150">
        <v>-1.7558812662057193</v>
      </c>
      <c r="O16" s="140">
        <v>-1.6768192390821033</v>
      </c>
      <c r="Q16" s="150">
        <v>-23.937311590336066</v>
      </c>
      <c r="R16" s="140">
        <v>-22.859486788257524</v>
      </c>
      <c r="S16" s="140"/>
      <c r="T16" s="161">
        <v>104.71500000005337</v>
      </c>
      <c r="U16" s="162">
        <v>86.702999999983263</v>
      </c>
      <c r="V16" s="168"/>
      <c r="Y16" s="134"/>
      <c r="Z16" s="150"/>
      <c r="AA16" s="150"/>
      <c r="AB16" s="134"/>
      <c r="AC16" s="150"/>
      <c r="AE16" s="134"/>
      <c r="AF16" s="150"/>
    </row>
    <row r="17" spans="1:32" x14ac:dyDescent="0.3">
      <c r="A17" t="str">
        <f>name!A15</f>
        <v>Rubber and plastic</v>
      </c>
      <c r="B17" s="150">
        <v>11.055999999985691</v>
      </c>
      <c r="C17" s="140">
        <v>3.5743705732524098E-2</v>
      </c>
      <c r="D17" s="164">
        <v>100</v>
      </c>
      <c r="E17" s="150">
        <v>18.25699999999954</v>
      </c>
      <c r="F17" s="140">
        <v>5.4990574614903753E-2</v>
      </c>
      <c r="H17" s="150">
        <v>7.2010000000138481</v>
      </c>
      <c r="I17" s="140">
        <v>65.132054992973664</v>
      </c>
      <c r="K17" s="150">
        <v>0.81099430092152791</v>
      </c>
      <c r="L17" s="140">
        <v>7.3353319547990017</v>
      </c>
      <c r="N17" s="150">
        <v>0.43669509510288052</v>
      </c>
      <c r="O17" s="140">
        <v>3.9498470975347839</v>
      </c>
      <c r="Q17" s="150">
        <v>5.9533106039894399</v>
      </c>
      <c r="R17" s="140">
        <v>53.846875940639883</v>
      </c>
      <c r="S17" s="140"/>
      <c r="T17" s="161">
        <v>11.055999999985691</v>
      </c>
      <c r="U17" s="162">
        <v>18.25699999999954</v>
      </c>
      <c r="V17" s="168"/>
      <c r="Y17" s="134"/>
      <c r="Z17" s="150"/>
      <c r="AA17" s="150"/>
      <c r="AB17" s="134"/>
      <c r="AC17" s="150"/>
      <c r="AE17" s="134"/>
      <c r="AF17" s="150"/>
    </row>
    <row r="18" spans="1:32" x14ac:dyDescent="0.3">
      <c r="A18" t="str">
        <f>name!A16</f>
        <v>Other non-metallic</v>
      </c>
      <c r="B18" s="150">
        <v>93.389000000008025</v>
      </c>
      <c r="C18" s="140">
        <v>0.30192374589899607</v>
      </c>
      <c r="D18" s="164">
        <v>100</v>
      </c>
      <c r="E18" s="150">
        <v>88.958999999932729</v>
      </c>
      <c r="F18" s="140">
        <v>0.26794689856842019</v>
      </c>
      <c r="H18" s="150">
        <v>-4.4300000000752915</v>
      </c>
      <c r="I18" s="140">
        <v>-4.7435993533231011</v>
      </c>
      <c r="K18" s="150">
        <v>6.8503931592678278</v>
      </c>
      <c r="L18" s="140">
        <v>7.3353319547990017</v>
      </c>
      <c r="N18" s="150">
        <v>-0.77090578561093448</v>
      </c>
      <c r="O18" s="140">
        <v>-0.82547814583180912</v>
      </c>
      <c r="Q18" s="150">
        <v>-10.509487373732185</v>
      </c>
      <c r="R18" s="140">
        <v>-11.253453162290294</v>
      </c>
      <c r="S18" s="140"/>
      <c r="T18" s="161">
        <v>93.389000000008025</v>
      </c>
      <c r="U18" s="162">
        <v>88.958999999932729</v>
      </c>
      <c r="V18" s="168"/>
      <c r="Y18" s="134"/>
      <c r="Z18" s="150"/>
      <c r="AA18" s="150"/>
      <c r="AB18" s="134"/>
      <c r="AC18" s="150"/>
      <c r="AE18" s="134"/>
      <c r="AF18" s="150"/>
    </row>
    <row r="19" spans="1:32" x14ac:dyDescent="0.3">
      <c r="A19" t="str">
        <f>name!A17</f>
        <v>Basic metals</v>
      </c>
      <c r="B19" s="150">
        <v>27.854999999989587</v>
      </c>
      <c r="C19" s="140">
        <v>9.0054352675504282E-2</v>
      </c>
      <c r="D19" s="164">
        <v>100</v>
      </c>
      <c r="E19" s="150">
        <v>33.922000000006818</v>
      </c>
      <c r="F19" s="140">
        <v>0.1021739755757894</v>
      </c>
      <c r="H19" s="150">
        <v>6.0670000000172291</v>
      </c>
      <c r="I19" s="140">
        <v>21.78064979364386</v>
      </c>
      <c r="K19" s="150">
        <v>2.0432567160084982</v>
      </c>
      <c r="L19" s="140">
        <v>7.3353319547990017</v>
      </c>
      <c r="N19" s="150">
        <v>0.27498394192814857</v>
      </c>
      <c r="O19" s="140">
        <v>0.98719778111021839</v>
      </c>
      <c r="Q19" s="150">
        <v>3.7487593420805823</v>
      </c>
      <c r="R19" s="140">
        <v>13.458120057734638</v>
      </c>
      <c r="S19" s="140"/>
      <c r="T19" s="161">
        <v>27.854999999989587</v>
      </c>
      <c r="U19" s="162">
        <v>33.922000000006818</v>
      </c>
      <c r="V19" s="168"/>
      <c r="Y19" s="134"/>
      <c r="Z19" s="150"/>
      <c r="AA19" s="150"/>
      <c r="AB19" s="134"/>
      <c r="AC19" s="150"/>
      <c r="AE19" s="134"/>
      <c r="AF19" s="150"/>
    </row>
    <row r="20" spans="1:32" x14ac:dyDescent="0.3">
      <c r="A20" t="str">
        <f>name!A18</f>
        <v>Metal products</v>
      </c>
      <c r="B20" s="150">
        <v>171.25499999999897</v>
      </c>
      <c r="C20" s="140">
        <v>0.55366211335304816</v>
      </c>
      <c r="D20" s="164">
        <v>100</v>
      </c>
      <c r="E20" s="150">
        <v>174.72100000005108</v>
      </c>
      <c r="F20" s="140">
        <v>0.52626434722537385</v>
      </c>
      <c r="H20" s="150">
        <v>3.4660000000520959</v>
      </c>
      <c r="I20" s="140">
        <v>2.0238825144095745</v>
      </c>
      <c r="K20" s="150">
        <v>12.562122739190956</v>
      </c>
      <c r="L20" s="140">
        <v>7.3353319547990026</v>
      </c>
      <c r="N20" s="150">
        <v>-0.62163202533603767</v>
      </c>
      <c r="O20" s="140">
        <v>-0.36298620497856493</v>
      </c>
      <c r="Q20" s="150">
        <v>-8.4744907138028225</v>
      </c>
      <c r="R20" s="140">
        <v>-4.9484632354108635</v>
      </c>
      <c r="S20" s="140"/>
      <c r="T20" s="161">
        <v>171.25499999999897</v>
      </c>
      <c r="U20" s="162">
        <v>174.72100000005108</v>
      </c>
      <c r="V20" s="168"/>
      <c r="Y20" s="134"/>
      <c r="Z20" s="150"/>
      <c r="AA20" s="150"/>
      <c r="AB20" s="134"/>
      <c r="AC20" s="150"/>
      <c r="AE20" s="134"/>
      <c r="AF20" s="150"/>
    </row>
    <row r="21" spans="1:32" x14ac:dyDescent="0.3">
      <c r="A21" t="str">
        <f>name!A19</f>
        <v>Computer, etc</v>
      </c>
      <c r="B21" s="150">
        <v>80.063999999999524</v>
      </c>
      <c r="C21" s="140">
        <v>0.25884443340923446</v>
      </c>
      <c r="D21" s="164">
        <v>100</v>
      </c>
      <c r="E21" s="150">
        <v>93.491000000027313</v>
      </c>
      <c r="F21" s="140">
        <v>0.28159740435578678</v>
      </c>
      <c r="H21" s="150">
        <v>13.427000000027794</v>
      </c>
      <c r="I21" s="140">
        <v>16.770333733048403</v>
      </c>
      <c r="K21" s="150">
        <v>5.8729601762902375</v>
      </c>
      <c r="L21" s="140">
        <v>7.3353319547990017</v>
      </c>
      <c r="N21" s="150">
        <v>0.51624557075223443</v>
      </c>
      <c r="O21" s="140">
        <v>0.64479113053586812</v>
      </c>
      <c r="Q21" s="150">
        <v>7.0377942529853215</v>
      </c>
      <c r="R21" s="140">
        <v>8.7902106477135344</v>
      </c>
      <c r="S21" s="140"/>
      <c r="T21" s="161">
        <v>80.063999999999524</v>
      </c>
      <c r="U21" s="162">
        <v>93.491000000027313</v>
      </c>
      <c r="V21" s="168"/>
      <c r="Y21" s="134"/>
      <c r="Z21" s="150"/>
      <c r="AA21" s="150"/>
      <c r="AB21" s="134"/>
      <c r="AC21" s="150"/>
      <c r="AE21" s="134"/>
      <c r="AF21" s="150"/>
    </row>
    <row r="22" spans="1:32" x14ac:dyDescent="0.3">
      <c r="A22" t="str">
        <f>name!A20</f>
        <v>Electrical equipment</v>
      </c>
      <c r="B22" s="150">
        <v>66.058000000045865</v>
      </c>
      <c r="C22" s="140">
        <v>0.21356346900178841</v>
      </c>
      <c r="D22" s="164">
        <v>100</v>
      </c>
      <c r="E22" s="150">
        <v>69.29699999994429</v>
      </c>
      <c r="F22" s="140">
        <v>0.20872442619740475</v>
      </c>
      <c r="H22" s="150">
        <v>3.2389999998984278</v>
      </c>
      <c r="I22" s="140">
        <v>4.9032668259653311</v>
      </c>
      <c r="K22" s="150">
        <v>4.845573582704489</v>
      </c>
      <c r="L22" s="140">
        <v>7.3353319547990017</v>
      </c>
      <c r="N22" s="150">
        <v>-0.10979376804513397</v>
      </c>
      <c r="O22" s="140">
        <v>-0.16620813231562828</v>
      </c>
      <c r="Q22" s="150">
        <v>-1.4967798147609273</v>
      </c>
      <c r="R22" s="140">
        <v>-2.2658569965180417</v>
      </c>
      <c r="S22" s="140"/>
      <c r="T22" s="161">
        <v>66.058000000045865</v>
      </c>
      <c r="U22" s="162">
        <v>69.29699999994429</v>
      </c>
      <c r="V22" s="168"/>
      <c r="Y22" s="134"/>
      <c r="Z22" s="150"/>
      <c r="AA22" s="150"/>
      <c r="AB22" s="134"/>
      <c r="AC22" s="150"/>
      <c r="AE22" s="134"/>
      <c r="AF22" s="150"/>
    </row>
    <row r="23" spans="1:32" x14ac:dyDescent="0.3">
      <c r="A23" t="str">
        <f>name!A21</f>
        <v>Machinery n.e.c.</v>
      </c>
      <c r="B23" s="150">
        <v>320.67900000022286</v>
      </c>
      <c r="C23" s="140">
        <v>1.036745279542592</v>
      </c>
      <c r="D23" s="164">
        <v>100</v>
      </c>
      <c r="E23" s="150">
        <v>294.9469999997628</v>
      </c>
      <c r="F23" s="140">
        <v>0.88838829002187569</v>
      </c>
      <c r="H23" s="150">
        <v>-25.732000000460072</v>
      </c>
      <c r="I23" s="140">
        <v>-8.0242236006854792</v>
      </c>
      <c r="K23" s="150">
        <v>23.522869159346239</v>
      </c>
      <c r="L23" s="140">
        <v>7.3353319547990017</v>
      </c>
      <c r="N23" s="150">
        <v>-3.366093988785714</v>
      </c>
      <c r="O23" s="140">
        <v>-1.0496770879238662</v>
      </c>
      <c r="Q23" s="150">
        <v>-45.888775171020598</v>
      </c>
      <c r="R23" s="140">
        <v>-14.309878467560615</v>
      </c>
      <c r="S23" s="140"/>
      <c r="T23" s="161">
        <v>320.67900000022286</v>
      </c>
      <c r="U23" s="162">
        <v>294.9469999997628</v>
      </c>
      <c r="V23" s="168"/>
      <c r="Y23" s="134"/>
      <c r="Z23" s="150"/>
      <c r="AA23" s="150"/>
      <c r="AB23" s="134"/>
      <c r="AC23" s="150"/>
      <c r="AE23" s="134"/>
      <c r="AF23" s="150"/>
    </row>
    <row r="24" spans="1:32" x14ac:dyDescent="0.3">
      <c r="A24" t="str">
        <f>name!A22</f>
        <v>Motor vehicles, etc</v>
      </c>
      <c r="B24" s="150">
        <v>140.47299999999331</v>
      </c>
      <c r="C24" s="140">
        <v>0.45414486029044115</v>
      </c>
      <c r="D24" s="164">
        <v>100</v>
      </c>
      <c r="E24" s="150">
        <v>162.91900000005276</v>
      </c>
      <c r="F24" s="140">
        <v>0.49071640607375983</v>
      </c>
      <c r="H24" s="150">
        <v>22.44600000005946</v>
      </c>
      <c r="I24" s="140">
        <v>15.97887138457962</v>
      </c>
      <c r="K24" s="150">
        <v>10.304160856864311</v>
      </c>
      <c r="L24" s="140">
        <v>7.3353319547990017</v>
      </c>
      <c r="N24" s="150">
        <v>0.82977728801001405</v>
      </c>
      <c r="O24" s="140">
        <v>0.59070233283980089</v>
      </c>
      <c r="Q24" s="150">
        <v>11.312061855185135</v>
      </c>
      <c r="R24" s="140">
        <v>8.0528370969408165</v>
      </c>
      <c r="S24" s="140"/>
      <c r="T24" s="161">
        <v>140.47299999999331</v>
      </c>
      <c r="U24" s="162">
        <v>162.91900000005276</v>
      </c>
      <c r="V24" s="168"/>
      <c r="Y24" s="134"/>
      <c r="Z24" s="150"/>
      <c r="AA24" s="150"/>
      <c r="AB24" s="134"/>
      <c r="AC24" s="150"/>
      <c r="AE24" s="134"/>
      <c r="AF24" s="150"/>
    </row>
    <row r="25" spans="1:32" x14ac:dyDescent="0.3">
      <c r="A25" t="str">
        <f>name!A23</f>
        <v>Other transport equipment</v>
      </c>
      <c r="B25" s="150">
        <v>67.744000000034035</v>
      </c>
      <c r="C25" s="140">
        <v>0.21901425480720543</v>
      </c>
      <c r="D25" s="164">
        <v>100</v>
      </c>
      <c r="E25" s="150">
        <v>77.434000000005142</v>
      </c>
      <c r="F25" s="140">
        <v>0.23323328886075737</v>
      </c>
      <c r="H25" s="150">
        <v>9.6899999999711</v>
      </c>
      <c r="I25" s="140">
        <v>14.303849787385202</v>
      </c>
      <c r="K25" s="150">
        <v>4.9692472794615323</v>
      </c>
      <c r="L25" s="140">
        <v>7.3353319547990017</v>
      </c>
      <c r="N25" s="150">
        <v>0.32261779649633304</v>
      </c>
      <c r="O25" s="140">
        <v>0.4762308049364829</v>
      </c>
      <c r="Q25" s="150">
        <v>4.3981349240132346</v>
      </c>
      <c r="R25" s="140">
        <v>6.4922870276497182</v>
      </c>
      <c r="S25" s="140"/>
      <c r="T25" s="161">
        <v>67.744000000034035</v>
      </c>
      <c r="U25" s="162">
        <v>77.434000000005142</v>
      </c>
      <c r="V25" s="168"/>
      <c r="Y25" s="134"/>
      <c r="Z25" s="150"/>
      <c r="AA25" s="150"/>
      <c r="AB25" s="134"/>
      <c r="AC25" s="150"/>
      <c r="AE25" s="134"/>
      <c r="AF25" s="150"/>
    </row>
    <row r="26" spans="1:32" x14ac:dyDescent="0.3">
      <c r="A26" t="str">
        <f>name!A24</f>
        <v>Furniture</v>
      </c>
      <c r="B26" s="150">
        <v>182.40299999999939</v>
      </c>
      <c r="C26" s="140">
        <v>0.58970325223751896</v>
      </c>
      <c r="D26" s="164">
        <v>100</v>
      </c>
      <c r="E26" s="150">
        <v>185.13999999993501</v>
      </c>
      <c r="F26" s="140">
        <v>0.55764665521169765</v>
      </c>
      <c r="H26" s="150">
        <v>2.7369999999356223</v>
      </c>
      <c r="I26" s="140">
        <v>1.5005235659148322</v>
      </c>
      <c r="K26" s="150">
        <v>13.379865545511977</v>
      </c>
      <c r="L26" s="140">
        <v>7.3353319547990017</v>
      </c>
      <c r="N26" s="150">
        <v>-0.727336938408782</v>
      </c>
      <c r="O26" s="140">
        <v>-0.39875272797529882</v>
      </c>
      <c r="Q26" s="150">
        <v>-9.9155286071675732</v>
      </c>
      <c r="R26" s="140">
        <v>-5.4360556609088704</v>
      </c>
      <c r="S26" s="140"/>
      <c r="T26" s="161">
        <v>182.40299999999939</v>
      </c>
      <c r="U26" s="162">
        <v>185.13999999993501</v>
      </c>
      <c r="V26" s="168"/>
      <c r="Y26" s="134"/>
      <c r="Z26" s="150"/>
      <c r="AA26" s="150"/>
      <c r="AB26" s="134"/>
      <c r="AC26" s="150"/>
      <c r="AE26" s="134"/>
      <c r="AF26" s="150"/>
    </row>
    <row r="27" spans="1:32" x14ac:dyDescent="0.3">
      <c r="A27" t="str">
        <f>name!A25</f>
        <v>Other manufacturing</v>
      </c>
      <c r="B27" s="150">
        <v>90.135000000064551</v>
      </c>
      <c r="C27" s="140">
        <v>0.29140366463526929</v>
      </c>
      <c r="D27" s="164">
        <v>100</v>
      </c>
      <c r="E27" s="150">
        <v>65.68600000003066</v>
      </c>
      <c r="F27" s="140">
        <v>0.19784799716034099</v>
      </c>
      <c r="H27" s="150">
        <v>-24.449000000033891</v>
      </c>
      <c r="I27" s="140">
        <v>-27.124868253193966</v>
      </c>
      <c r="K27" s="150">
        <v>6.6117014574628152</v>
      </c>
      <c r="L27" s="140">
        <v>7.3353319547990017</v>
      </c>
      <c r="N27" s="150">
        <v>-2.1226985726898846</v>
      </c>
      <c r="O27" s="140">
        <v>-2.3550214374974918</v>
      </c>
      <c r="Q27" s="150">
        <v>-28.938002884806821</v>
      </c>
      <c r="R27" s="140">
        <v>-32.105178770495471</v>
      </c>
      <c r="S27" s="140"/>
      <c r="T27" s="161">
        <v>90.135000000064551</v>
      </c>
      <c r="U27" s="162">
        <v>65.68600000003066</v>
      </c>
      <c r="V27" s="168"/>
      <c r="Y27" s="134"/>
      <c r="Z27" s="150"/>
      <c r="AA27" s="150"/>
      <c r="AB27" s="134"/>
      <c r="AC27" s="150"/>
      <c r="AE27" s="134"/>
      <c r="AF27" s="150"/>
    </row>
    <row r="28" spans="1:32" x14ac:dyDescent="0.3">
      <c r="A28" t="str">
        <f>name!A26</f>
        <v>Repair and installation</v>
      </c>
      <c r="B28" s="150">
        <v>65.316000000028879</v>
      </c>
      <c r="C28" s="140">
        <v>0.2111646059722864</v>
      </c>
      <c r="D28" s="164">
        <v>100</v>
      </c>
      <c r="E28" s="150">
        <v>58.65599999997378</v>
      </c>
      <c r="F28" s="140">
        <v>0.17667344824508047</v>
      </c>
      <c r="H28" s="150">
        <v>-6.6600000000551081</v>
      </c>
      <c r="I28" s="140">
        <v>-10.196582766936375</v>
      </c>
      <c r="K28" s="150">
        <v>4.7911454195986343</v>
      </c>
      <c r="L28" s="140">
        <v>7.3353319547990017</v>
      </c>
      <c r="N28" s="150">
        <v>-0.78257505134664118</v>
      </c>
      <c r="O28" s="140">
        <v>-1.1981368291786012</v>
      </c>
      <c r="Q28" s="150">
        <v>-10.668570368307101</v>
      </c>
      <c r="R28" s="140">
        <v>-16.333777892556778</v>
      </c>
      <c r="S28" s="140"/>
      <c r="T28" s="161">
        <v>65.316000000028879</v>
      </c>
      <c r="U28" s="162">
        <v>58.65599999997378</v>
      </c>
      <c r="V28" s="168"/>
      <c r="Y28" s="134"/>
      <c r="Z28" s="150"/>
      <c r="AA28" s="150"/>
      <c r="AB28" s="134"/>
      <c r="AC28" s="150"/>
      <c r="AE28" s="134"/>
      <c r="AF28" s="150"/>
    </row>
    <row r="29" spans="1:32" x14ac:dyDescent="0.3">
      <c r="A29" t="str">
        <f>name!A27</f>
        <v>Electricity, gas, etc</v>
      </c>
      <c r="B29" s="150">
        <v>217.60999999992853</v>
      </c>
      <c r="C29" s="140">
        <v>0.70352639331241695</v>
      </c>
      <c r="D29" s="164">
        <v>100</v>
      </c>
      <c r="E29" s="150">
        <v>203.759000000095</v>
      </c>
      <c r="F29" s="140">
        <v>0.61372758355500256</v>
      </c>
      <c r="H29" s="150">
        <v>-13.850999999833526</v>
      </c>
      <c r="I29" s="140">
        <v>-6.3650567528321655</v>
      </c>
      <c r="K29" s="150">
        <v>15.962415866832863</v>
      </c>
      <c r="L29" s="140">
        <v>7.3353319547990017</v>
      </c>
      <c r="N29" s="150">
        <v>-2.03745866440849</v>
      </c>
      <c r="O29" s="140">
        <v>-0.93628907881492551</v>
      </c>
      <c r="Q29" s="150">
        <v>-27.775957202257899</v>
      </c>
      <c r="R29" s="140">
        <v>-12.764099628816242</v>
      </c>
      <c r="S29" s="140"/>
      <c r="T29" s="161">
        <v>217.60999999992853</v>
      </c>
      <c r="U29" s="162">
        <v>203.759000000095</v>
      </c>
      <c r="V29" s="168"/>
      <c r="W29" s="139"/>
      <c r="Y29" s="134"/>
      <c r="Z29" s="150"/>
      <c r="AA29" s="150"/>
      <c r="AB29" s="134"/>
      <c r="AC29" s="150"/>
      <c r="AE29" s="134"/>
      <c r="AF29" s="150"/>
    </row>
    <row r="30" spans="1:32" x14ac:dyDescent="0.3">
      <c r="A30" t="str">
        <f>name!A28</f>
        <v>Water</v>
      </c>
      <c r="B30" s="150">
        <v>76.56499999997483</v>
      </c>
      <c r="C30" s="140">
        <v>0.24753227472986161</v>
      </c>
      <c r="D30" s="164">
        <v>100</v>
      </c>
      <c r="E30" s="150">
        <v>91.782000000042814</v>
      </c>
      <c r="F30" s="140">
        <v>0.27644985043038717</v>
      </c>
      <c r="H30" s="150">
        <v>15.217000000067987</v>
      </c>
      <c r="I30" s="140">
        <v>19.874616339153647</v>
      </c>
      <c r="K30" s="150">
        <v>5.616296911190009</v>
      </c>
      <c r="L30" s="140">
        <v>7.3353319547990017</v>
      </c>
      <c r="N30" s="150">
        <v>0.65611521270592732</v>
      </c>
      <c r="O30" s="140">
        <v>0.85693882675653765</v>
      </c>
      <c r="Q30" s="150">
        <v>8.9445878761720508</v>
      </c>
      <c r="R30" s="140">
        <v>11.682345557598108</v>
      </c>
      <c r="S30" s="140"/>
      <c r="T30" s="161">
        <v>76.56499999997483</v>
      </c>
      <c r="U30" s="162">
        <v>91.782000000042814</v>
      </c>
      <c r="V30" s="168"/>
      <c r="Y30" s="134"/>
      <c r="Z30" s="150"/>
      <c r="AA30" s="150"/>
      <c r="AB30" s="134"/>
      <c r="AC30" s="150"/>
      <c r="AE30" s="134"/>
      <c r="AF30" s="150"/>
    </row>
    <row r="31" spans="1:32" x14ac:dyDescent="0.3">
      <c r="A31" t="str">
        <f>name!A29</f>
        <v>Sewerage</v>
      </c>
      <c r="B31" s="150">
        <v>82.465999999925302</v>
      </c>
      <c r="C31" s="140">
        <v>0.266610025048795</v>
      </c>
      <c r="D31" s="164">
        <v>100</v>
      </c>
      <c r="E31" s="150">
        <v>87.377999999966974</v>
      </c>
      <c r="F31" s="140">
        <v>0.26318488408278279</v>
      </c>
      <c r="H31" s="150">
        <v>4.9120000000416617</v>
      </c>
      <c r="I31" s="140">
        <v>5.9563941503724092</v>
      </c>
      <c r="K31" s="150">
        <v>6.0491548498390655</v>
      </c>
      <c r="L31" s="140">
        <v>7.3353319547990017</v>
      </c>
      <c r="N31" s="150">
        <v>-7.7713537149029399E-2</v>
      </c>
      <c r="O31" s="140">
        <v>-9.4237063940411564E-2</v>
      </c>
      <c r="Q31" s="150">
        <v>-1.0594413126483744</v>
      </c>
      <c r="R31" s="140">
        <v>-1.284700740486181</v>
      </c>
      <c r="S31" s="140"/>
      <c r="T31" s="161">
        <v>82.465999999925302</v>
      </c>
      <c r="U31" s="162">
        <v>87.377999999966974</v>
      </c>
      <c r="V31" s="168"/>
      <c r="Y31" s="134"/>
      <c r="Z31" s="150"/>
      <c r="AA31" s="150"/>
      <c r="AB31" s="134"/>
      <c r="AC31" s="150"/>
      <c r="AE31" s="134"/>
      <c r="AF31" s="150"/>
    </row>
    <row r="32" spans="1:32" x14ac:dyDescent="0.3">
      <c r="A32" t="str">
        <f>name!A30</f>
        <v>Waste management</v>
      </c>
      <c r="B32" s="150">
        <v>32.932999999964288</v>
      </c>
      <c r="C32" s="140">
        <v>0.10647136947263597</v>
      </c>
      <c r="D32" s="164">
        <v>100</v>
      </c>
      <c r="E32" s="150">
        <v>34.895000000015962</v>
      </c>
      <c r="F32" s="140">
        <v>0.10510467772295519</v>
      </c>
      <c r="H32" s="150">
        <v>1.9620000000516737</v>
      </c>
      <c r="I32" s="140">
        <v>5.957550177796743</v>
      </c>
      <c r="K32" s="150">
        <v>2.4157448726713358</v>
      </c>
      <c r="L32" s="140">
        <v>7.3353319547990017</v>
      </c>
      <c r="N32" s="150">
        <v>-3.1009074112286816E-2</v>
      </c>
      <c r="O32" s="140">
        <v>-9.4158060645311514E-2</v>
      </c>
      <c r="Q32" s="150">
        <v>-0.42273579850737519</v>
      </c>
      <c r="R32" s="140">
        <v>-1.2836237163569477</v>
      </c>
      <c r="S32" s="140"/>
      <c r="T32" s="161">
        <v>32.932999999964288</v>
      </c>
      <c r="U32" s="162">
        <v>34.895000000015962</v>
      </c>
      <c r="V32" s="168"/>
      <c r="Y32" s="134"/>
      <c r="Z32" s="150"/>
      <c r="AA32" s="150"/>
      <c r="AB32" s="134"/>
      <c r="AC32" s="150"/>
      <c r="AE32" s="134"/>
      <c r="AF32" s="150"/>
    </row>
    <row r="33" spans="1:32" x14ac:dyDescent="0.3">
      <c r="A33" t="str">
        <f>name!A31</f>
        <v>Construction</v>
      </c>
      <c r="B33" s="150">
        <v>35.430000000000284</v>
      </c>
      <c r="C33" s="140">
        <v>0.11454409317157906</v>
      </c>
      <c r="D33" s="164">
        <v>100</v>
      </c>
      <c r="E33" s="150">
        <v>35.217999999995349</v>
      </c>
      <c r="F33" s="140">
        <v>0.10607756240277558</v>
      </c>
      <c r="H33" s="150">
        <v>-0.2120000000049331</v>
      </c>
      <c r="I33" s="140">
        <v>-0.59836296924903021</v>
      </c>
      <c r="K33" s="150">
        <v>2.598908111585307</v>
      </c>
      <c r="L33" s="140">
        <v>7.3353319547990017</v>
      </c>
      <c r="N33" s="150">
        <v>-0.19209838659309805</v>
      </c>
      <c r="O33" s="140">
        <v>-0.54219132541094139</v>
      </c>
      <c r="Q33" s="150">
        <v>-2.618809724997142</v>
      </c>
      <c r="R33" s="140">
        <v>-7.3915035986370903</v>
      </c>
      <c r="S33" s="140"/>
      <c r="T33" s="161">
        <v>35.430000000000284</v>
      </c>
      <c r="U33" s="162">
        <v>35.217999999995349</v>
      </c>
      <c r="V33" s="168"/>
      <c r="Y33" s="134"/>
      <c r="Z33" s="150"/>
      <c r="AA33" s="150"/>
      <c r="AB33" s="134"/>
      <c r="AC33" s="150"/>
      <c r="AE33" s="134"/>
      <c r="AF33" s="150"/>
    </row>
    <row r="34" spans="1:32" x14ac:dyDescent="0.3">
      <c r="A34" t="str">
        <f>name!A32</f>
        <v>Civil engineering</v>
      </c>
      <c r="B34" s="150">
        <v>145.50300000000124</v>
      </c>
      <c r="C34" s="140">
        <v>0.47040669457364592</v>
      </c>
      <c r="D34" s="164">
        <v>100</v>
      </c>
      <c r="E34" s="150">
        <v>144.62799999998086</v>
      </c>
      <c r="F34" s="140">
        <v>0.43562342254496622</v>
      </c>
      <c r="H34" s="150">
        <v>-0.8750000000203727</v>
      </c>
      <c r="I34" s="140">
        <v>-0.60136217124070657</v>
      </c>
      <c r="K34" s="150">
        <v>10.673128054191281</v>
      </c>
      <c r="L34" s="140">
        <v>7.3353319547990017</v>
      </c>
      <c r="N34" s="150">
        <v>-0.78920287654993049</v>
      </c>
      <c r="O34" s="140">
        <v>-0.54239629186334559</v>
      </c>
      <c r="Q34" s="150">
        <v>-10.758925177661723</v>
      </c>
      <c r="R34" s="140">
        <v>-7.3942978341763625</v>
      </c>
      <c r="S34" s="140"/>
      <c r="T34" s="161">
        <v>145.50300000000124</v>
      </c>
      <c r="U34" s="162">
        <v>144.62799999998086</v>
      </c>
      <c r="V34" s="168"/>
      <c r="Y34" s="134"/>
      <c r="Z34" s="150"/>
      <c r="AA34" s="150"/>
      <c r="AB34" s="134"/>
      <c r="AC34" s="150"/>
      <c r="AE34" s="134"/>
      <c r="AF34" s="150"/>
    </row>
    <row r="35" spans="1:32" x14ac:dyDescent="0.3">
      <c r="A35" t="str">
        <f>name!A33</f>
        <v>Specialised construction</v>
      </c>
      <c r="B35" s="150">
        <v>1697.6410000011963</v>
      </c>
      <c r="C35" s="140">
        <v>5.4884207980815161</v>
      </c>
      <c r="D35" s="164">
        <v>100</v>
      </c>
      <c r="E35" s="150">
        <v>1865.8430000002486</v>
      </c>
      <c r="F35" s="140">
        <v>5.619969256242106</v>
      </c>
      <c r="H35" s="150">
        <v>168.20199999905239</v>
      </c>
      <c r="I35" s="140">
        <v>9.9079840790210572</v>
      </c>
      <c r="K35" s="150">
        <v>124.52760275085707</v>
      </c>
      <c r="L35" s="140">
        <v>7.3353319547990017</v>
      </c>
      <c r="N35" s="150">
        <v>2.9847226994760661</v>
      </c>
      <c r="O35" s="140">
        <v>0.17581589390654223</v>
      </c>
      <c r="Q35" s="150">
        <v>40.689674548719267</v>
      </c>
      <c r="R35" s="140">
        <v>2.3968362303155142</v>
      </c>
      <c r="S35" s="140"/>
      <c r="T35" s="161">
        <v>1697.6410000011963</v>
      </c>
      <c r="U35" s="162">
        <v>1865.8430000002486</v>
      </c>
      <c r="V35" s="168"/>
      <c r="Y35" s="134"/>
      <c r="Z35" s="150"/>
      <c r="AA35" s="150"/>
      <c r="AB35" s="134"/>
      <c r="AC35" s="150"/>
      <c r="AE35" s="134"/>
      <c r="AF35" s="150"/>
    </row>
    <row r="36" spans="1:32" x14ac:dyDescent="0.3">
      <c r="A36" t="str">
        <f>name!A34</f>
        <v>Motor vehicle trade</v>
      </c>
      <c r="B36" s="150">
        <v>569.9599999994731</v>
      </c>
      <c r="C36" s="140">
        <v>1.842663035394082</v>
      </c>
      <c r="D36" s="164">
        <v>100</v>
      </c>
      <c r="E36" s="150">
        <v>641.79699999991612</v>
      </c>
      <c r="F36" s="140">
        <v>1.9331098108187363</v>
      </c>
      <c r="H36" s="150">
        <v>71.837000000443084</v>
      </c>
      <c r="I36" s="140">
        <v>12.603866938120129</v>
      </c>
      <c r="K36" s="150">
        <v>41.808458009533737</v>
      </c>
      <c r="L36" s="140">
        <v>7.3353319547990017</v>
      </c>
      <c r="N36" s="150">
        <v>2.0521604546274403</v>
      </c>
      <c r="O36" s="140">
        <v>0.36005341684141651</v>
      </c>
      <c r="Q36" s="150">
        <v>27.976381536281906</v>
      </c>
      <c r="R36" s="140">
        <v>4.9084815664797121</v>
      </c>
      <c r="S36" s="140"/>
      <c r="T36" s="161">
        <v>569.9599999994731</v>
      </c>
      <c r="U36" s="162">
        <v>641.79699999991612</v>
      </c>
      <c r="V36" s="168"/>
      <c r="Y36" s="134"/>
      <c r="Z36" s="150"/>
      <c r="AA36" s="150"/>
      <c r="AB36" s="134"/>
      <c r="AC36" s="150"/>
      <c r="AE36" s="134"/>
      <c r="AF36" s="150"/>
    </row>
    <row r="37" spans="1:32" x14ac:dyDescent="0.3">
      <c r="A37" t="str">
        <f>name!A35</f>
        <v>Wholesale trade</v>
      </c>
      <c r="B37" s="150">
        <v>1164.0059999989242</v>
      </c>
      <c r="C37" s="140">
        <v>3.7631953631428945</v>
      </c>
      <c r="D37" s="164">
        <v>100</v>
      </c>
      <c r="E37" s="150">
        <v>1232.8599999998389</v>
      </c>
      <c r="F37" s="140">
        <v>3.7134074502778711</v>
      </c>
      <c r="H37" s="150">
        <v>68.854000000914795</v>
      </c>
      <c r="I37" s="140">
        <v>5.9152616052647868</v>
      </c>
      <c r="K37" s="150">
        <v>85.383704073698738</v>
      </c>
      <c r="L37" s="140">
        <v>7.3353319547989999</v>
      </c>
      <c r="N37" s="150">
        <v>-1.1296454231819553</v>
      </c>
      <c r="O37" s="140">
        <v>-9.7048075627015618E-2</v>
      </c>
      <c r="Q37" s="150">
        <v>-15.400058649601988</v>
      </c>
      <c r="R37" s="140">
        <v>-1.3230222739071982</v>
      </c>
      <c r="S37" s="140"/>
      <c r="T37" s="161">
        <v>1164.0059999989242</v>
      </c>
      <c r="U37" s="162">
        <v>1232.8599999998389</v>
      </c>
      <c r="V37" s="168"/>
      <c r="Y37" s="134"/>
      <c r="Z37" s="150"/>
      <c r="AA37" s="150"/>
      <c r="AB37" s="134"/>
      <c r="AC37" s="150"/>
      <c r="AE37" s="134"/>
      <c r="AF37" s="150"/>
    </row>
    <row r="38" spans="1:32" x14ac:dyDescent="0.3">
      <c r="A38" t="str">
        <f>name!A36</f>
        <v>Retail trade</v>
      </c>
      <c r="B38" s="150">
        <v>3028.8189999972019</v>
      </c>
      <c r="C38" s="140">
        <v>9.7920780619679828</v>
      </c>
      <c r="D38" s="164">
        <v>100</v>
      </c>
      <c r="E38" s="150">
        <v>3261.3079999995739</v>
      </c>
      <c r="F38" s="140">
        <v>9.8231473361540029</v>
      </c>
      <c r="H38" s="150">
        <v>232.48900000237208</v>
      </c>
      <c r="I38" s="140">
        <v>7.675896116690593</v>
      </c>
      <c r="K38" s="150">
        <v>222.17392795981831</v>
      </c>
      <c r="L38" s="140">
        <v>7.3353319547990017</v>
      </c>
      <c r="N38" s="150">
        <v>0.70493542239819362</v>
      </c>
      <c r="O38" s="140">
        <v>2.3274267045962298E-2</v>
      </c>
      <c r="Q38" s="150">
        <v>9.610136620155572</v>
      </c>
      <c r="R38" s="140">
        <v>0.31728989484562958</v>
      </c>
      <c r="S38" s="140"/>
      <c r="T38" s="161">
        <v>3028.8189999972019</v>
      </c>
      <c r="U38" s="162">
        <v>3261.3079999995739</v>
      </c>
      <c r="V38" s="168"/>
      <c r="Y38" s="134"/>
      <c r="Z38" s="150"/>
      <c r="AA38" s="150"/>
      <c r="AB38" s="134"/>
      <c r="AC38" s="150"/>
      <c r="AE38" s="134"/>
      <c r="AF38" s="150"/>
    </row>
    <row r="39" spans="1:32" x14ac:dyDescent="0.3">
      <c r="A39" t="str">
        <f>name!A37</f>
        <v>Land transport, etc</v>
      </c>
      <c r="B39" s="150">
        <v>716.96500000073365</v>
      </c>
      <c r="C39" s="140">
        <v>2.3179256494734561</v>
      </c>
      <c r="D39" s="164">
        <v>100</v>
      </c>
      <c r="E39" s="150">
        <v>704.04699999997217</v>
      </c>
      <c r="F39" s="140">
        <v>2.1206084836445522</v>
      </c>
      <c r="H39" s="150">
        <v>-12.918000000761472</v>
      </c>
      <c r="I39" s="140">
        <v>-1.8017615923717691</v>
      </c>
      <c r="K39" s="150">
        <v>52.591762749778475</v>
      </c>
      <c r="L39" s="140">
        <v>7.3353319547990017</v>
      </c>
      <c r="N39" s="150">
        <v>-4.476958773069212</v>
      </c>
      <c r="O39" s="140">
        <v>-0.62443198385759846</v>
      </c>
      <c r="Q39" s="150">
        <v>-61.032803977470735</v>
      </c>
      <c r="R39" s="140">
        <v>-8.5126615633131717</v>
      </c>
      <c r="S39" s="140"/>
      <c r="T39" s="161">
        <v>716.96500000073365</v>
      </c>
      <c r="U39" s="162">
        <v>704.04699999997217</v>
      </c>
      <c r="V39" s="168"/>
      <c r="Y39" s="134"/>
      <c r="Z39" s="150"/>
      <c r="AA39" s="150"/>
      <c r="AB39" s="134"/>
      <c r="AC39" s="150"/>
      <c r="AE39" s="134"/>
      <c r="AF39" s="150"/>
    </row>
    <row r="40" spans="1:32" x14ac:dyDescent="0.3">
      <c r="A40" t="str">
        <f>name!A38</f>
        <v>Water transport</v>
      </c>
      <c r="B40" s="150">
        <v>18.247000000011084</v>
      </c>
      <c r="C40" s="140">
        <v>5.8991986116371888E-2</v>
      </c>
      <c r="D40" s="164">
        <v>100</v>
      </c>
      <c r="E40" s="150">
        <v>17.84799999999214</v>
      </c>
      <c r="F40" s="140">
        <v>5.3758655623946702E-2</v>
      </c>
      <c r="H40" s="150">
        <v>-0.39900000001894298</v>
      </c>
      <c r="I40" s="140">
        <v>-2.1866608210593554</v>
      </c>
      <c r="K40" s="150">
        <v>1.338478021792987</v>
      </c>
      <c r="L40" s="140">
        <v>7.3353319547990026</v>
      </c>
      <c r="N40" s="150">
        <v>-0.11873982054226906</v>
      </c>
      <c r="O40" s="140">
        <v>-0.65073612397762337</v>
      </c>
      <c r="Q40" s="150">
        <v>-1.6187382012696609</v>
      </c>
      <c r="R40" s="140">
        <v>-8.871256651880735</v>
      </c>
      <c r="S40" s="140"/>
      <c r="T40" s="161">
        <v>18.247000000011084</v>
      </c>
      <c r="U40" s="162">
        <v>17.84799999999214</v>
      </c>
      <c r="V40" s="168"/>
      <c r="Y40" s="134"/>
      <c r="Z40" s="150"/>
      <c r="AA40" s="150"/>
      <c r="AB40" s="134"/>
      <c r="AC40" s="150"/>
      <c r="AE40" s="134"/>
      <c r="AF40" s="150"/>
    </row>
    <row r="41" spans="1:32" x14ac:dyDescent="0.3">
      <c r="A41" t="str">
        <f>name!A39</f>
        <v>Air transport</v>
      </c>
      <c r="B41" s="150">
        <v>83.957000000060233</v>
      </c>
      <c r="C41" s="140">
        <v>0.2714303818914221</v>
      </c>
      <c r="D41" s="164">
        <v>100</v>
      </c>
      <c r="E41" s="150">
        <v>115.2650000001187</v>
      </c>
      <c r="F41" s="140">
        <v>0.34718127748225713</v>
      </c>
      <c r="H41" s="150">
        <v>31.30800000005847</v>
      </c>
      <c r="I41" s="140">
        <v>37.290517765089284</v>
      </c>
      <c r="K41" s="150">
        <v>6.1585246492950159</v>
      </c>
      <c r="L41" s="140">
        <v>7.3353319547990017</v>
      </c>
      <c r="N41" s="150">
        <v>1.7187234326956968</v>
      </c>
      <c r="O41" s="140">
        <v>2.0471472690716244</v>
      </c>
      <c r="Q41" s="150">
        <v>23.430751918067756</v>
      </c>
      <c r="R41" s="140">
        <v>27.908038541218655</v>
      </c>
      <c r="S41" s="140"/>
      <c r="T41" s="161">
        <v>83.957000000060233</v>
      </c>
      <c r="U41" s="162">
        <v>115.2650000001187</v>
      </c>
      <c r="V41" s="168"/>
      <c r="Y41" s="134"/>
      <c r="Z41" s="150"/>
      <c r="AA41" s="150"/>
      <c r="AB41" s="134"/>
      <c r="AC41" s="150"/>
      <c r="AE41" s="134"/>
      <c r="AF41" s="150"/>
    </row>
    <row r="42" spans="1:32" x14ac:dyDescent="0.3">
      <c r="A42" t="str">
        <f>name!A40</f>
        <v>Warehousing, etc</v>
      </c>
      <c r="B42" s="150">
        <v>340.75900000006266</v>
      </c>
      <c r="C42" s="140">
        <v>1.1016632979130954</v>
      </c>
      <c r="D42" s="164">
        <v>100</v>
      </c>
      <c r="E42" s="150">
        <v>336.28300000019055</v>
      </c>
      <c r="F42" s="140">
        <v>1.0128934328331394</v>
      </c>
      <c r="H42" s="150">
        <v>-4.4759999998720597</v>
      </c>
      <c r="I42" s="140">
        <v>-1.3135383070942328</v>
      </c>
      <c r="K42" s="150">
        <v>24.995803815858125</v>
      </c>
      <c r="L42" s="140">
        <v>7.3353319547990017</v>
      </c>
      <c r="N42" s="150">
        <v>-2.01411278427996</v>
      </c>
      <c r="O42" s="140">
        <v>-0.59106664366299633</v>
      </c>
      <c r="Q42" s="150">
        <v>-27.457691031450224</v>
      </c>
      <c r="R42" s="140">
        <v>-8.0578036182302366</v>
      </c>
      <c r="S42" s="140"/>
      <c r="T42" s="161">
        <v>340.75900000006266</v>
      </c>
      <c r="U42" s="162">
        <v>336.28300000019055</v>
      </c>
      <c r="V42" s="168"/>
      <c r="Y42" s="134"/>
      <c r="Z42" s="150"/>
      <c r="AA42" s="150"/>
      <c r="AB42" s="134"/>
      <c r="AC42" s="150"/>
      <c r="AE42" s="134"/>
      <c r="AF42" s="150"/>
    </row>
    <row r="43" spans="1:32" x14ac:dyDescent="0.3">
      <c r="A43" t="str">
        <f>name!A41</f>
        <v>Postal and courier</v>
      </c>
      <c r="B43" s="150">
        <v>325.27900000005985</v>
      </c>
      <c r="C43" s="140">
        <v>1.0516169371370201</v>
      </c>
      <c r="D43" s="164">
        <v>100</v>
      </c>
      <c r="E43" s="150">
        <v>535.52800000030322</v>
      </c>
      <c r="F43" s="140">
        <v>1.6130247270848221</v>
      </c>
      <c r="H43" s="150">
        <v>210.24900000024343</v>
      </c>
      <c r="I43" s="140">
        <v>64.63651204049593</v>
      </c>
      <c r="K43" s="150">
        <v>23.860294429255035</v>
      </c>
      <c r="L43" s="140">
        <v>7.3353319547990017</v>
      </c>
      <c r="N43" s="150">
        <v>12.737865557301006</v>
      </c>
      <c r="O43" s="140">
        <v>3.9159815288717268</v>
      </c>
      <c r="Q43" s="150">
        <v>173.6508400136874</v>
      </c>
      <c r="R43" s="140">
        <v>53.385198556825195</v>
      </c>
      <c r="S43" s="140"/>
      <c r="T43" s="161">
        <v>325.27900000005985</v>
      </c>
      <c r="U43" s="162">
        <v>535.52800000030322</v>
      </c>
      <c r="V43" s="168"/>
      <c r="Y43" s="134"/>
      <c r="Z43" s="150"/>
      <c r="AA43" s="150"/>
      <c r="AB43" s="134"/>
      <c r="AC43" s="150"/>
      <c r="AE43" s="134"/>
      <c r="AF43" s="150"/>
    </row>
    <row r="44" spans="1:32" x14ac:dyDescent="0.3">
      <c r="A44" t="str">
        <f>name!A42</f>
        <v>Accommodation</v>
      </c>
      <c r="B44" s="150">
        <v>2144.1589999988464</v>
      </c>
      <c r="C44" s="140">
        <v>6.9319996689400423</v>
      </c>
      <c r="D44" s="164">
        <v>100</v>
      </c>
      <c r="E44" s="150">
        <v>2258.3650000006869</v>
      </c>
      <c r="F44" s="140">
        <v>6.8022560683698323</v>
      </c>
      <c r="H44" s="150">
        <v>114.20600000184029</v>
      </c>
      <c r="I44" s="140">
        <v>5.3263773816168358</v>
      </c>
      <c r="K44" s="150">
        <v>157.28118028861411</v>
      </c>
      <c r="L44" s="140">
        <v>7.3353319547990017</v>
      </c>
      <c r="N44" s="150">
        <v>-2.9437720148788173</v>
      </c>
      <c r="O44" s="140">
        <v>-0.13729261751952168</v>
      </c>
      <c r="Q44" s="150">
        <v>-40.131408271894998</v>
      </c>
      <c r="R44" s="140">
        <v>-1.8716619556626439</v>
      </c>
      <c r="S44" s="140"/>
      <c r="T44" s="161">
        <v>2144.1589999988464</v>
      </c>
      <c r="U44" s="162">
        <v>2258.3650000006869</v>
      </c>
      <c r="V44" s="168"/>
      <c r="Y44" s="134"/>
      <c r="Z44" s="150"/>
      <c r="AA44" s="150"/>
      <c r="AB44" s="134"/>
      <c r="AC44" s="150"/>
      <c r="AE44" s="134"/>
      <c r="AF44" s="150"/>
    </row>
    <row r="45" spans="1:32" x14ac:dyDescent="0.3">
      <c r="A45" t="str">
        <f>name!A43</f>
        <v>Food and beverage services</v>
      </c>
      <c r="B45" s="150">
        <v>197.47100000001379</v>
      </c>
      <c r="C45" s="140">
        <v>0.63841762976817074</v>
      </c>
      <c r="D45" s="164">
        <v>100</v>
      </c>
      <c r="E45" s="150">
        <v>286.78200000015835</v>
      </c>
      <c r="F45" s="140">
        <v>0.86379509060746196</v>
      </c>
      <c r="H45" s="150">
        <v>89.311000000144531</v>
      </c>
      <c r="I45" s="140">
        <v>45.227400479127716</v>
      </c>
      <c r="K45" s="150">
        <v>14.485153364462148</v>
      </c>
      <c r="L45" s="140">
        <v>7.3353319547990017</v>
      </c>
      <c r="N45" s="150">
        <v>5.1136230156045031</v>
      </c>
      <c r="O45" s="140">
        <v>2.5895564491009546</v>
      </c>
      <c r="Q45" s="150">
        <v>69.712223620077879</v>
      </c>
      <c r="R45" s="140">
        <v>35.30251207522776</v>
      </c>
      <c r="S45" s="140"/>
      <c r="T45" s="161">
        <v>197.47100000001379</v>
      </c>
      <c r="U45" s="162">
        <v>286.78200000015835</v>
      </c>
      <c r="V45" s="168"/>
      <c r="Y45" s="134"/>
      <c r="Z45" s="150"/>
      <c r="AA45" s="150"/>
      <c r="AB45" s="134"/>
      <c r="AC45" s="150"/>
      <c r="AE45" s="134"/>
      <c r="AF45" s="150"/>
    </row>
    <row r="46" spans="1:32" x14ac:dyDescent="0.3">
      <c r="A46" t="str">
        <f>name!A44</f>
        <v>Publishing activities</v>
      </c>
      <c r="B46" s="150">
        <v>187.13600000001301</v>
      </c>
      <c r="C46" s="140">
        <v>0.60500489471515484</v>
      </c>
      <c r="D46" s="164">
        <v>100</v>
      </c>
      <c r="E46" s="150">
        <v>179.50800000009909</v>
      </c>
      <c r="F46" s="140">
        <v>0.54068291986513894</v>
      </c>
      <c r="H46" s="150">
        <v>-7.6279999999139108</v>
      </c>
      <c r="I46" s="140">
        <v>-4.076179890514589</v>
      </c>
      <c r="K46" s="150">
        <v>13.727046806933613</v>
      </c>
      <c r="L46" s="140">
        <v>7.3353319547990017</v>
      </c>
      <c r="N46" s="150">
        <v>-1.4594109356690108</v>
      </c>
      <c r="O46" s="140">
        <v>-0.77986647981623491</v>
      </c>
      <c r="Q46" s="150">
        <v>-19.895635871178513</v>
      </c>
      <c r="R46" s="140">
        <v>-10.631645365497354</v>
      </c>
      <c r="S46" s="140"/>
      <c r="T46" s="161">
        <v>187.13600000001301</v>
      </c>
      <c r="U46" s="161">
        <v>179.50800000009909</v>
      </c>
      <c r="V46" s="168"/>
      <c r="Y46" s="134"/>
      <c r="Z46" s="150"/>
      <c r="AA46" s="150"/>
      <c r="AB46" s="134"/>
      <c r="AC46" s="150"/>
      <c r="AE46" s="134"/>
      <c r="AF46" s="150"/>
    </row>
    <row r="47" spans="1:32" x14ac:dyDescent="0.3">
      <c r="A47" t="str">
        <f>name!A45</f>
        <v>Film and music</v>
      </c>
      <c r="B47" s="150">
        <v>199.87700000026544</v>
      </c>
      <c r="C47" s="140">
        <v>0.64619615328495417</v>
      </c>
      <c r="D47" s="164">
        <v>100</v>
      </c>
      <c r="E47" s="150">
        <v>198.79299999997147</v>
      </c>
      <c r="F47" s="140">
        <v>0.59876985810479655</v>
      </c>
      <c r="H47" s="150">
        <v>-1.0840000002939487</v>
      </c>
      <c r="I47" s="140">
        <v>-0.54233353527044592</v>
      </c>
      <c r="K47" s="150">
        <v>14.66164145131307</v>
      </c>
      <c r="L47" s="140">
        <v>7.3353319547990017</v>
      </c>
      <c r="N47" s="150">
        <v>-1.0760623252874428</v>
      </c>
      <c r="O47" s="140">
        <v>-0.53836225543009641</v>
      </c>
      <c r="Q47" s="150">
        <v>-14.669579126319576</v>
      </c>
      <c r="R47" s="140">
        <v>-7.3393032346393507</v>
      </c>
      <c r="S47" s="140"/>
      <c r="T47" s="161">
        <v>199.87700000026544</v>
      </c>
      <c r="U47" s="161">
        <v>198.79299999997147</v>
      </c>
      <c r="V47" s="168"/>
      <c r="Y47" s="134"/>
      <c r="Z47" s="134"/>
      <c r="AA47" s="134"/>
      <c r="AB47" s="134"/>
      <c r="AC47" s="134"/>
      <c r="AE47" s="134"/>
      <c r="AF47" s="150"/>
    </row>
    <row r="48" spans="1:32" x14ac:dyDescent="0.3">
      <c r="A48" t="str">
        <f>name!A46</f>
        <v>Broadcasting</v>
      </c>
      <c r="B48" s="150">
        <v>438.62000000015314</v>
      </c>
      <c r="C48" s="140">
        <v>1.4180448813698885</v>
      </c>
      <c r="D48" s="164">
        <v>100</v>
      </c>
      <c r="E48" s="150">
        <v>414.383999999926</v>
      </c>
      <c r="F48" s="140">
        <v>1.2481357436171761</v>
      </c>
      <c r="H48" s="150">
        <v>-24.236000000227126</v>
      </c>
      <c r="I48" s="140">
        <v>-5.525511832615627</v>
      </c>
      <c r="K48" s="150">
        <v>32.174233020150616</v>
      </c>
      <c r="L48" s="140">
        <v>7.3353319547990017</v>
      </c>
      <c r="N48" s="150">
        <v>-3.8550939128439801</v>
      </c>
      <c r="O48" s="140">
        <v>-0.87891430232151613</v>
      </c>
      <c r="Q48" s="150">
        <v>-52.555139107533762</v>
      </c>
      <c r="R48" s="140">
        <v>-11.981929485093113</v>
      </c>
      <c r="S48" s="140"/>
      <c r="T48" s="161">
        <v>438.62000000015314</v>
      </c>
      <c r="U48" s="161">
        <v>414.383999999926</v>
      </c>
      <c r="Y48" s="134"/>
      <c r="Z48" s="134"/>
      <c r="AA48" s="134"/>
      <c r="AB48" s="134"/>
      <c r="AC48" s="134"/>
      <c r="AE48" s="134"/>
    </row>
    <row r="49" spans="1:21" x14ac:dyDescent="0.3">
      <c r="A49" t="str">
        <f>name!A47</f>
        <v>Telecommunications</v>
      </c>
      <c r="B49" s="150">
        <v>613.98799999968332</v>
      </c>
      <c r="C49" s="140">
        <v>1.9850041963927363</v>
      </c>
      <c r="D49" s="164">
        <v>100</v>
      </c>
      <c r="E49" s="150">
        <v>538.85800000020777</v>
      </c>
      <c r="F49" s="140">
        <v>1.6230547765706296</v>
      </c>
      <c r="H49" s="150">
        <v>-75.129999999475544</v>
      </c>
      <c r="I49" s="140">
        <v>-12.236395499507205</v>
      </c>
      <c r="K49" s="150">
        <v>45.038057962608065</v>
      </c>
      <c r="L49" s="140">
        <v>7.3353319547990017</v>
      </c>
      <c r="N49" s="150">
        <v>-8.2123246787610498</v>
      </c>
      <c r="O49" s="140">
        <v>-1.3375383034791049</v>
      </c>
      <c r="Q49" s="150">
        <v>-111.95573328332256</v>
      </c>
      <c r="R49" s="140">
        <v>-18.234189150827103</v>
      </c>
      <c r="S49" s="140"/>
      <c r="T49" s="161">
        <v>613.98799999968332</v>
      </c>
      <c r="U49" s="161">
        <v>538.85800000020777</v>
      </c>
    </row>
    <row r="50" spans="1:21" x14ac:dyDescent="0.3">
      <c r="A50" t="str">
        <f>name!A48</f>
        <v>Computing services</v>
      </c>
      <c r="B50" s="150">
        <v>132.72299999993143</v>
      </c>
      <c r="C50" s="140">
        <v>0.42908935021178413</v>
      </c>
      <c r="D50" s="164">
        <v>100</v>
      </c>
      <c r="E50" s="150">
        <v>135.03200000005205</v>
      </c>
      <c r="F50" s="140">
        <v>0.40672001267474028</v>
      </c>
      <c r="H50" s="150">
        <v>2.3090000001206064</v>
      </c>
      <c r="I50" s="140">
        <v>1.7397135388152762</v>
      </c>
      <c r="K50" s="150">
        <v>9.7356726303628491</v>
      </c>
      <c r="L50" s="140">
        <v>7.3353319547990017</v>
      </c>
      <c r="N50" s="150">
        <v>-0.50754125477889156</v>
      </c>
      <c r="O50" s="140">
        <v>-0.38240640640970575</v>
      </c>
      <c r="Q50" s="150">
        <v>-6.9191313754633512</v>
      </c>
      <c r="R50" s="140">
        <v>-5.2132120095740202</v>
      </c>
      <c r="S50" s="140"/>
      <c r="T50" s="161">
        <v>132.72299999993143</v>
      </c>
      <c r="U50" s="161">
        <v>135.03200000005205</v>
      </c>
    </row>
    <row r="51" spans="1:21" x14ac:dyDescent="0.3">
      <c r="A51" t="str">
        <f>name!A49</f>
        <v>Information services</v>
      </c>
      <c r="B51" s="150">
        <v>312.76299999983866</v>
      </c>
      <c r="C51" s="140">
        <v>1.0111530966018576</v>
      </c>
      <c r="D51" s="164">
        <v>100</v>
      </c>
      <c r="E51" s="150">
        <v>502.44200000019339</v>
      </c>
      <c r="F51" s="140">
        <v>1.5133688059743005</v>
      </c>
      <c r="H51" s="150">
        <v>189.6790000003547</v>
      </c>
      <c r="I51" s="140">
        <v>60.646240124456078</v>
      </c>
      <c r="K51" s="150">
        <v>22.942204281776167</v>
      </c>
      <c r="L51" s="140">
        <v>7.3353319547990017</v>
      </c>
      <c r="N51" s="150">
        <v>11.394847562313828</v>
      </c>
      <c r="O51" s="140">
        <v>3.6432850312599978</v>
      </c>
      <c r="Q51" s="150">
        <v>155.34194815626472</v>
      </c>
      <c r="R51" s="140">
        <v>49.667623138397076</v>
      </c>
      <c r="S51" s="140"/>
      <c r="T51" s="161">
        <v>312.76299999983866</v>
      </c>
      <c r="U51" s="161">
        <v>502.44200000019339</v>
      </c>
    </row>
    <row r="52" spans="1:21" x14ac:dyDescent="0.3">
      <c r="A52" t="str">
        <f>name!A50</f>
        <v>Financial services</v>
      </c>
      <c r="B52" s="150">
        <v>548.61799999979723</v>
      </c>
      <c r="C52" s="140">
        <v>1.7736650100926228</v>
      </c>
      <c r="D52" s="164">
        <v>100</v>
      </c>
      <c r="E52" s="150">
        <v>580.38300000007268</v>
      </c>
      <c r="F52" s="140">
        <v>1.7481291924591382</v>
      </c>
      <c r="H52" s="150">
        <v>31.765000000275439</v>
      </c>
      <c r="I52" s="140">
        <v>5.7900032445685667</v>
      </c>
      <c r="K52" s="150">
        <v>40.242951463764314</v>
      </c>
      <c r="L52" s="140">
        <v>7.3353319547990017</v>
      </c>
      <c r="N52" s="150">
        <v>-0.57938599665903823</v>
      </c>
      <c r="O52" s="140">
        <v>-0.10560827327197655</v>
      </c>
      <c r="Q52" s="150">
        <v>-7.8985654668298366</v>
      </c>
      <c r="R52" s="140">
        <v>-1.4397204369584586</v>
      </c>
      <c r="S52" s="140"/>
      <c r="T52" s="161">
        <v>548.61799999979723</v>
      </c>
      <c r="U52" s="161">
        <v>580.38300000007268</v>
      </c>
    </row>
    <row r="53" spans="1:21" x14ac:dyDescent="0.3">
      <c r="A53" t="str">
        <f>name!A51</f>
        <v>Insurance and pensions</v>
      </c>
      <c r="B53" s="150">
        <v>1501.1650000006377</v>
      </c>
      <c r="C53" s="140">
        <v>4.8532199725087537</v>
      </c>
      <c r="D53" s="164">
        <v>100</v>
      </c>
      <c r="E53" s="150">
        <v>1898.5639999980804</v>
      </c>
      <c r="F53" s="140">
        <v>5.7185257875372297</v>
      </c>
      <c r="H53" s="150">
        <v>397.39899999744262</v>
      </c>
      <c r="I53" s="140">
        <v>26.472706198004467</v>
      </c>
      <c r="K53" s="150">
        <v>110.11543593930521</v>
      </c>
      <c r="L53" s="140">
        <v>7.3353319547990017</v>
      </c>
      <c r="N53" s="150">
        <v>19.633053433064049</v>
      </c>
      <c r="O53" s="140">
        <v>1.3078544619049677</v>
      </c>
      <c r="Q53" s="150">
        <v>267.65051062507337</v>
      </c>
      <c r="R53" s="140">
        <v>17.829519781300501</v>
      </c>
      <c r="S53" s="140"/>
      <c r="T53" s="161">
        <v>1501.1650000006377</v>
      </c>
      <c r="U53" s="161">
        <v>1898.5639999980804</v>
      </c>
    </row>
    <row r="54" spans="1:21" x14ac:dyDescent="0.3">
      <c r="A54" t="str">
        <f>name!A52</f>
        <v>Auxiliary financial services</v>
      </c>
      <c r="B54" s="150">
        <v>471.13500000027409</v>
      </c>
      <c r="C54" s="140">
        <v>1.5231648697833153</v>
      </c>
      <c r="D54" s="164">
        <v>100</v>
      </c>
      <c r="E54" s="150">
        <v>502.06400000003481</v>
      </c>
      <c r="F54" s="140">
        <v>1.5122302598159418</v>
      </c>
      <c r="H54" s="150">
        <v>30.928999999760709</v>
      </c>
      <c r="I54" s="140">
        <v>6.5647850403265977</v>
      </c>
      <c r="K54" s="150">
        <v>34.559316205262384</v>
      </c>
      <c r="L54" s="140">
        <v>7.3353319547990017</v>
      </c>
      <c r="N54" s="150">
        <v>-0.24809700574137494</v>
      </c>
      <c r="O54" s="140">
        <v>-5.2659430044728284E-2</v>
      </c>
      <c r="Q54" s="150">
        <v>-3.3822191997602999</v>
      </c>
      <c r="R54" s="140">
        <v>-0.71788748442767625</v>
      </c>
      <c r="S54" s="140"/>
      <c r="T54" s="161">
        <v>471.13500000027409</v>
      </c>
      <c r="U54" s="161">
        <v>502.06400000003481</v>
      </c>
    </row>
    <row r="55" spans="1:21" x14ac:dyDescent="0.3">
      <c r="A55" t="str">
        <f>name!A53</f>
        <v>Real estate</v>
      </c>
      <c r="B55" s="150">
        <v>106.49900000005229</v>
      </c>
      <c r="C55" s="140">
        <v>0.34430797004476121</v>
      </c>
      <c r="D55" s="164">
        <v>100</v>
      </c>
      <c r="E55" s="150">
        <v>125.1209999999075</v>
      </c>
      <c r="F55" s="140">
        <v>0.37686781433896366</v>
      </c>
      <c r="H55" s="150">
        <v>18.621999999855209</v>
      </c>
      <c r="I55" s="140">
        <v>17.485610193378402</v>
      </c>
      <c r="K55" s="150">
        <v>7.8120551785452239</v>
      </c>
      <c r="L55" s="140">
        <v>7.3353319547990017</v>
      </c>
      <c r="N55" s="150">
        <v>0.73875519116819888</v>
      </c>
      <c r="O55" s="140">
        <v>0.6936733595318606</v>
      </c>
      <c r="Q55" s="150">
        <v>10.071189630141788</v>
      </c>
      <c r="R55" s="140">
        <v>9.4566048790475428</v>
      </c>
      <c r="S55" s="140"/>
      <c r="T55" s="161">
        <v>106.49900000005229</v>
      </c>
      <c r="U55" s="161">
        <v>125.1209999999075</v>
      </c>
    </row>
    <row r="56" spans="1:21" x14ac:dyDescent="0.3">
      <c r="A56" t="str">
        <f>name!A54</f>
        <v>Legal and accounting</v>
      </c>
      <c r="B56" s="150">
        <v>216.71200000001988</v>
      </c>
      <c r="C56" s="140">
        <v>0.7006231871126537</v>
      </c>
      <c r="D56" s="164">
        <v>100</v>
      </c>
      <c r="E56" s="150">
        <v>307.62700000008448</v>
      </c>
      <c r="F56" s="140">
        <v>0.92658079076869526</v>
      </c>
      <c r="H56" s="150">
        <v>90.91500000006458</v>
      </c>
      <c r="I56" s="140">
        <v>41.951991583325444</v>
      </c>
      <c r="K56" s="150">
        <v>15.89654458588547</v>
      </c>
      <c r="L56" s="140">
        <v>7.3353319547990017</v>
      </c>
      <c r="N56" s="150">
        <v>5.1267859629951857</v>
      </c>
      <c r="O56" s="140">
        <v>2.3657139258530746</v>
      </c>
      <c r="Q56" s="150">
        <v>69.89166945118393</v>
      </c>
      <c r="R56" s="140">
        <v>32.25094570267337</v>
      </c>
      <c r="S56" s="140"/>
      <c r="T56" s="161">
        <v>216.71200000001988</v>
      </c>
      <c r="U56" s="161">
        <v>307.62700000008448</v>
      </c>
    </row>
    <row r="57" spans="1:21" ht="12.75" customHeight="1" x14ac:dyDescent="0.3">
      <c r="A57" t="str">
        <f>name!A55</f>
        <v>Head offices, etc</v>
      </c>
      <c r="B57" s="150">
        <v>488.51200000004457</v>
      </c>
      <c r="C57" s="140">
        <v>1.5793441728320374</v>
      </c>
      <c r="D57" s="164">
        <v>100</v>
      </c>
      <c r="E57" s="150">
        <v>554.93600000015249</v>
      </c>
      <c r="F57" s="140">
        <v>1.6714821446297523</v>
      </c>
      <c r="H57" s="150">
        <v>66.424000000107924</v>
      </c>
      <c r="I57" s="140">
        <v>13.597209485151206</v>
      </c>
      <c r="K57" s="150">
        <v>35.833976839030967</v>
      </c>
      <c r="L57" s="140">
        <v>7.3353319547990017</v>
      </c>
      <c r="N57" s="150">
        <v>2.0905322628152163</v>
      </c>
      <c r="O57" s="140">
        <v>0.42793877383053552</v>
      </c>
      <c r="Q57" s="150">
        <v>28.49949089826174</v>
      </c>
      <c r="R57" s="140">
        <v>5.83393875652167</v>
      </c>
      <c r="S57" s="140"/>
      <c r="T57" s="161">
        <v>488.51200000004457</v>
      </c>
      <c r="U57" s="161">
        <v>554.93600000015249</v>
      </c>
    </row>
    <row r="58" spans="1:21" x14ac:dyDescent="0.3">
      <c r="A58" t="str">
        <f>name!A56</f>
        <v>Architectural and related</v>
      </c>
      <c r="B58" s="150">
        <v>154.33900000012474</v>
      </c>
      <c r="C58" s="140">
        <v>0.49897320903252856</v>
      </c>
      <c r="D58" s="164">
        <v>100</v>
      </c>
      <c r="E58" s="150">
        <v>141.48199999997618</v>
      </c>
      <c r="F58" s="140">
        <v>0.42614758600343433</v>
      </c>
      <c r="H58" s="150">
        <v>-12.857000000148545</v>
      </c>
      <c r="I58" s="140">
        <v>-8.3303636800407901</v>
      </c>
      <c r="K58" s="150">
        <v>11.321277985726381</v>
      </c>
      <c r="L58" s="140">
        <v>7.3353319547990017</v>
      </c>
      <c r="N58" s="150">
        <v>-1.6523514847514473</v>
      </c>
      <c r="O58" s="140">
        <v>-1.0705988018259234</v>
      </c>
      <c r="Q58" s="150">
        <v>-22.525926501123479</v>
      </c>
      <c r="R58" s="140">
        <v>-14.595096833013868</v>
      </c>
      <c r="S58" s="140"/>
      <c r="T58" s="161">
        <v>154.33900000012474</v>
      </c>
      <c r="U58" s="161">
        <v>141.48199999997618</v>
      </c>
    </row>
    <row r="59" spans="1:21" x14ac:dyDescent="0.3">
      <c r="A59" t="str">
        <f>name!A57</f>
        <v>Scientific research and development</v>
      </c>
      <c r="B59" s="150">
        <v>945.30400000076372</v>
      </c>
      <c r="C59" s="140">
        <v>3.0561385676419133</v>
      </c>
      <c r="D59" s="164">
        <v>100</v>
      </c>
      <c r="E59" s="150">
        <v>1147.9249999998067</v>
      </c>
      <c r="F59" s="140">
        <v>3.4575809478449013</v>
      </c>
      <c r="H59" s="150">
        <v>202.62099999904308</v>
      </c>
      <c r="I59" s="140">
        <v>21.434480336365802</v>
      </c>
      <c r="K59" s="150">
        <v>69.341186382049173</v>
      </c>
      <c r="L59" s="140">
        <v>7.3353319547990017</v>
      </c>
      <c r="N59" s="150">
        <v>9.1083863807875787</v>
      </c>
      <c r="O59" s="140">
        <v>0.96354044633051583</v>
      </c>
      <c r="Q59" s="150">
        <v>124.17142723620634</v>
      </c>
      <c r="R59" s="140">
        <v>13.135607935236285</v>
      </c>
      <c r="S59" s="140"/>
      <c r="T59" s="161">
        <v>945.30400000076372</v>
      </c>
      <c r="U59" s="161">
        <v>1147.9249999998067</v>
      </c>
    </row>
    <row r="60" spans="1:21" x14ac:dyDescent="0.3">
      <c r="A60" t="str">
        <f>name!A58</f>
        <v>Advertising, etc</v>
      </c>
      <c r="B60" s="150">
        <v>116.95000000009452</v>
      </c>
      <c r="C60" s="140">
        <v>0.37809572950682724</v>
      </c>
      <c r="D60" s="164">
        <v>100</v>
      </c>
      <c r="E60" s="150">
        <v>118.9089999999799</v>
      </c>
      <c r="F60" s="140">
        <v>0.35815710340596213</v>
      </c>
      <c r="H60" s="150">
        <v>1.9589999998853891</v>
      </c>
      <c r="I60" s="140">
        <v>1.6750748181990645</v>
      </c>
      <c r="K60" s="150">
        <v>8.5786707211443645</v>
      </c>
      <c r="L60" s="140">
        <v>7.3353319547989999</v>
      </c>
      <c r="N60" s="150">
        <v>-0.45239047839668522</v>
      </c>
      <c r="O60" s="140">
        <v>-0.38682383787628871</v>
      </c>
      <c r="Q60" s="150">
        <v>-6.1672802428622902</v>
      </c>
      <c r="R60" s="140">
        <v>-5.2734332987236474</v>
      </c>
      <c r="S60" s="140"/>
      <c r="T60" s="161">
        <v>116.95000000009452</v>
      </c>
      <c r="U60" s="161">
        <v>118.9089999999799</v>
      </c>
    </row>
    <row r="61" spans="1:21" ht="12.75" customHeight="1" x14ac:dyDescent="0.3">
      <c r="A61" t="str">
        <f>name!A59</f>
        <v>Other professional</v>
      </c>
      <c r="B61" s="150">
        <v>1329.574000001074</v>
      </c>
      <c r="C61" s="140">
        <v>4.2984715815588732</v>
      </c>
      <c r="D61" s="164">
        <v>100</v>
      </c>
      <c r="E61" s="150">
        <v>1355.4139999997719</v>
      </c>
      <c r="F61" s="140">
        <v>4.0825433916346876</v>
      </c>
      <c r="H61" s="150">
        <v>25.839999998697778</v>
      </c>
      <c r="I61" s="140">
        <v>1.9434796407478565</v>
      </c>
      <c r="K61" s="150">
        <v>97.528666484778057</v>
      </c>
      <c r="L61" s="140">
        <v>7.3353319547990017</v>
      </c>
      <c r="N61" s="150">
        <v>-4.899227090420851</v>
      </c>
      <c r="O61" s="140">
        <v>-0.36848096385886708</v>
      </c>
      <c r="Q61" s="150">
        <v>-66.789439395659429</v>
      </c>
      <c r="R61" s="140">
        <v>-5.0233713501922779</v>
      </c>
      <c r="S61" s="140"/>
      <c r="T61" s="161">
        <v>1329.574000001074</v>
      </c>
      <c r="U61" s="161">
        <v>1355.4139999997719</v>
      </c>
    </row>
    <row r="62" spans="1:21" ht="12.75" customHeight="1" x14ac:dyDescent="0.3">
      <c r="A62" t="str">
        <f>name!A60</f>
        <v>Veterinary</v>
      </c>
      <c r="B62" s="150">
        <v>1373.6089999998901</v>
      </c>
      <c r="C62" s="140">
        <v>4.4408353733363164</v>
      </c>
      <c r="D62" s="164">
        <v>100</v>
      </c>
      <c r="E62" s="150">
        <v>1410.480000000412</v>
      </c>
      <c r="F62" s="140">
        <v>4.2484036634087783</v>
      </c>
      <c r="H62" s="150">
        <v>36.87100000052201</v>
      </c>
      <c r="I62" s="140">
        <v>2.6842427503405233</v>
      </c>
      <c r="K62" s="150">
        <v>100.75877991098696</v>
      </c>
      <c r="L62" s="140">
        <v>7.3353319547990017</v>
      </c>
      <c r="N62" s="150">
        <v>-4.366111931304566</v>
      </c>
      <c r="O62" s="140">
        <v>-0.31785696885393994</v>
      </c>
      <c r="Q62" s="150">
        <v>-59.521667979160384</v>
      </c>
      <c r="R62" s="140">
        <v>-4.3332322356045383</v>
      </c>
      <c r="S62" s="140"/>
      <c r="T62" s="161">
        <v>1373.6089999998901</v>
      </c>
      <c r="U62" s="161">
        <v>1410.480000000412</v>
      </c>
    </row>
    <row r="63" spans="1:21" x14ac:dyDescent="0.3">
      <c r="A63" t="str">
        <f>name!A61</f>
        <v>Rental and leasing</v>
      </c>
      <c r="B63" s="150">
        <v>2644.983000000736</v>
      </c>
      <c r="C63" s="140">
        <v>8.5511481566278444</v>
      </c>
      <c r="D63" s="164">
        <v>100</v>
      </c>
      <c r="E63" s="150">
        <v>2641.450000001309</v>
      </c>
      <c r="F63" s="140">
        <v>7.9561183829004314</v>
      </c>
      <c r="H63" s="150">
        <v>-3.5329999994267709</v>
      </c>
      <c r="I63" s="140">
        <v>-0.13357363731357774</v>
      </c>
      <c r="K63" s="150">
        <v>194.01828319805523</v>
      </c>
      <c r="L63" s="140">
        <v>7.3353319547989999</v>
      </c>
      <c r="N63" s="150">
        <v>-13.500719790574287</v>
      </c>
      <c r="O63" s="140">
        <v>-0.51042746930965266</v>
      </c>
      <c r="Q63" s="150">
        <v>-184.05056340690771</v>
      </c>
      <c r="R63" s="140">
        <v>-6.9584781228029264</v>
      </c>
      <c r="S63" s="140"/>
      <c r="T63" s="161">
        <v>2644.983000000736</v>
      </c>
      <c r="U63" s="161">
        <v>2641.450000001309</v>
      </c>
    </row>
    <row r="64" spans="1:21" x14ac:dyDescent="0.3">
      <c r="A64" t="str">
        <f>name!A62</f>
        <v>Employment activities</v>
      </c>
      <c r="B64" s="150">
        <v>2374.4340000002467</v>
      </c>
      <c r="C64" s="140">
        <v>7.6764716151789791</v>
      </c>
      <c r="D64" s="164">
        <v>100</v>
      </c>
      <c r="E64" s="150">
        <v>2612.1830000006412</v>
      </c>
      <c r="F64" s="140">
        <v>7.8679653924150754</v>
      </c>
      <c r="H64" s="150">
        <v>237.7490000003944</v>
      </c>
      <c r="I64" s="140">
        <v>10.012870435664656</v>
      </c>
      <c r="K64" s="150">
        <v>174.17261594763022</v>
      </c>
      <c r="L64" s="140">
        <v>7.3353319547990017</v>
      </c>
      <c r="N64" s="150">
        <v>4.3448310357788387</v>
      </c>
      <c r="O64" s="140">
        <v>0.18298386208159026</v>
      </c>
      <c r="Q64" s="150">
        <v>59.231553016985345</v>
      </c>
      <c r="R64" s="140">
        <v>2.4945546187840635</v>
      </c>
      <c r="S64" s="140"/>
      <c r="T64" s="161">
        <v>2374.4340000002467</v>
      </c>
      <c r="U64" s="161">
        <v>2612.1830000006412</v>
      </c>
    </row>
    <row r="65" spans="1:21" x14ac:dyDescent="0.3">
      <c r="A65" t="str">
        <f>name!A63</f>
        <v>Travel, etc</v>
      </c>
      <c r="B65" s="150">
        <v>1674.2150000001743</v>
      </c>
      <c r="C65" s="140">
        <v>5.4126852652913824</v>
      </c>
      <c r="D65" s="164">
        <v>100</v>
      </c>
      <c r="E65" s="150">
        <v>1674.3130000004107</v>
      </c>
      <c r="F65" s="140">
        <v>5.0430757493141405</v>
      </c>
      <c r="H65" s="150">
        <v>9.8000000236323159E-2</v>
      </c>
      <c r="I65" s="140">
        <v>5.8534895599617097E-3</v>
      </c>
      <c r="K65" s="150">
        <v>122.80922788705089</v>
      </c>
      <c r="L65" s="140">
        <v>7.3353319547990017</v>
      </c>
      <c r="N65" s="150">
        <v>-8.3861257494394739</v>
      </c>
      <c r="O65" s="140">
        <v>-0.50089897351526547</v>
      </c>
      <c r="Q65" s="150">
        <v>-114.3251021373751</v>
      </c>
      <c r="R65" s="140">
        <v>-6.8285794917237741</v>
      </c>
      <c r="S65" s="140"/>
      <c r="T65" s="161">
        <v>1674.2150000001743</v>
      </c>
      <c r="U65" s="161">
        <v>1674.3130000004107</v>
      </c>
    </row>
    <row r="66" spans="1:21" x14ac:dyDescent="0.3">
      <c r="A66" t="str">
        <f>name!A64</f>
        <v>Security, etc</v>
      </c>
      <c r="B66" s="150">
        <v>413.60599999980559</v>
      </c>
      <c r="C66" s="140">
        <v>1.3371753937426327</v>
      </c>
      <c r="D66" s="164">
        <v>100</v>
      </c>
      <c r="E66" s="150">
        <v>428.36800000013642</v>
      </c>
      <c r="F66" s="140">
        <v>1.2902559274056631</v>
      </c>
      <c r="H66" s="150">
        <v>14.762000000330852</v>
      </c>
      <c r="I66" s="140">
        <v>3.5690971601808945</v>
      </c>
      <c r="K66" s="150">
        <v>30.339373084951696</v>
      </c>
      <c r="L66" s="140">
        <v>7.3353319547990017</v>
      </c>
      <c r="N66" s="150">
        <v>-1.064562809640007</v>
      </c>
      <c r="O66" s="140">
        <v>-0.25738572690930678</v>
      </c>
      <c r="Q66" s="150">
        <v>-14.512810274980836</v>
      </c>
      <c r="R66" s="140">
        <v>-3.5088490677087996</v>
      </c>
      <c r="S66" s="140"/>
      <c r="T66" s="161">
        <v>413.60599999980559</v>
      </c>
      <c r="U66" s="161">
        <v>428.36800000013642</v>
      </c>
    </row>
    <row r="67" spans="1:21" x14ac:dyDescent="0.3">
      <c r="A67" t="str">
        <f>name!A65</f>
        <v>Services to buildings</v>
      </c>
      <c r="B67" s="150">
        <v>435.47399999979547</v>
      </c>
      <c r="C67" s="140">
        <v>1.4078739607613997</v>
      </c>
      <c r="D67" s="164">
        <v>100</v>
      </c>
      <c r="E67" s="150">
        <v>454.83400000014473</v>
      </c>
      <c r="F67" s="140">
        <v>1.3699722306185969</v>
      </c>
      <c r="H67" s="150">
        <v>19.360000000349245</v>
      </c>
      <c r="I67" s="140">
        <v>4.4457303996009729</v>
      </c>
      <c r="K67" s="150">
        <v>31.943463476826398</v>
      </c>
      <c r="L67" s="140">
        <v>7.3353319547990017</v>
      </c>
      <c r="N67" s="150">
        <v>-0.85995804046995161</v>
      </c>
      <c r="O67" s="140">
        <v>-0.19747632246020552</v>
      </c>
      <c r="Q67" s="150">
        <v>-11.723505436007201</v>
      </c>
      <c r="R67" s="140">
        <v>-2.6921252327378231</v>
      </c>
      <c r="S67" s="140"/>
      <c r="T67" s="161">
        <v>435.47399999979547</v>
      </c>
      <c r="U67" s="161">
        <v>454.83400000014473</v>
      </c>
    </row>
    <row r="68" spans="1:21" x14ac:dyDescent="0.3">
      <c r="A68" t="str">
        <f>name!A66</f>
        <v>Office administrative</v>
      </c>
      <c r="B68" s="150">
        <v>242.30100000016066</v>
      </c>
      <c r="C68" s="140">
        <v>0.78335163193861013</v>
      </c>
      <c r="D68" s="164">
        <v>100</v>
      </c>
      <c r="E68" s="150">
        <v>263.26700000002035</v>
      </c>
      <c r="F68" s="140">
        <v>0.79296727869547856</v>
      </c>
      <c r="H68" s="150">
        <v>20.965999999859719</v>
      </c>
      <c r="I68" s="140">
        <v>8.6528739047077057</v>
      </c>
      <c r="K68" s="150">
        <v>17.773582679809312</v>
      </c>
      <c r="L68" s="140">
        <v>7.3353319547990017</v>
      </c>
      <c r="N68" s="150">
        <v>0.2181708516137455</v>
      </c>
      <c r="O68" s="140">
        <v>9.0041251011593354E-2</v>
      </c>
      <c r="Q68" s="150">
        <v>2.974246468436661</v>
      </c>
      <c r="R68" s="140">
        <v>1.2275006988971109</v>
      </c>
      <c r="S68" s="140"/>
      <c r="T68" s="161">
        <v>242.30100000016066</v>
      </c>
      <c r="U68" s="161">
        <v>263.26700000002035</v>
      </c>
    </row>
    <row r="69" spans="1:21" x14ac:dyDescent="0.3">
      <c r="A69" t="str">
        <f>name!A67</f>
        <v>Public administration and defence</v>
      </c>
      <c r="B69" s="150">
        <v>90.647000000060117</v>
      </c>
      <c r="C69" s="140">
        <v>0.29305894478495426</v>
      </c>
      <c r="D69" s="164">
        <v>100</v>
      </c>
      <c r="E69" s="150">
        <v>97.768000000007532</v>
      </c>
      <c r="F69" s="140">
        <v>0.29447984329027005</v>
      </c>
      <c r="H69" s="150">
        <v>7.1209999999474238</v>
      </c>
      <c r="I69" s="140">
        <v>7.8557481217720406</v>
      </c>
      <c r="K69" s="150">
        <v>6.6492583570710604</v>
      </c>
      <c r="L69" s="140">
        <v>7.3353319547990017</v>
      </c>
      <c r="N69" s="150">
        <v>3.2238979321913774E-2</v>
      </c>
      <c r="O69" s="140">
        <v>3.5565412337851661E-2</v>
      </c>
      <c r="Q69" s="150">
        <v>0.43950266355444967</v>
      </c>
      <c r="R69" s="140">
        <v>0.48485075463518729</v>
      </c>
      <c r="S69" s="140"/>
      <c r="T69" s="161">
        <v>90.647000000060117</v>
      </c>
      <c r="U69" s="161">
        <v>97.768000000007532</v>
      </c>
    </row>
    <row r="70" spans="1:21" x14ac:dyDescent="0.3">
      <c r="A70" t="str">
        <f>name!A68</f>
        <v xml:space="preserve">Education </v>
      </c>
      <c r="B70" s="150">
        <v>541.20600000035859</v>
      </c>
      <c r="C70" s="140">
        <v>1.7497022435523057</v>
      </c>
      <c r="D70" s="164">
        <v>100</v>
      </c>
      <c r="E70" s="150">
        <v>583.72000000004539</v>
      </c>
      <c r="F70" s="140">
        <v>1.75818032613326</v>
      </c>
      <c r="H70" s="150">
        <v>42.513999999686845</v>
      </c>
      <c r="I70" s="140">
        <v>7.8554191933678998</v>
      </c>
      <c r="K70" s="150">
        <v>39.699256659315786</v>
      </c>
      <c r="L70" s="140">
        <v>7.3353319547990017</v>
      </c>
      <c r="N70" s="150">
        <v>0.19236048739177392</v>
      </c>
      <c r="O70" s="140">
        <v>3.5542933262315363E-2</v>
      </c>
      <c r="Q70" s="150">
        <v>2.6223828529792854</v>
      </c>
      <c r="R70" s="140">
        <v>0.48454430530658343</v>
      </c>
      <c r="S70" s="140"/>
      <c r="T70" s="161">
        <v>541.20600000035859</v>
      </c>
      <c r="U70" s="161">
        <v>583.72000000004539</v>
      </c>
    </row>
    <row r="71" spans="1:21" x14ac:dyDescent="0.3">
      <c r="A71" t="str">
        <f>name!A69</f>
        <v>Health</v>
      </c>
      <c r="B71" s="150">
        <v>89.69100000005939</v>
      </c>
      <c r="C71" s="140">
        <v>0.28996822638043518</v>
      </c>
      <c r="D71" s="164">
        <v>100</v>
      </c>
      <c r="E71" s="150">
        <v>93.170000000007207</v>
      </c>
      <c r="F71" s="140">
        <v>0.28063054372958912</v>
      </c>
      <c r="H71" s="150">
        <v>3.4789999999478169</v>
      </c>
      <c r="I71" s="140">
        <v>3.8788730195287302</v>
      </c>
      <c r="K71" s="150">
        <v>6.5791325835831289</v>
      </c>
      <c r="L71" s="140">
        <v>7.3353319547990017</v>
      </c>
      <c r="N71" s="150">
        <v>-0.21186408231755838</v>
      </c>
      <c r="O71" s="140">
        <v>-0.23621554260451783</v>
      </c>
      <c r="Q71" s="150">
        <v>-2.8882685013177536</v>
      </c>
      <c r="R71" s="140">
        <v>-3.2202433926657537</v>
      </c>
      <c r="S71" s="140"/>
      <c r="T71" s="161">
        <v>89.69100000005939</v>
      </c>
      <c r="U71" s="161">
        <v>93.170000000007207</v>
      </c>
    </row>
    <row r="72" spans="1:21" x14ac:dyDescent="0.3">
      <c r="A72" s="23" t="str">
        <f>name!A3</f>
        <v>All industries</v>
      </c>
      <c r="B72" s="151">
        <v>30931.320000000887</v>
      </c>
      <c r="C72" s="146">
        <v>100</v>
      </c>
      <c r="D72" s="197">
        <v>100</v>
      </c>
      <c r="E72" s="151">
        <v>33200.235000002089</v>
      </c>
      <c r="F72" s="146">
        <v>100</v>
      </c>
      <c r="G72" s="144"/>
      <c r="H72" s="151">
        <v>2268.9150000011996</v>
      </c>
      <c r="I72" s="146">
        <v>7.3353319547990017</v>
      </c>
      <c r="J72" s="144"/>
      <c r="K72" s="151">
        <v>2268.9150000011996</v>
      </c>
      <c r="L72" s="146">
        <v>7.3353319547990017</v>
      </c>
      <c r="M72" s="144"/>
      <c r="N72" s="151">
        <v>-2.5920599000528455E-11</v>
      </c>
      <c r="O72" s="146">
        <v>-8.3800494128694509E-14</v>
      </c>
      <c r="P72" s="144"/>
      <c r="Q72" s="151">
        <v>2.5963231564674061E-11</v>
      </c>
      <c r="R72" s="146">
        <v>2.7161651386449669E-13</v>
      </c>
      <c r="S72" s="146"/>
      <c r="T72" s="166">
        <v>30931.320000000887</v>
      </c>
      <c r="U72" s="166">
        <v>33200.235000002089</v>
      </c>
    </row>
    <row r="75" spans="1:21" x14ac:dyDescent="0.3">
      <c r="A75" s="169" t="s">
        <v>73</v>
      </c>
      <c r="B75" s="170"/>
      <c r="C75" s="170"/>
      <c r="D75" s="170"/>
      <c r="E75" s="170"/>
    </row>
    <row r="76" spans="1:21" x14ac:dyDescent="0.3">
      <c r="A76" s="387" t="s">
        <v>74</v>
      </c>
      <c r="B76" s="387"/>
      <c r="C76" s="387"/>
      <c r="D76" s="387"/>
      <c r="E76" s="387"/>
      <c r="F76" s="387"/>
      <c r="G76" s="387"/>
      <c r="H76" s="387"/>
      <c r="I76" s="387"/>
      <c r="J76" s="387"/>
      <c r="K76" s="387"/>
      <c r="L76" s="387"/>
      <c r="M76" s="387"/>
      <c r="N76" s="387"/>
      <c r="O76" s="387"/>
      <c r="P76" s="387"/>
      <c r="Q76" s="387"/>
      <c r="R76" s="387"/>
    </row>
    <row r="77" spans="1:21" x14ac:dyDescent="0.3">
      <c r="A77" s="387" t="s">
        <v>75</v>
      </c>
      <c r="B77" s="387"/>
      <c r="C77" s="387"/>
      <c r="D77" s="387"/>
      <c r="E77" s="387"/>
      <c r="F77" s="387"/>
      <c r="G77" s="387"/>
      <c r="H77" s="387"/>
      <c r="I77" s="387"/>
      <c r="J77" s="387"/>
      <c r="K77" s="387"/>
      <c r="L77" s="387"/>
      <c r="M77" s="387"/>
      <c r="N77" s="387"/>
      <c r="O77" s="387"/>
      <c r="P77" s="387"/>
      <c r="Q77" s="387"/>
      <c r="R77" s="387"/>
    </row>
    <row r="78" spans="1:21" x14ac:dyDescent="0.3">
      <c r="A78" s="387" t="s">
        <v>76</v>
      </c>
      <c r="B78" s="387"/>
      <c r="C78" s="387"/>
      <c r="D78" s="387"/>
      <c r="E78" s="387"/>
      <c r="F78" s="387"/>
      <c r="G78" s="387"/>
      <c r="H78" s="387"/>
      <c r="I78" s="387"/>
      <c r="J78" s="387"/>
      <c r="K78" s="387"/>
      <c r="L78" s="387"/>
      <c r="M78" s="387"/>
      <c r="N78" s="387"/>
      <c r="O78" s="387"/>
      <c r="P78" s="387"/>
      <c r="Q78" s="387"/>
      <c r="R78" s="387"/>
    </row>
    <row r="79" spans="1:21" x14ac:dyDescent="0.3">
      <c r="A79" s="387" t="s">
        <v>77</v>
      </c>
      <c r="B79" s="387"/>
      <c r="C79" s="387"/>
      <c r="D79" s="387"/>
      <c r="E79" s="387"/>
      <c r="F79" s="387"/>
      <c r="G79" s="387"/>
      <c r="H79" s="387"/>
      <c r="I79" s="387"/>
      <c r="J79" s="387"/>
      <c r="K79" s="387"/>
      <c r="L79" s="387"/>
      <c r="M79" s="387"/>
      <c r="N79" s="387"/>
      <c r="O79" s="387"/>
      <c r="P79" s="387"/>
      <c r="Q79" s="387"/>
      <c r="R79" s="387"/>
    </row>
    <row r="80" spans="1:21" x14ac:dyDescent="0.3">
      <c r="A80" s="387" t="s">
        <v>78</v>
      </c>
      <c r="B80" s="387"/>
      <c r="C80" s="387"/>
      <c r="D80" s="387"/>
      <c r="E80" s="387"/>
      <c r="F80" s="387"/>
      <c r="G80" s="387"/>
      <c r="H80" s="387"/>
      <c r="I80" s="387"/>
      <c r="J80" s="387"/>
      <c r="K80" s="387"/>
      <c r="L80" s="387"/>
      <c r="M80" s="387"/>
      <c r="N80" s="387"/>
      <c r="O80" s="387"/>
      <c r="P80" s="387"/>
      <c r="Q80" s="387"/>
      <c r="R80" s="387"/>
    </row>
    <row r="81" spans="1:18" x14ac:dyDescent="0.3">
      <c r="A81" s="387" t="s">
        <v>79</v>
      </c>
      <c r="B81" s="387"/>
      <c r="C81" s="387"/>
      <c r="D81" s="387"/>
      <c r="E81" s="387"/>
      <c r="F81" s="387"/>
      <c r="G81" s="387"/>
      <c r="H81" s="387"/>
      <c r="I81" s="387"/>
      <c r="J81" s="387"/>
      <c r="K81" s="387"/>
      <c r="L81" s="387"/>
      <c r="M81" s="387"/>
      <c r="N81" s="387"/>
      <c r="O81" s="387"/>
      <c r="P81" s="387"/>
      <c r="Q81" s="387"/>
      <c r="R81" s="387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5234375" defaultRowHeight="12.45" x14ac:dyDescent="0.3"/>
  <cols>
    <col min="1" max="1" width="18.15234375" style="90" customWidth="1"/>
    <col min="2" max="6" width="7.69140625" style="90" customWidth="1"/>
    <col min="7" max="7" width="3.53515625" style="90" customWidth="1"/>
    <col min="8" max="12" width="7.69140625" style="90" customWidth="1"/>
    <col min="13" max="13" width="3.53515625" style="90" customWidth="1"/>
    <col min="14" max="18" width="7.69140625" style="90" customWidth="1"/>
    <col min="19" max="19" width="3.53515625" style="90" customWidth="1"/>
    <col min="20" max="24" width="7.69140625" style="90" customWidth="1"/>
    <col min="25" max="16384" width="9.15234375" style="90"/>
  </cols>
  <sheetData>
    <row r="1" spans="1:60" ht="15.45" x14ac:dyDescent="0.4">
      <c r="A1" s="18" t="str">
        <f>CONCATENATE("Basic Table 2a  Population by Gender, Age Group and ISCED Qualification, ",Info!B8,", ",$B$5,"-",$F$5)</f>
        <v>Basic Table 2a  Population by Gender, Age Group and ISCED Qualification, , 2008-2025</v>
      </c>
      <c r="P1" s="180" t="s">
        <v>105</v>
      </c>
      <c r="Y1" s="18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8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3">
      <c r="W2" s="383" t="s">
        <v>13</v>
      </c>
      <c r="X2" s="383"/>
      <c r="AP2" s="120" t="s">
        <v>13</v>
      </c>
      <c r="BH2" s="120" t="s">
        <v>13</v>
      </c>
    </row>
    <row r="3" spans="1:60" x14ac:dyDescent="0.3">
      <c r="A3" s="117" t="s">
        <v>101</v>
      </c>
      <c r="B3" s="183" t="s">
        <v>118</v>
      </c>
      <c r="C3" s="183"/>
      <c r="D3" s="184"/>
      <c r="E3" s="183"/>
      <c r="F3" s="183"/>
      <c r="G3" s="117"/>
      <c r="H3" s="183" t="s">
        <v>46</v>
      </c>
      <c r="I3" s="183"/>
      <c r="J3" s="183"/>
      <c r="K3" s="183"/>
      <c r="L3" s="183"/>
      <c r="M3" s="117"/>
      <c r="N3" s="183" t="s">
        <v>47</v>
      </c>
      <c r="O3" s="183"/>
      <c r="P3" s="183"/>
      <c r="Q3" s="183"/>
      <c r="R3" s="183"/>
      <c r="S3" s="117"/>
      <c r="T3" s="388" t="s">
        <v>48</v>
      </c>
      <c r="U3" s="388"/>
      <c r="V3" s="388"/>
      <c r="W3" s="388"/>
      <c r="X3" s="388"/>
      <c r="Y3" s="117" t="s">
        <v>101</v>
      </c>
      <c r="Z3" s="388" t="s">
        <v>119</v>
      </c>
      <c r="AA3" s="388"/>
      <c r="AB3" s="388"/>
      <c r="AC3" s="388"/>
      <c r="AD3" s="388"/>
      <c r="AE3" s="117"/>
      <c r="AF3" s="183" t="s">
        <v>49</v>
      </c>
      <c r="AG3" s="183"/>
      <c r="AH3" s="183"/>
      <c r="AI3" s="183"/>
      <c r="AJ3" s="183"/>
      <c r="AK3" s="117"/>
      <c r="AL3" s="388" t="s">
        <v>50</v>
      </c>
      <c r="AM3" s="388"/>
      <c r="AN3" s="388"/>
      <c r="AO3" s="388"/>
      <c r="AP3" s="388"/>
      <c r="AQ3" s="117" t="s">
        <v>101</v>
      </c>
      <c r="AR3" s="388" t="s">
        <v>120</v>
      </c>
      <c r="AS3" s="388"/>
      <c r="AT3" s="388"/>
      <c r="AU3" s="388"/>
      <c r="AV3" s="388"/>
      <c r="AW3" s="117"/>
      <c r="AX3" s="183" t="s">
        <v>51</v>
      </c>
      <c r="AY3" s="183"/>
      <c r="AZ3" s="183"/>
      <c r="BA3" s="183"/>
      <c r="BB3" s="183"/>
      <c r="BC3" s="117"/>
      <c r="BD3" s="388" t="s">
        <v>52</v>
      </c>
      <c r="BE3" s="388"/>
      <c r="BF3" s="388"/>
      <c r="BG3" s="388"/>
      <c r="BH3" s="388"/>
    </row>
    <row r="4" spans="1:60" x14ac:dyDescent="0.3">
      <c r="A4" s="179" t="s">
        <v>104</v>
      </c>
      <c r="B4" s="185"/>
      <c r="C4" s="185"/>
      <c r="D4" s="185"/>
      <c r="E4" s="185"/>
      <c r="F4" s="185"/>
      <c r="G4" s="91"/>
      <c r="H4" s="185"/>
      <c r="I4" s="185"/>
      <c r="J4" s="185"/>
      <c r="K4" s="185"/>
      <c r="L4" s="185"/>
      <c r="M4" s="91"/>
      <c r="N4" s="185"/>
      <c r="O4" s="185"/>
      <c r="P4" s="185"/>
      <c r="Q4" s="185"/>
      <c r="R4" s="185"/>
      <c r="S4" s="91"/>
      <c r="T4" s="185"/>
      <c r="U4" s="185"/>
      <c r="V4" s="185"/>
      <c r="W4" s="185"/>
      <c r="X4" s="185"/>
      <c r="Y4" s="179" t="s">
        <v>104</v>
      </c>
      <c r="Z4" s="185"/>
      <c r="AA4" s="185"/>
      <c r="AB4" s="185"/>
      <c r="AC4" s="185"/>
      <c r="AD4" s="185"/>
      <c r="AE4" s="91"/>
      <c r="AF4" s="185"/>
      <c r="AG4" s="185"/>
      <c r="AH4" s="185"/>
      <c r="AI4" s="185"/>
      <c r="AJ4" s="185"/>
      <c r="AK4" s="91"/>
      <c r="AL4" s="185"/>
      <c r="AM4" s="185"/>
      <c r="AN4" s="185"/>
      <c r="AO4" s="185"/>
      <c r="AP4" s="185"/>
      <c r="AQ4" s="179" t="s">
        <v>104</v>
      </c>
      <c r="AR4" s="185"/>
      <c r="AS4" s="185"/>
      <c r="AT4" s="185"/>
      <c r="AU4" s="185"/>
      <c r="AV4" s="185"/>
      <c r="AW4" s="91"/>
      <c r="AX4" s="185"/>
      <c r="AY4" s="185"/>
      <c r="AZ4" s="185"/>
      <c r="BA4" s="185"/>
      <c r="BB4" s="185"/>
      <c r="BC4" s="91"/>
      <c r="BD4" s="185"/>
      <c r="BE4" s="185"/>
      <c r="BF4" s="185"/>
      <c r="BG4" s="185"/>
      <c r="BH4" s="185"/>
    </row>
    <row r="5" spans="1:60" x14ac:dyDescent="0.3">
      <c r="A5" s="178"/>
      <c r="B5" s="186">
        <v>2008</v>
      </c>
      <c r="C5" s="186">
        <v>2010</v>
      </c>
      <c r="D5" s="186">
        <v>2015</v>
      </c>
      <c r="E5" s="186">
        <v>2020</v>
      </c>
      <c r="F5" s="119">
        <v>2025</v>
      </c>
      <c r="G5" s="119"/>
      <c r="H5" s="119">
        <f>B5</f>
        <v>2008</v>
      </c>
      <c r="I5" s="119">
        <f>C5</f>
        <v>2010</v>
      </c>
      <c r="J5" s="119">
        <f>D5</f>
        <v>2015</v>
      </c>
      <c r="K5" s="119">
        <f>E5</f>
        <v>2020</v>
      </c>
      <c r="L5" s="119">
        <f>F5</f>
        <v>2025</v>
      </c>
      <c r="M5" s="119"/>
      <c r="N5" s="119">
        <f>B5</f>
        <v>2008</v>
      </c>
      <c r="O5" s="119">
        <f>C5</f>
        <v>2010</v>
      </c>
      <c r="P5" s="119">
        <f>D5</f>
        <v>2015</v>
      </c>
      <c r="Q5" s="119">
        <f>E5</f>
        <v>2020</v>
      </c>
      <c r="R5" s="119">
        <f>F5</f>
        <v>2025</v>
      </c>
      <c r="S5" s="119"/>
      <c r="T5" s="119">
        <f>B5</f>
        <v>2008</v>
      </c>
      <c r="U5" s="119">
        <f>C5</f>
        <v>2010</v>
      </c>
      <c r="V5" s="119">
        <f>D5</f>
        <v>2015</v>
      </c>
      <c r="W5" s="119">
        <f>E5</f>
        <v>2020</v>
      </c>
      <c r="X5" s="119">
        <f>F5</f>
        <v>2025</v>
      </c>
      <c r="Y5" s="178"/>
      <c r="Z5" s="186">
        <v>2008</v>
      </c>
      <c r="AA5" s="186">
        <v>2010</v>
      </c>
      <c r="AB5" s="186">
        <v>2012</v>
      </c>
      <c r="AC5" s="186">
        <v>2015</v>
      </c>
      <c r="AD5" s="179">
        <v>2020</v>
      </c>
      <c r="AE5" s="119"/>
      <c r="AF5" s="119">
        <f>Z5</f>
        <v>2008</v>
      </c>
      <c r="AG5" s="119">
        <f>AA5</f>
        <v>2010</v>
      </c>
      <c r="AH5" s="119">
        <f>AB5</f>
        <v>2012</v>
      </c>
      <c r="AI5" s="119">
        <f>AC5</f>
        <v>2015</v>
      </c>
      <c r="AJ5" s="119">
        <f>AD5</f>
        <v>2020</v>
      </c>
      <c r="AK5" s="119"/>
      <c r="AL5" s="119">
        <f>Z5</f>
        <v>2008</v>
      </c>
      <c r="AM5" s="119">
        <f>AA5</f>
        <v>2010</v>
      </c>
      <c r="AN5" s="119">
        <f>AB5</f>
        <v>2012</v>
      </c>
      <c r="AO5" s="119">
        <f>AC5</f>
        <v>2015</v>
      </c>
      <c r="AP5" s="119">
        <f>AD5</f>
        <v>2020</v>
      </c>
      <c r="AQ5" s="178"/>
      <c r="AR5" s="186">
        <v>2008</v>
      </c>
      <c r="AS5" s="186">
        <v>2010</v>
      </c>
      <c r="AT5" s="186">
        <v>2012</v>
      </c>
      <c r="AU5" s="186">
        <v>2015</v>
      </c>
      <c r="AV5" s="179">
        <v>2020</v>
      </c>
      <c r="AW5" s="119"/>
      <c r="AX5" s="119">
        <f>AR5</f>
        <v>2008</v>
      </c>
      <c r="AY5" s="119">
        <f>AS5</f>
        <v>2010</v>
      </c>
      <c r="AZ5" s="119">
        <f>AT5</f>
        <v>2012</v>
      </c>
      <c r="BA5" s="119">
        <f>AU5</f>
        <v>2015</v>
      </c>
      <c r="BB5" s="119">
        <f>AV5</f>
        <v>2020</v>
      </c>
      <c r="BC5" s="119"/>
      <c r="BD5" s="119">
        <f>AR5</f>
        <v>2008</v>
      </c>
      <c r="BE5" s="119">
        <f>AS5</f>
        <v>2010</v>
      </c>
      <c r="BF5" s="119">
        <f>AT5</f>
        <v>2012</v>
      </c>
      <c r="BG5" s="119">
        <f>AU5</f>
        <v>2015</v>
      </c>
      <c r="BH5" s="119">
        <f>AV5</f>
        <v>2020</v>
      </c>
    </row>
    <row r="6" spans="1:60" x14ac:dyDescent="0.3">
      <c r="A6" s="113" t="s">
        <v>100</v>
      </c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Y6" s="113" t="str">
        <f>A6</f>
        <v>Males and females</v>
      </c>
      <c r="AD6" s="187"/>
      <c r="AE6" s="187"/>
      <c r="AF6" s="187"/>
      <c r="AG6" s="187"/>
      <c r="AH6" s="187"/>
      <c r="AI6" s="187"/>
      <c r="AJ6" s="187"/>
      <c r="AK6" s="187"/>
      <c r="AL6" s="187"/>
      <c r="AM6" s="187"/>
      <c r="AN6" s="187"/>
      <c r="AO6" s="187"/>
      <c r="AP6" s="187"/>
      <c r="AQ6" s="113" t="str">
        <f>A6</f>
        <v>Males and females</v>
      </c>
      <c r="AV6" s="187"/>
      <c r="AW6" s="187"/>
      <c r="AX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</row>
    <row r="7" spans="1:60" x14ac:dyDescent="0.3">
      <c r="A7" s="90" t="s">
        <v>117</v>
      </c>
      <c r="B7" s="188">
        <f>SUM(B21,B35)</f>
        <v>3459.4640427147242</v>
      </c>
      <c r="C7" s="188">
        <f t="shared" ref="C7:F7" si="0">SUM(C21,C35)</f>
        <v>3400.2899538632541</v>
      </c>
      <c r="D7" s="188">
        <f t="shared" si="0"/>
        <v>3045.4402650537522</v>
      </c>
      <c r="E7" s="188">
        <f t="shared" si="0"/>
        <v>2678.9714989136332</v>
      </c>
      <c r="F7" s="188">
        <f t="shared" si="0"/>
        <v>2317.0105072138758</v>
      </c>
      <c r="G7" s="187"/>
      <c r="H7" s="188">
        <f>SUM(H21,H35)</f>
        <v>1679.4259754428681</v>
      </c>
      <c r="I7" s="188">
        <f t="shared" ref="I7:L7" si="1">SUM(I21,I35)</f>
        <v>1648.317888485841</v>
      </c>
      <c r="J7" s="188">
        <f t="shared" si="1"/>
        <v>1477.7490935463652</v>
      </c>
      <c r="K7" s="188">
        <f t="shared" si="1"/>
        <v>1288.2296891194944</v>
      </c>
      <c r="L7" s="188">
        <f t="shared" si="1"/>
        <v>1088.2685344941576</v>
      </c>
      <c r="M7" s="187"/>
      <c r="N7" s="188">
        <f>SUM(N21,N35)</f>
        <v>1780.0380672718561</v>
      </c>
      <c r="O7" s="188">
        <f t="shared" ref="O7:R7" si="2">SUM(O21,O35)</f>
        <v>1751.9720653774136</v>
      </c>
      <c r="P7" s="188">
        <f t="shared" si="2"/>
        <v>1567.6911715073866</v>
      </c>
      <c r="Q7" s="188">
        <f t="shared" si="2"/>
        <v>1390.7418097941386</v>
      </c>
      <c r="R7" s="188">
        <f t="shared" si="2"/>
        <v>1228.7419727197182</v>
      </c>
      <c r="S7" s="187"/>
      <c r="T7" s="188">
        <f>SUM(T21,T35)</f>
        <v>0</v>
      </c>
      <c r="U7" s="188">
        <f t="shared" ref="U7:X7" si="3">SUM(U21,U35)</f>
        <v>0</v>
      </c>
      <c r="V7" s="188">
        <f t="shared" si="3"/>
        <v>0</v>
      </c>
      <c r="W7" s="188">
        <f t="shared" si="3"/>
        <v>0</v>
      </c>
      <c r="X7" s="188">
        <f t="shared" si="3"/>
        <v>0</v>
      </c>
      <c r="Y7" s="90" t="str">
        <f>A7</f>
        <v>15+</v>
      </c>
      <c r="Z7" s="188">
        <f>SUM(Z21,Z35)</f>
        <v>3091.791884793171</v>
      </c>
      <c r="AA7" s="188">
        <f t="shared" ref="AA7:AD7" si="4">SUM(AA21,AA35)</f>
        <v>3065.8806069644388</v>
      </c>
      <c r="AB7" s="188">
        <f t="shared" si="4"/>
        <v>3409.3013579609269</v>
      </c>
      <c r="AC7" s="188">
        <f t="shared" si="4"/>
        <v>3706.9349474249966</v>
      </c>
      <c r="AD7" s="188">
        <f t="shared" si="4"/>
        <v>4020.4986268054308</v>
      </c>
      <c r="AE7" s="187"/>
      <c r="AF7" s="188">
        <f>SUM(AF21,AF35)</f>
        <v>2927.4264642789112</v>
      </c>
      <c r="AG7" s="188">
        <f t="shared" ref="AG7:AJ7" si="5">SUM(AG21,AG35)</f>
        <v>2904.0501410418874</v>
      </c>
      <c r="AH7" s="188">
        <f t="shared" si="5"/>
        <v>3230.1495942820802</v>
      </c>
      <c r="AI7" s="188">
        <f t="shared" si="5"/>
        <v>3512.6427518955061</v>
      </c>
      <c r="AJ7" s="188">
        <f t="shared" si="5"/>
        <v>3811.1764268486331</v>
      </c>
      <c r="AK7" s="187"/>
      <c r="AL7" s="188">
        <f>SUM(AL21,AL35)</f>
        <v>164.36542051425988</v>
      </c>
      <c r="AM7" s="188">
        <f t="shared" ref="AM7:AP7" si="6">SUM(AM21,AM35)</f>
        <v>161.83046592255167</v>
      </c>
      <c r="AN7" s="188">
        <f t="shared" si="6"/>
        <v>179.15176367884681</v>
      </c>
      <c r="AO7" s="188">
        <f t="shared" si="6"/>
        <v>194.29219552948987</v>
      </c>
      <c r="AP7" s="188">
        <f t="shared" si="6"/>
        <v>209.3221999567977</v>
      </c>
      <c r="AQ7" s="90" t="str">
        <f>A7</f>
        <v>15+</v>
      </c>
      <c r="AR7" s="188">
        <f>SUM(AR21,AR35)</f>
        <v>2315.1550724921058</v>
      </c>
      <c r="AS7" s="188">
        <f t="shared" ref="AS7:AV7" si="7">SUM(AS21,AS35)</f>
        <v>2541.5004391723069</v>
      </c>
      <c r="AT7" s="188">
        <f t="shared" si="7"/>
        <v>2941.8093769853213</v>
      </c>
      <c r="AU7" s="188">
        <f t="shared" si="7"/>
        <v>3371.4645536613707</v>
      </c>
      <c r="AV7" s="188">
        <f t="shared" si="7"/>
        <v>3852.3018659806939</v>
      </c>
      <c r="AW7" s="187"/>
      <c r="AX7" s="188">
        <f>SUM(AX21,AX35)</f>
        <v>2273.2830854649774</v>
      </c>
      <c r="AY7" s="188">
        <f t="shared" ref="AY7:BB7" si="8">SUM(AY21,AY35)</f>
        <v>2495.5789443393905</v>
      </c>
      <c r="AZ7" s="188">
        <f t="shared" si="8"/>
        <v>2888.5095204216923</v>
      </c>
      <c r="BA7" s="188">
        <f t="shared" si="8"/>
        <v>3309.625834412429</v>
      </c>
      <c r="BB7" s="188">
        <f t="shared" si="8"/>
        <v>3780.5650780045271</v>
      </c>
      <c r="BC7" s="187"/>
      <c r="BD7" s="188">
        <f>SUM(BD21,BD35)</f>
        <v>41.87198702712827</v>
      </c>
      <c r="BE7" s="188">
        <f t="shared" ref="BE7:BH7" si="9">SUM(BE21,BE35)</f>
        <v>45.921494832916046</v>
      </c>
      <c r="BF7" s="188">
        <f t="shared" si="9"/>
        <v>53.299856563628751</v>
      </c>
      <c r="BG7" s="188">
        <f t="shared" si="9"/>
        <v>61.838719248942184</v>
      </c>
      <c r="BH7" s="188">
        <f t="shared" si="9"/>
        <v>71.736787976166625</v>
      </c>
    </row>
    <row r="8" spans="1:60" x14ac:dyDescent="0.3">
      <c r="A8" s="90" t="s">
        <v>107</v>
      </c>
      <c r="B8" s="188">
        <f t="shared" ref="B8:F18" si="10">SUM(B22,B36)</f>
        <v>501.63108046561928</v>
      </c>
      <c r="C8" s="188">
        <f t="shared" si="10"/>
        <v>493.36896304450306</v>
      </c>
      <c r="D8" s="188">
        <f t="shared" si="10"/>
        <v>467.66784217805935</v>
      </c>
      <c r="E8" s="188">
        <f t="shared" si="10"/>
        <v>467.57168305686275</v>
      </c>
      <c r="F8" s="188">
        <f t="shared" si="10"/>
        <v>503.21354379106839</v>
      </c>
      <c r="G8" s="187"/>
      <c r="H8" s="188">
        <f t="shared" ref="H8:L18" si="11">SUM(H22,H36)</f>
        <v>114.48583632559203</v>
      </c>
      <c r="I8" s="188">
        <f t="shared" si="11"/>
        <v>112.4668251880446</v>
      </c>
      <c r="J8" s="188">
        <f t="shared" si="11"/>
        <v>106.55167737427834</v>
      </c>
      <c r="K8" s="188">
        <f t="shared" si="11"/>
        <v>106.48887604298042</v>
      </c>
      <c r="L8" s="188">
        <f t="shared" si="11"/>
        <v>114.56799971676224</v>
      </c>
      <c r="M8" s="187"/>
      <c r="N8" s="188">
        <f t="shared" ref="N8:R18" si="12">SUM(N22,N36)</f>
        <v>387.14524414002727</v>
      </c>
      <c r="O8" s="188">
        <f t="shared" si="12"/>
        <v>380.90213785645847</v>
      </c>
      <c r="P8" s="188">
        <f t="shared" si="12"/>
        <v>361.11616480378109</v>
      </c>
      <c r="Q8" s="188">
        <f t="shared" si="12"/>
        <v>361.08280701388242</v>
      </c>
      <c r="R8" s="188">
        <f t="shared" si="12"/>
        <v>388.64554407430614</v>
      </c>
      <c r="S8" s="187"/>
      <c r="T8" s="188">
        <f t="shared" ref="T8:X18" si="13">SUM(T22,T36)</f>
        <v>0</v>
      </c>
      <c r="U8" s="188">
        <f t="shared" si="13"/>
        <v>0</v>
      </c>
      <c r="V8" s="188">
        <f t="shared" si="13"/>
        <v>0</v>
      </c>
      <c r="W8" s="188">
        <f t="shared" si="13"/>
        <v>0</v>
      </c>
      <c r="X8" s="188">
        <f t="shared" si="13"/>
        <v>0</v>
      </c>
      <c r="Y8" s="90" t="str">
        <f t="shared" ref="Y8:Y20" si="14">A8</f>
        <v>15-19</v>
      </c>
      <c r="Z8" s="188">
        <f t="shared" ref="Z8:AD18" si="15">SUM(Z22,Z36)</f>
        <v>150.08101199827104</v>
      </c>
      <c r="AA8" s="188">
        <f t="shared" si="15"/>
        <v>155.93795619324226</v>
      </c>
      <c r="AB8" s="188">
        <f t="shared" si="15"/>
        <v>164.99720704459003</v>
      </c>
      <c r="AC8" s="188">
        <f t="shared" si="15"/>
        <v>178.36278144057661</v>
      </c>
      <c r="AD8" s="188">
        <f t="shared" si="15"/>
        <v>207.50995998860915</v>
      </c>
      <c r="AE8" s="187"/>
      <c r="AF8" s="188">
        <f t="shared" ref="AF8:AJ18" si="16">SUM(AF22,AF36)</f>
        <v>147.86996763731275</v>
      </c>
      <c r="AG8" s="188">
        <f t="shared" si="16"/>
        <v>153.62639813852158</v>
      </c>
      <c r="AH8" s="188">
        <f t="shared" si="16"/>
        <v>162.54197557268748</v>
      </c>
      <c r="AI8" s="188">
        <f t="shared" si="16"/>
        <v>175.70743183187028</v>
      </c>
      <c r="AJ8" s="188">
        <f t="shared" si="16"/>
        <v>204.41892397369543</v>
      </c>
      <c r="AK8" s="187"/>
      <c r="AL8" s="188">
        <f t="shared" ref="AL8:AP18" si="17">SUM(AL22,AL36)</f>
        <v>2.2110443609582711</v>
      </c>
      <c r="AM8" s="188">
        <f t="shared" si="17"/>
        <v>2.3115580547206553</v>
      </c>
      <c r="AN8" s="188">
        <f t="shared" si="17"/>
        <v>2.4552314719025436</v>
      </c>
      <c r="AO8" s="188">
        <f t="shared" si="17"/>
        <v>2.6553496087063317</v>
      </c>
      <c r="AP8" s="188">
        <f t="shared" si="17"/>
        <v>3.0910360149137395</v>
      </c>
      <c r="AQ8" s="90" t="str">
        <f t="shared" ref="AQ8:AQ18" si="18">A8</f>
        <v>15-19</v>
      </c>
      <c r="AR8" s="188">
        <f t="shared" ref="AR8:AV18" si="19">SUM(AR22,AR36)</f>
        <v>0.60290753610971359</v>
      </c>
      <c r="AS8" s="188">
        <f t="shared" si="19"/>
        <v>1.3250807622546965</v>
      </c>
      <c r="AT8" s="188">
        <f t="shared" si="19"/>
        <v>1.9219507773505975</v>
      </c>
      <c r="AU8" s="188">
        <f t="shared" si="19"/>
        <v>1.9655355025605465</v>
      </c>
      <c r="AV8" s="188">
        <f t="shared" si="19"/>
        <v>2.1654962203224546</v>
      </c>
      <c r="AW8" s="187"/>
      <c r="AX8" s="188">
        <f t="shared" ref="AX8:BB18" si="20">SUM(AX22,AX36)</f>
        <v>0.54737466781637356</v>
      </c>
      <c r="AY8" s="188">
        <f t="shared" si="20"/>
        <v>1.2407671949430608</v>
      </c>
      <c r="AZ8" s="188">
        <f t="shared" si="20"/>
        <v>1.8657913659809988</v>
      </c>
      <c r="BA8" s="188">
        <f t="shared" si="20"/>
        <v>1.9082644770900146</v>
      </c>
      <c r="BB8" s="188">
        <f t="shared" si="20"/>
        <v>2.1026008851094398</v>
      </c>
      <c r="BC8" s="187"/>
      <c r="BD8" s="188">
        <f t="shared" ref="BD8:BH18" si="21">SUM(BD22,BD36)</f>
        <v>5.5532868293339949E-2</v>
      </c>
      <c r="BE8" s="188">
        <f t="shared" si="21"/>
        <v>8.4313567311635793E-2</v>
      </c>
      <c r="BF8" s="188">
        <f t="shared" si="21"/>
        <v>5.6159411369598657E-2</v>
      </c>
      <c r="BG8" s="188">
        <f t="shared" si="21"/>
        <v>5.7271025470531763E-2</v>
      </c>
      <c r="BH8" s="188">
        <f t="shared" si="21"/>
        <v>6.2895335213014894E-2</v>
      </c>
    </row>
    <row r="9" spans="1:60" x14ac:dyDescent="0.3">
      <c r="A9" s="90" t="s">
        <v>108</v>
      </c>
      <c r="B9" s="188">
        <f t="shared" si="10"/>
        <v>113.85056817629103</v>
      </c>
      <c r="C9" s="188">
        <f t="shared" si="10"/>
        <v>115.65112792404403</v>
      </c>
      <c r="D9" s="188">
        <f t="shared" si="10"/>
        <v>108.64656736044506</v>
      </c>
      <c r="E9" s="188">
        <f t="shared" si="10"/>
        <v>95.846387380896019</v>
      </c>
      <c r="F9" s="188">
        <f t="shared" si="10"/>
        <v>87.521667739268693</v>
      </c>
      <c r="G9" s="187"/>
      <c r="H9" s="188">
        <f t="shared" si="11"/>
        <v>36.71242366227203</v>
      </c>
      <c r="I9" s="188">
        <f t="shared" si="11"/>
        <v>37.140869961294854</v>
      </c>
      <c r="J9" s="188">
        <f t="shared" si="11"/>
        <v>34.405280511674597</v>
      </c>
      <c r="K9" s="188">
        <f t="shared" si="11"/>
        <v>30.323294922669287</v>
      </c>
      <c r="L9" s="188">
        <f t="shared" si="11"/>
        <v>27.681805786841899</v>
      </c>
      <c r="M9" s="187"/>
      <c r="N9" s="188">
        <f t="shared" si="12"/>
        <v>77.13814451401899</v>
      </c>
      <c r="O9" s="188">
        <f t="shared" si="12"/>
        <v>78.510257962749179</v>
      </c>
      <c r="P9" s="188">
        <f t="shared" si="12"/>
        <v>74.241286848770471</v>
      </c>
      <c r="Q9" s="188">
        <f t="shared" si="12"/>
        <v>65.523092458226728</v>
      </c>
      <c r="R9" s="188">
        <f t="shared" si="12"/>
        <v>59.839861952426787</v>
      </c>
      <c r="S9" s="187"/>
      <c r="T9" s="188">
        <f t="shared" si="13"/>
        <v>0</v>
      </c>
      <c r="U9" s="188">
        <f t="shared" si="13"/>
        <v>0</v>
      </c>
      <c r="V9" s="188">
        <f t="shared" si="13"/>
        <v>0</v>
      </c>
      <c r="W9" s="188">
        <f t="shared" si="13"/>
        <v>0</v>
      </c>
      <c r="X9" s="188">
        <f t="shared" si="13"/>
        <v>0</v>
      </c>
      <c r="Y9" s="90" t="str">
        <f t="shared" si="14"/>
        <v>20-24</v>
      </c>
      <c r="Z9" s="188">
        <f t="shared" si="15"/>
        <v>382.98069564153434</v>
      </c>
      <c r="AA9" s="188">
        <f t="shared" si="15"/>
        <v>394.35590193118628</v>
      </c>
      <c r="AB9" s="188">
        <f t="shared" si="15"/>
        <v>412.87076891444883</v>
      </c>
      <c r="AC9" s="188">
        <f t="shared" si="15"/>
        <v>399.37934349064994</v>
      </c>
      <c r="AD9" s="188">
        <f t="shared" si="15"/>
        <v>400.88677473503026</v>
      </c>
      <c r="AE9" s="187"/>
      <c r="AF9" s="188">
        <f t="shared" si="16"/>
        <v>363.98477719851724</v>
      </c>
      <c r="AG9" s="188">
        <f t="shared" si="16"/>
        <v>374.77312480698299</v>
      </c>
      <c r="AH9" s="188">
        <f t="shared" si="16"/>
        <v>392.37404871527087</v>
      </c>
      <c r="AI9" s="188">
        <f t="shared" si="16"/>
        <v>379.57670333802525</v>
      </c>
      <c r="AJ9" s="188">
        <f t="shared" si="16"/>
        <v>381.02605803364366</v>
      </c>
      <c r="AK9" s="187"/>
      <c r="AL9" s="188">
        <f t="shared" si="17"/>
        <v>18.995918443017182</v>
      </c>
      <c r="AM9" s="188">
        <f t="shared" si="17"/>
        <v>19.582777124203318</v>
      </c>
      <c r="AN9" s="188">
        <f t="shared" si="17"/>
        <v>20.49672019917795</v>
      </c>
      <c r="AO9" s="188">
        <f t="shared" si="17"/>
        <v>19.802640152624711</v>
      </c>
      <c r="AP9" s="188">
        <f t="shared" si="17"/>
        <v>19.860716701386607</v>
      </c>
      <c r="AQ9" s="90" t="str">
        <f t="shared" si="18"/>
        <v>20-24</v>
      </c>
      <c r="AR9" s="188">
        <f t="shared" si="19"/>
        <v>143.68473618217462</v>
      </c>
      <c r="AS9" s="188">
        <f t="shared" si="19"/>
        <v>150.71097014476959</v>
      </c>
      <c r="AT9" s="188">
        <f t="shared" si="19"/>
        <v>186.98366372510611</v>
      </c>
      <c r="AU9" s="188">
        <f t="shared" si="19"/>
        <v>201.56226912845403</v>
      </c>
      <c r="AV9" s="188">
        <f t="shared" si="19"/>
        <v>224.84155752570109</v>
      </c>
      <c r="AW9" s="187"/>
      <c r="AX9" s="188">
        <f t="shared" si="20"/>
        <v>143.33653114819879</v>
      </c>
      <c r="AY9" s="188">
        <f t="shared" si="20"/>
        <v>150.34362309651959</v>
      </c>
      <c r="AZ9" s="188">
        <f t="shared" si="20"/>
        <v>186.52415613000247</v>
      </c>
      <c r="BA9" s="188">
        <f t="shared" si="20"/>
        <v>201.06633972833936</v>
      </c>
      <c r="BB9" s="188">
        <f t="shared" si="20"/>
        <v>224.28837377749321</v>
      </c>
      <c r="BC9" s="187"/>
      <c r="BD9" s="188">
        <f t="shared" si="21"/>
        <v>0.34820503397584823</v>
      </c>
      <c r="BE9" s="188">
        <f t="shared" si="21"/>
        <v>0.36734704825001729</v>
      </c>
      <c r="BF9" s="188">
        <f t="shared" si="21"/>
        <v>0.4595075951036377</v>
      </c>
      <c r="BG9" s="188">
        <f t="shared" si="21"/>
        <v>0.49592940011468256</v>
      </c>
      <c r="BH9" s="188">
        <f t="shared" si="21"/>
        <v>0.55318374820788452</v>
      </c>
    </row>
    <row r="10" spans="1:60" x14ac:dyDescent="0.3">
      <c r="A10" s="90" t="s">
        <v>109</v>
      </c>
      <c r="B10" s="188">
        <f t="shared" si="10"/>
        <v>115.37907358541085</v>
      </c>
      <c r="C10" s="188">
        <f t="shared" si="10"/>
        <v>127.07460532220105</v>
      </c>
      <c r="D10" s="188">
        <f t="shared" si="10"/>
        <v>118.40314244947737</v>
      </c>
      <c r="E10" s="188">
        <f t="shared" si="10"/>
        <v>117.74066640587412</v>
      </c>
      <c r="F10" s="188">
        <f t="shared" si="10"/>
        <v>104.64926095222505</v>
      </c>
      <c r="G10" s="187"/>
      <c r="H10" s="188">
        <f t="shared" si="11"/>
        <v>40.798223765839786</v>
      </c>
      <c r="I10" s="188">
        <f t="shared" si="11"/>
        <v>45.065990030629422</v>
      </c>
      <c r="J10" s="188">
        <f t="shared" si="11"/>
        <v>41.916443930124132</v>
      </c>
      <c r="K10" s="188">
        <f t="shared" si="11"/>
        <v>41.603247748686108</v>
      </c>
      <c r="L10" s="188">
        <f t="shared" si="11"/>
        <v>36.975172705743539</v>
      </c>
      <c r="M10" s="187"/>
      <c r="N10" s="188">
        <f t="shared" si="12"/>
        <v>74.580849819571057</v>
      </c>
      <c r="O10" s="188">
        <f t="shared" si="12"/>
        <v>82.008615291571644</v>
      </c>
      <c r="P10" s="188">
        <f t="shared" si="12"/>
        <v>76.48669851935324</v>
      </c>
      <c r="Q10" s="188">
        <f t="shared" si="12"/>
        <v>76.137418657188022</v>
      </c>
      <c r="R10" s="188">
        <f t="shared" si="12"/>
        <v>67.674088246481503</v>
      </c>
      <c r="S10" s="187"/>
      <c r="T10" s="188">
        <f t="shared" si="13"/>
        <v>0</v>
      </c>
      <c r="U10" s="188">
        <f t="shared" si="13"/>
        <v>0</v>
      </c>
      <c r="V10" s="188">
        <f t="shared" si="13"/>
        <v>0</v>
      </c>
      <c r="W10" s="188">
        <f t="shared" si="13"/>
        <v>0</v>
      </c>
      <c r="X10" s="188">
        <f t="shared" si="13"/>
        <v>0</v>
      </c>
      <c r="Y10" s="90" t="str">
        <f t="shared" si="14"/>
        <v>25-29</v>
      </c>
      <c r="Z10" s="188">
        <f t="shared" si="15"/>
        <v>285.32401508902581</v>
      </c>
      <c r="AA10" s="188">
        <f t="shared" si="15"/>
        <v>266.19879984541552</v>
      </c>
      <c r="AB10" s="188">
        <f t="shared" si="15"/>
        <v>280.11568976670378</v>
      </c>
      <c r="AC10" s="188">
        <f t="shared" si="15"/>
        <v>295.3482302777582</v>
      </c>
      <c r="AD10" s="188">
        <f t="shared" si="15"/>
        <v>289.74487116781143</v>
      </c>
      <c r="AE10" s="187"/>
      <c r="AF10" s="188">
        <f t="shared" si="16"/>
        <v>264.71283723333693</v>
      </c>
      <c r="AG10" s="188">
        <f t="shared" si="16"/>
        <v>246.96600220301298</v>
      </c>
      <c r="AH10" s="188">
        <f t="shared" si="16"/>
        <v>260.0379790136522</v>
      </c>
      <c r="AI10" s="188">
        <f t="shared" si="16"/>
        <v>274.30243506375962</v>
      </c>
      <c r="AJ10" s="188">
        <f t="shared" si="16"/>
        <v>269.19630907068336</v>
      </c>
      <c r="AK10" s="187"/>
      <c r="AL10" s="188">
        <f t="shared" si="17"/>
        <v>20.611177855688922</v>
      </c>
      <c r="AM10" s="188">
        <f t="shared" si="17"/>
        <v>19.232797642402538</v>
      </c>
      <c r="AN10" s="188">
        <f t="shared" si="17"/>
        <v>20.077710753051615</v>
      </c>
      <c r="AO10" s="188">
        <f t="shared" si="17"/>
        <v>21.04579521399852</v>
      </c>
      <c r="AP10" s="188">
        <f t="shared" si="17"/>
        <v>20.548562097128041</v>
      </c>
      <c r="AQ10" s="90" t="str">
        <f t="shared" si="18"/>
        <v>25-29</v>
      </c>
      <c r="AR10" s="188">
        <f t="shared" si="19"/>
        <v>285.48891132556332</v>
      </c>
      <c r="AS10" s="188">
        <f t="shared" si="19"/>
        <v>298.43559483238334</v>
      </c>
      <c r="AT10" s="188">
        <f t="shared" si="19"/>
        <v>329.80716778381884</v>
      </c>
      <c r="AU10" s="188">
        <f t="shared" si="19"/>
        <v>365.58310331636773</v>
      </c>
      <c r="AV10" s="188">
        <f t="shared" si="19"/>
        <v>376.96286787996354</v>
      </c>
      <c r="AW10" s="187"/>
      <c r="AX10" s="188">
        <f t="shared" si="20"/>
        <v>282.70510559860855</v>
      </c>
      <c r="AY10" s="188">
        <f t="shared" si="20"/>
        <v>295.51880182634955</v>
      </c>
      <c r="AZ10" s="188">
        <f t="shared" si="20"/>
        <v>326.59395287550331</v>
      </c>
      <c r="BA10" s="188">
        <f t="shared" si="20"/>
        <v>362.02223728946319</v>
      </c>
      <c r="BB10" s="188">
        <f t="shared" si="20"/>
        <v>373.29368404794025</v>
      </c>
      <c r="BC10" s="187"/>
      <c r="BD10" s="188">
        <f t="shared" si="21"/>
        <v>2.7838057269548049</v>
      </c>
      <c r="BE10" s="188">
        <f t="shared" si="21"/>
        <v>2.916793006033831</v>
      </c>
      <c r="BF10" s="188">
        <f t="shared" si="21"/>
        <v>3.2132149083155843</v>
      </c>
      <c r="BG10" s="188">
        <f t="shared" si="21"/>
        <v>3.5608660269045256</v>
      </c>
      <c r="BH10" s="188">
        <f t="shared" si="21"/>
        <v>3.669183832023271</v>
      </c>
    </row>
    <row r="11" spans="1:60" x14ac:dyDescent="0.3">
      <c r="A11" s="90" t="s">
        <v>110</v>
      </c>
      <c r="B11" s="188">
        <f t="shared" si="10"/>
        <v>116.6348130799831</v>
      </c>
      <c r="C11" s="188">
        <f t="shared" si="10"/>
        <v>121.76030756867036</v>
      </c>
      <c r="D11" s="188">
        <f t="shared" si="10"/>
        <v>118.18823108583572</v>
      </c>
      <c r="E11" s="188">
        <f t="shared" si="10"/>
        <v>109.913241263863</v>
      </c>
      <c r="F11" s="188">
        <f t="shared" si="10"/>
        <v>93.676057480419587</v>
      </c>
      <c r="G11" s="187"/>
      <c r="H11" s="188">
        <f t="shared" si="11"/>
        <v>44.791528463722429</v>
      </c>
      <c r="I11" s="188">
        <f t="shared" si="11"/>
        <v>47.017124581566897</v>
      </c>
      <c r="J11" s="188">
        <f t="shared" si="11"/>
        <v>45.575297988406476</v>
      </c>
      <c r="K11" s="188">
        <f t="shared" si="11"/>
        <v>42.364426936905772</v>
      </c>
      <c r="L11" s="188">
        <f t="shared" si="11"/>
        <v>36.057194740501721</v>
      </c>
      <c r="M11" s="187"/>
      <c r="N11" s="188">
        <f t="shared" si="12"/>
        <v>71.843284616260675</v>
      </c>
      <c r="O11" s="188">
        <f t="shared" si="12"/>
        <v>74.743182987103467</v>
      </c>
      <c r="P11" s="188">
        <f t="shared" si="12"/>
        <v>72.612933097429249</v>
      </c>
      <c r="Q11" s="188">
        <f t="shared" si="12"/>
        <v>67.548814326957228</v>
      </c>
      <c r="R11" s="188">
        <f t="shared" si="12"/>
        <v>57.618862739917844</v>
      </c>
      <c r="S11" s="187"/>
      <c r="T11" s="188">
        <f t="shared" si="13"/>
        <v>0</v>
      </c>
      <c r="U11" s="188">
        <f t="shared" si="13"/>
        <v>0</v>
      </c>
      <c r="V11" s="188">
        <f t="shared" si="13"/>
        <v>0</v>
      </c>
      <c r="W11" s="188">
        <f t="shared" si="13"/>
        <v>0</v>
      </c>
      <c r="X11" s="188">
        <f t="shared" si="13"/>
        <v>0</v>
      </c>
      <c r="Y11" s="90" t="str">
        <f t="shared" si="14"/>
        <v>30-34</v>
      </c>
      <c r="Z11" s="188">
        <f t="shared" si="15"/>
        <v>275.1983307590632</v>
      </c>
      <c r="AA11" s="188">
        <f t="shared" si="15"/>
        <v>266.0829768237935</v>
      </c>
      <c r="AB11" s="188">
        <f t="shared" si="15"/>
        <v>285.51361958464611</v>
      </c>
      <c r="AC11" s="188">
        <f t="shared" si="15"/>
        <v>296.32015564557162</v>
      </c>
      <c r="AD11" s="188">
        <f t="shared" si="15"/>
        <v>317.88848271212305</v>
      </c>
      <c r="AE11" s="187"/>
      <c r="AF11" s="188">
        <f t="shared" si="16"/>
        <v>255.48717394280527</v>
      </c>
      <c r="AG11" s="188">
        <f t="shared" si="16"/>
        <v>247.06950912979124</v>
      </c>
      <c r="AH11" s="188">
        <f t="shared" si="16"/>
        <v>265.15360262399543</v>
      </c>
      <c r="AI11" s="188">
        <f t="shared" si="16"/>
        <v>275.24980054915358</v>
      </c>
      <c r="AJ11" s="188">
        <f t="shared" si="16"/>
        <v>295.36996417982152</v>
      </c>
      <c r="AK11" s="187"/>
      <c r="AL11" s="188">
        <f t="shared" si="17"/>
        <v>19.711156816257962</v>
      </c>
      <c r="AM11" s="188">
        <f t="shared" si="17"/>
        <v>19.01346769400228</v>
      </c>
      <c r="AN11" s="188">
        <f t="shared" si="17"/>
        <v>20.360016960650725</v>
      </c>
      <c r="AO11" s="188">
        <f t="shared" si="17"/>
        <v>21.070355096418023</v>
      </c>
      <c r="AP11" s="188">
        <f t="shared" si="17"/>
        <v>22.518518532301513</v>
      </c>
      <c r="AQ11" s="90" t="str">
        <f t="shared" si="18"/>
        <v>30-34</v>
      </c>
      <c r="AR11" s="188">
        <f t="shared" si="19"/>
        <v>294.76785616095367</v>
      </c>
      <c r="AS11" s="188">
        <f t="shared" si="19"/>
        <v>310.21271560753621</v>
      </c>
      <c r="AT11" s="188">
        <f t="shared" si="19"/>
        <v>340.70814932951816</v>
      </c>
      <c r="AU11" s="188">
        <f t="shared" si="19"/>
        <v>369.83560309056543</v>
      </c>
      <c r="AV11" s="188">
        <f t="shared" si="19"/>
        <v>418.22345980745735</v>
      </c>
      <c r="AW11" s="187"/>
      <c r="AX11" s="188">
        <f t="shared" si="20"/>
        <v>289.63080788660079</v>
      </c>
      <c r="AY11" s="188">
        <f t="shared" si="20"/>
        <v>304.79570037586518</v>
      </c>
      <c r="AZ11" s="188">
        <f t="shared" si="20"/>
        <v>334.81192752241731</v>
      </c>
      <c r="BA11" s="188">
        <f t="shared" si="20"/>
        <v>363.47263912244296</v>
      </c>
      <c r="BB11" s="188">
        <f t="shared" si="20"/>
        <v>411.01000020534735</v>
      </c>
      <c r="BC11" s="187"/>
      <c r="BD11" s="188">
        <f t="shared" si="21"/>
        <v>5.1370482743529013</v>
      </c>
      <c r="BE11" s="188">
        <f t="shared" si="21"/>
        <v>5.4170152316709643</v>
      </c>
      <c r="BF11" s="188">
        <f t="shared" si="21"/>
        <v>5.8962218071008108</v>
      </c>
      <c r="BG11" s="188">
        <f t="shared" si="21"/>
        <v>6.3629639681224219</v>
      </c>
      <c r="BH11" s="188">
        <f t="shared" si="21"/>
        <v>7.213459602110035</v>
      </c>
    </row>
    <row r="12" spans="1:60" x14ac:dyDescent="0.3">
      <c r="A12" s="90" t="s">
        <v>111</v>
      </c>
      <c r="B12" s="188">
        <f t="shared" si="10"/>
        <v>154.11214519557188</v>
      </c>
      <c r="C12" s="188">
        <f t="shared" si="10"/>
        <v>148.15717385227549</v>
      </c>
      <c r="D12" s="188">
        <f t="shared" si="10"/>
        <v>124.1637405731941</v>
      </c>
      <c r="E12" s="188">
        <f t="shared" si="10"/>
        <v>103.00106387667563</v>
      </c>
      <c r="F12" s="188">
        <f t="shared" si="10"/>
        <v>79.667767346824377</v>
      </c>
      <c r="G12" s="187"/>
      <c r="H12" s="188">
        <f t="shared" si="11"/>
        <v>56.003261702459064</v>
      </c>
      <c r="I12" s="188">
        <f t="shared" si="11"/>
        <v>53.61808406304786</v>
      </c>
      <c r="J12" s="188">
        <f t="shared" si="11"/>
        <v>44.946036484441635</v>
      </c>
      <c r="K12" s="188">
        <f t="shared" si="11"/>
        <v>37.289691972205802</v>
      </c>
      <c r="L12" s="188">
        <f t="shared" si="11"/>
        <v>28.798762169451095</v>
      </c>
      <c r="M12" s="187"/>
      <c r="N12" s="188">
        <f t="shared" si="12"/>
        <v>98.108883493112813</v>
      </c>
      <c r="O12" s="188">
        <f t="shared" si="12"/>
        <v>94.539089789227646</v>
      </c>
      <c r="P12" s="188">
        <f t="shared" si="12"/>
        <v>79.21770408875247</v>
      </c>
      <c r="Q12" s="188">
        <f t="shared" si="12"/>
        <v>65.711371904469829</v>
      </c>
      <c r="R12" s="188">
        <f t="shared" si="12"/>
        <v>50.869005177373282</v>
      </c>
      <c r="S12" s="187"/>
      <c r="T12" s="188">
        <f t="shared" si="13"/>
        <v>0</v>
      </c>
      <c r="U12" s="188">
        <f t="shared" si="13"/>
        <v>0</v>
      </c>
      <c r="V12" s="188">
        <f t="shared" si="13"/>
        <v>0</v>
      </c>
      <c r="W12" s="188">
        <f t="shared" si="13"/>
        <v>0</v>
      </c>
      <c r="X12" s="188">
        <f t="shared" si="13"/>
        <v>0</v>
      </c>
      <c r="Y12" s="90" t="str">
        <f t="shared" si="14"/>
        <v>35-39</v>
      </c>
      <c r="Z12" s="188">
        <f t="shared" si="15"/>
        <v>322.88579844316473</v>
      </c>
      <c r="AA12" s="188">
        <f t="shared" si="15"/>
        <v>287.4998240668773</v>
      </c>
      <c r="AB12" s="188">
        <f t="shared" si="15"/>
        <v>280.92839455401918</v>
      </c>
      <c r="AC12" s="188">
        <f t="shared" si="15"/>
        <v>299.54044624192568</v>
      </c>
      <c r="AD12" s="188">
        <f t="shared" si="15"/>
        <v>317.07239175090058</v>
      </c>
      <c r="AE12" s="187"/>
      <c r="AF12" s="188">
        <f t="shared" si="16"/>
        <v>303.37132132153579</v>
      </c>
      <c r="AG12" s="188">
        <f t="shared" si="16"/>
        <v>270.10893635844064</v>
      </c>
      <c r="AH12" s="188">
        <f t="shared" si="16"/>
        <v>263.99085237827694</v>
      </c>
      <c r="AI12" s="188">
        <f t="shared" si="16"/>
        <v>281.50570542953108</v>
      </c>
      <c r="AJ12" s="188">
        <f t="shared" si="16"/>
        <v>298.00980149252553</v>
      </c>
      <c r="AK12" s="187"/>
      <c r="AL12" s="188">
        <f t="shared" si="17"/>
        <v>19.514477121629021</v>
      </c>
      <c r="AM12" s="188">
        <f t="shared" si="17"/>
        <v>17.390887708436701</v>
      </c>
      <c r="AN12" s="188">
        <f t="shared" si="17"/>
        <v>16.937542175742227</v>
      </c>
      <c r="AO12" s="188">
        <f t="shared" si="17"/>
        <v>18.034740812394613</v>
      </c>
      <c r="AP12" s="188">
        <f t="shared" si="17"/>
        <v>19.062590258375032</v>
      </c>
      <c r="AQ12" s="90" t="str">
        <f t="shared" si="18"/>
        <v>35-39</v>
      </c>
      <c r="AR12" s="188">
        <f t="shared" si="19"/>
        <v>284.91205636126335</v>
      </c>
      <c r="AS12" s="188">
        <f t="shared" si="19"/>
        <v>312.0690020808471</v>
      </c>
      <c r="AT12" s="188">
        <f t="shared" si="19"/>
        <v>329.21186487278669</v>
      </c>
      <c r="AU12" s="188">
        <f t="shared" si="19"/>
        <v>370.51748988139866</v>
      </c>
      <c r="AV12" s="188">
        <f t="shared" si="19"/>
        <v>410.36684090227504</v>
      </c>
      <c r="AW12" s="187"/>
      <c r="AX12" s="188">
        <f t="shared" si="20"/>
        <v>279.90489605154085</v>
      </c>
      <c r="AY12" s="188">
        <f t="shared" si="20"/>
        <v>306.58743388534367</v>
      </c>
      <c r="AZ12" s="188">
        <f t="shared" si="20"/>
        <v>323.49821814056338</v>
      </c>
      <c r="BA12" s="188">
        <f t="shared" si="20"/>
        <v>364.11650308755236</v>
      </c>
      <c r="BB12" s="188">
        <f t="shared" si="20"/>
        <v>403.29145582426617</v>
      </c>
      <c r="BC12" s="187"/>
      <c r="BD12" s="188">
        <f t="shared" si="21"/>
        <v>5.0071603097225514</v>
      </c>
      <c r="BE12" s="188">
        <f t="shared" si="21"/>
        <v>5.4815681955034474</v>
      </c>
      <c r="BF12" s="188">
        <f t="shared" si="21"/>
        <v>5.7136467322232507</v>
      </c>
      <c r="BG12" s="188">
        <f t="shared" si="21"/>
        <v>6.4009867938463287</v>
      </c>
      <c r="BH12" s="188">
        <f t="shared" si="21"/>
        <v>7.0753850780088525</v>
      </c>
    </row>
    <row r="13" spans="1:60" x14ac:dyDescent="0.3">
      <c r="A13" s="90" t="s">
        <v>112</v>
      </c>
      <c r="B13" s="188">
        <f t="shared" si="10"/>
        <v>204.95472906429887</v>
      </c>
      <c r="C13" s="188">
        <f t="shared" si="10"/>
        <v>183.2736739920656</v>
      </c>
      <c r="D13" s="188">
        <f t="shared" si="10"/>
        <v>145.6109353666948</v>
      </c>
      <c r="E13" s="188">
        <f t="shared" si="10"/>
        <v>103.89159180775462</v>
      </c>
      <c r="F13" s="188">
        <f t="shared" si="10"/>
        <v>77.263056657170154</v>
      </c>
      <c r="G13" s="187"/>
      <c r="H13" s="188">
        <f t="shared" si="11"/>
        <v>75.043968155480954</v>
      </c>
      <c r="I13" s="188">
        <f t="shared" si="11"/>
        <v>66.962528106248641</v>
      </c>
      <c r="J13" s="188">
        <f t="shared" si="11"/>
        <v>53.205635957380473</v>
      </c>
      <c r="K13" s="188">
        <f t="shared" si="11"/>
        <v>37.898539746132187</v>
      </c>
      <c r="L13" s="188">
        <f t="shared" si="11"/>
        <v>28.104284599359445</v>
      </c>
      <c r="M13" s="187"/>
      <c r="N13" s="188">
        <f t="shared" si="12"/>
        <v>129.91076090881791</v>
      </c>
      <c r="O13" s="188">
        <f t="shared" si="12"/>
        <v>116.31114588581696</v>
      </c>
      <c r="P13" s="188">
        <f t="shared" si="12"/>
        <v>92.405299409314324</v>
      </c>
      <c r="Q13" s="188">
        <f t="shared" si="12"/>
        <v>65.993052061622421</v>
      </c>
      <c r="R13" s="188">
        <f t="shared" si="12"/>
        <v>49.158772057810708</v>
      </c>
      <c r="S13" s="187"/>
      <c r="T13" s="188">
        <f t="shared" si="13"/>
        <v>0</v>
      </c>
      <c r="U13" s="188">
        <f t="shared" si="13"/>
        <v>0</v>
      </c>
      <c r="V13" s="188">
        <f t="shared" si="13"/>
        <v>0</v>
      </c>
      <c r="W13" s="188">
        <f t="shared" si="13"/>
        <v>0</v>
      </c>
      <c r="X13" s="188">
        <f t="shared" si="13"/>
        <v>0</v>
      </c>
      <c r="Y13" s="90" t="str">
        <f t="shared" si="14"/>
        <v>40-44</v>
      </c>
      <c r="Z13" s="188">
        <f t="shared" si="15"/>
        <v>335.88123323100854</v>
      </c>
      <c r="AA13" s="188">
        <f t="shared" si="15"/>
        <v>312.92776503427081</v>
      </c>
      <c r="AB13" s="188">
        <f t="shared" si="15"/>
        <v>302.35363356602068</v>
      </c>
      <c r="AC13" s="188">
        <f t="shared" si="15"/>
        <v>306.64075194256282</v>
      </c>
      <c r="AD13" s="188">
        <f t="shared" si="15"/>
        <v>332.62704072525781</v>
      </c>
      <c r="AE13" s="187"/>
      <c r="AF13" s="188">
        <f t="shared" si="16"/>
        <v>318.57769939988361</v>
      </c>
      <c r="AG13" s="188">
        <f t="shared" si="16"/>
        <v>296.81769048378715</v>
      </c>
      <c r="AH13" s="188">
        <f t="shared" si="16"/>
        <v>286.81359197562756</v>
      </c>
      <c r="AI13" s="188">
        <f t="shared" si="16"/>
        <v>290.88951267461152</v>
      </c>
      <c r="AJ13" s="188">
        <f t="shared" si="16"/>
        <v>315.54744066806541</v>
      </c>
      <c r="AK13" s="187"/>
      <c r="AL13" s="188">
        <f t="shared" si="17"/>
        <v>17.303533831124952</v>
      </c>
      <c r="AM13" s="188">
        <f t="shared" si="17"/>
        <v>16.110074550483667</v>
      </c>
      <c r="AN13" s="188">
        <f t="shared" si="17"/>
        <v>15.540041590393106</v>
      </c>
      <c r="AO13" s="188">
        <f t="shared" si="17"/>
        <v>15.751239267951231</v>
      </c>
      <c r="AP13" s="188">
        <f t="shared" si="17"/>
        <v>17.079600057192419</v>
      </c>
      <c r="AQ13" s="90" t="str">
        <f t="shared" si="18"/>
        <v>40-44</v>
      </c>
      <c r="AR13" s="188">
        <f t="shared" si="19"/>
        <v>270.9300377046925</v>
      </c>
      <c r="AS13" s="188">
        <f t="shared" si="19"/>
        <v>293.55256097366362</v>
      </c>
      <c r="AT13" s="188">
        <f t="shared" si="19"/>
        <v>322.20043106728446</v>
      </c>
      <c r="AU13" s="188">
        <f t="shared" si="19"/>
        <v>339.66265624968264</v>
      </c>
      <c r="AV13" s="188">
        <f t="shared" si="19"/>
        <v>380.66890261757209</v>
      </c>
      <c r="AW13" s="187"/>
      <c r="AX13" s="188">
        <f t="shared" si="20"/>
        <v>266.38705152405146</v>
      </c>
      <c r="AY13" s="188">
        <f t="shared" si="20"/>
        <v>288.66110365884219</v>
      </c>
      <c r="AZ13" s="188">
        <f t="shared" si="20"/>
        <v>316.84860387450232</v>
      </c>
      <c r="BA13" s="188">
        <f t="shared" si="20"/>
        <v>334.03930780465259</v>
      </c>
      <c r="BB13" s="188">
        <f t="shared" si="20"/>
        <v>374.38350092432177</v>
      </c>
      <c r="BC13" s="187"/>
      <c r="BD13" s="188">
        <f t="shared" si="21"/>
        <v>4.5429861806410692</v>
      </c>
      <c r="BE13" s="188">
        <f t="shared" si="21"/>
        <v>4.8914573148213645</v>
      </c>
      <c r="BF13" s="188">
        <f t="shared" si="21"/>
        <v>5.3518271927821548</v>
      </c>
      <c r="BG13" s="188">
        <f t="shared" si="21"/>
        <v>5.6233484450300253</v>
      </c>
      <c r="BH13" s="188">
        <f t="shared" si="21"/>
        <v>6.2854016932503862</v>
      </c>
    </row>
    <row r="14" spans="1:60" x14ac:dyDescent="0.3">
      <c r="A14" s="90" t="s">
        <v>113</v>
      </c>
      <c r="B14" s="188">
        <f t="shared" si="10"/>
        <v>254.65884951398874</v>
      </c>
      <c r="C14" s="188">
        <f t="shared" si="10"/>
        <v>249.88437754828158</v>
      </c>
      <c r="D14" s="188">
        <f t="shared" si="10"/>
        <v>178.47858254526204</v>
      </c>
      <c r="E14" s="188">
        <f t="shared" si="10"/>
        <v>132.26113301280915</v>
      </c>
      <c r="F14" s="188">
        <f t="shared" si="10"/>
        <v>96.751846747388981</v>
      </c>
      <c r="G14" s="187"/>
      <c r="H14" s="188">
        <f t="shared" si="11"/>
        <v>97.081589333520498</v>
      </c>
      <c r="I14" s="188">
        <f t="shared" si="11"/>
        <v>95.255541277602333</v>
      </c>
      <c r="J14" s="188">
        <f t="shared" si="11"/>
        <v>67.471423380418784</v>
      </c>
      <c r="K14" s="188">
        <f t="shared" si="11"/>
        <v>49.673795228067675</v>
      </c>
      <c r="L14" s="188">
        <f t="shared" si="11"/>
        <v>36.08222161527133</v>
      </c>
      <c r="M14" s="187"/>
      <c r="N14" s="188">
        <f t="shared" si="12"/>
        <v>157.57726018046827</v>
      </c>
      <c r="O14" s="188">
        <f t="shared" si="12"/>
        <v>154.62883627067924</v>
      </c>
      <c r="P14" s="188">
        <f t="shared" si="12"/>
        <v>111.00715916484326</v>
      </c>
      <c r="Q14" s="188">
        <f t="shared" si="12"/>
        <v>82.587337784741479</v>
      </c>
      <c r="R14" s="188">
        <f t="shared" si="12"/>
        <v>60.669625132117659</v>
      </c>
      <c r="S14" s="187"/>
      <c r="T14" s="188">
        <f t="shared" si="13"/>
        <v>0</v>
      </c>
      <c r="U14" s="188">
        <f t="shared" si="13"/>
        <v>0</v>
      </c>
      <c r="V14" s="188">
        <f t="shared" si="13"/>
        <v>0</v>
      </c>
      <c r="W14" s="188">
        <f t="shared" si="13"/>
        <v>0</v>
      </c>
      <c r="X14" s="188">
        <f t="shared" si="13"/>
        <v>0</v>
      </c>
      <c r="Y14" s="90" t="str">
        <f t="shared" si="14"/>
        <v>45-49</v>
      </c>
      <c r="Z14" s="188">
        <f t="shared" si="15"/>
        <v>296.89078106183149</v>
      </c>
      <c r="AA14" s="188">
        <f t="shared" si="15"/>
        <v>297.81089783713531</v>
      </c>
      <c r="AB14" s="188">
        <f t="shared" si="15"/>
        <v>323.00238790557432</v>
      </c>
      <c r="AC14" s="188">
        <f t="shared" si="15"/>
        <v>331.21130960813161</v>
      </c>
      <c r="AD14" s="188">
        <f t="shared" si="15"/>
        <v>336.85601788588576</v>
      </c>
      <c r="AE14" s="187"/>
      <c r="AF14" s="188">
        <f t="shared" si="16"/>
        <v>283.27902750867406</v>
      </c>
      <c r="AG14" s="188">
        <f t="shared" si="16"/>
        <v>284.17878044572376</v>
      </c>
      <c r="AH14" s="188">
        <f t="shared" si="16"/>
        <v>308.23712222424672</v>
      </c>
      <c r="AI14" s="188">
        <f t="shared" si="16"/>
        <v>316.06982132262846</v>
      </c>
      <c r="AJ14" s="188">
        <f t="shared" si="16"/>
        <v>321.4595503021684</v>
      </c>
      <c r="AK14" s="187"/>
      <c r="AL14" s="188">
        <f t="shared" si="17"/>
        <v>13.611753553157442</v>
      </c>
      <c r="AM14" s="188">
        <f t="shared" si="17"/>
        <v>13.632117391411541</v>
      </c>
      <c r="AN14" s="188">
        <f t="shared" si="17"/>
        <v>14.765265681327598</v>
      </c>
      <c r="AO14" s="188">
        <f t="shared" si="17"/>
        <v>15.141488285503199</v>
      </c>
      <c r="AP14" s="188">
        <f t="shared" si="17"/>
        <v>15.39646758371746</v>
      </c>
      <c r="AQ14" s="90" t="str">
        <f t="shared" si="18"/>
        <v>45-49</v>
      </c>
      <c r="AR14" s="188">
        <f t="shared" si="19"/>
        <v>250.46536942417981</v>
      </c>
      <c r="AS14" s="188">
        <f t="shared" si="19"/>
        <v>272.37172461458317</v>
      </c>
      <c r="AT14" s="188">
        <f t="shared" si="19"/>
        <v>298.56302954916367</v>
      </c>
      <c r="AU14" s="188">
        <f t="shared" si="19"/>
        <v>312.99255737905924</v>
      </c>
      <c r="AV14" s="188">
        <f t="shared" si="19"/>
        <v>324.57513536672525</v>
      </c>
      <c r="AW14" s="187"/>
      <c r="AX14" s="188">
        <f t="shared" si="20"/>
        <v>245.6503099953992</v>
      </c>
      <c r="AY14" s="188">
        <f t="shared" si="20"/>
        <v>267.15960275583393</v>
      </c>
      <c r="AZ14" s="188">
        <f t="shared" si="20"/>
        <v>292.91536308672585</v>
      </c>
      <c r="BA14" s="188">
        <f t="shared" si="20"/>
        <v>307.10108024986414</v>
      </c>
      <c r="BB14" s="188">
        <f t="shared" si="20"/>
        <v>318.48324328013177</v>
      </c>
      <c r="BC14" s="187"/>
      <c r="BD14" s="188">
        <f t="shared" si="21"/>
        <v>4.815059428780601</v>
      </c>
      <c r="BE14" s="188">
        <f t="shared" si="21"/>
        <v>5.2121218587492244</v>
      </c>
      <c r="BF14" s="188">
        <f t="shared" si="21"/>
        <v>5.6476664624378259</v>
      </c>
      <c r="BG14" s="188">
        <f t="shared" si="21"/>
        <v>5.8914771291951418</v>
      </c>
      <c r="BH14" s="188">
        <f t="shared" si="21"/>
        <v>6.0918920865934654</v>
      </c>
    </row>
    <row r="15" spans="1:60" x14ac:dyDescent="0.3">
      <c r="A15" s="90" t="s">
        <v>114</v>
      </c>
      <c r="B15" s="188">
        <f t="shared" si="10"/>
        <v>294.38575187935118</v>
      </c>
      <c r="C15" s="188">
        <f t="shared" si="10"/>
        <v>286.9982182545242</v>
      </c>
      <c r="D15" s="188">
        <f t="shared" si="10"/>
        <v>249.82582092451261</v>
      </c>
      <c r="E15" s="188">
        <f t="shared" si="10"/>
        <v>196.7617947968931</v>
      </c>
      <c r="F15" s="188">
        <f t="shared" si="10"/>
        <v>151.97754802573786</v>
      </c>
      <c r="G15" s="187"/>
      <c r="H15" s="188">
        <f t="shared" si="11"/>
        <v>131.00937650791479</v>
      </c>
      <c r="I15" s="188">
        <f t="shared" si="11"/>
        <v>127.36456196076394</v>
      </c>
      <c r="J15" s="188">
        <f t="shared" si="11"/>
        <v>110.61745625735594</v>
      </c>
      <c r="K15" s="188">
        <f t="shared" si="11"/>
        <v>86.72311902225573</v>
      </c>
      <c r="L15" s="188">
        <f t="shared" si="11"/>
        <v>66.672294242780168</v>
      </c>
      <c r="M15" s="187"/>
      <c r="N15" s="188">
        <f t="shared" si="12"/>
        <v>163.37637537143638</v>
      </c>
      <c r="O15" s="188">
        <f t="shared" si="12"/>
        <v>159.63365629376028</v>
      </c>
      <c r="P15" s="188">
        <f t="shared" si="12"/>
        <v>139.20836466715667</v>
      </c>
      <c r="Q15" s="188">
        <f t="shared" si="12"/>
        <v>110.03867577463737</v>
      </c>
      <c r="R15" s="188">
        <f t="shared" si="12"/>
        <v>85.305253782957692</v>
      </c>
      <c r="S15" s="187"/>
      <c r="T15" s="188">
        <f t="shared" si="13"/>
        <v>0</v>
      </c>
      <c r="U15" s="188">
        <f t="shared" si="13"/>
        <v>0</v>
      </c>
      <c r="V15" s="188">
        <f t="shared" si="13"/>
        <v>0</v>
      </c>
      <c r="W15" s="188">
        <f t="shared" si="13"/>
        <v>0</v>
      </c>
      <c r="X15" s="188">
        <f t="shared" si="13"/>
        <v>0</v>
      </c>
      <c r="Y15" s="90" t="str">
        <f t="shared" si="14"/>
        <v>50-54</v>
      </c>
      <c r="Z15" s="188">
        <f t="shared" si="15"/>
        <v>252.37047905418916</v>
      </c>
      <c r="AA15" s="188">
        <f t="shared" si="15"/>
        <v>261.89041594407234</v>
      </c>
      <c r="AB15" s="188">
        <f t="shared" si="15"/>
        <v>299.71030873183417</v>
      </c>
      <c r="AC15" s="188">
        <f t="shared" si="15"/>
        <v>315.46818569365763</v>
      </c>
      <c r="AD15" s="188">
        <f t="shared" si="15"/>
        <v>326.48805608055682</v>
      </c>
      <c r="AE15" s="187"/>
      <c r="AF15" s="188">
        <f t="shared" si="16"/>
        <v>240.43095817773155</v>
      </c>
      <c r="AG15" s="188">
        <f t="shared" si="16"/>
        <v>249.49009896266847</v>
      </c>
      <c r="AH15" s="188">
        <f t="shared" si="16"/>
        <v>285.51870262738919</v>
      </c>
      <c r="AI15" s="188">
        <f t="shared" si="16"/>
        <v>300.52266588791969</v>
      </c>
      <c r="AJ15" s="188">
        <f t="shared" si="16"/>
        <v>311.01138512295665</v>
      </c>
      <c r="AK15" s="187"/>
      <c r="AL15" s="188">
        <f t="shared" si="17"/>
        <v>11.939520876457582</v>
      </c>
      <c r="AM15" s="188">
        <f t="shared" si="17"/>
        <v>12.400316981403893</v>
      </c>
      <c r="AN15" s="188">
        <f t="shared" si="17"/>
        <v>14.191606104444997</v>
      </c>
      <c r="AO15" s="188">
        <f t="shared" si="17"/>
        <v>14.945519805737941</v>
      </c>
      <c r="AP15" s="188">
        <f t="shared" si="17"/>
        <v>15.476670957600156</v>
      </c>
      <c r="AQ15" s="90" t="str">
        <f t="shared" si="18"/>
        <v>50-54</v>
      </c>
      <c r="AR15" s="188">
        <f t="shared" si="19"/>
        <v>192.52176906645971</v>
      </c>
      <c r="AS15" s="188">
        <f t="shared" si="19"/>
        <v>218.63836580140344</v>
      </c>
      <c r="AT15" s="188">
        <f t="shared" si="19"/>
        <v>269.43387034365321</v>
      </c>
      <c r="AU15" s="188">
        <f t="shared" si="19"/>
        <v>285.28301950944933</v>
      </c>
      <c r="AV15" s="188">
        <f t="shared" si="19"/>
        <v>297.31139589370531</v>
      </c>
      <c r="AW15" s="187"/>
      <c r="AX15" s="188">
        <f t="shared" si="20"/>
        <v>188.73862621744155</v>
      </c>
      <c r="AY15" s="188">
        <f t="shared" si="20"/>
        <v>214.45420550224321</v>
      </c>
      <c r="AZ15" s="188">
        <f t="shared" si="20"/>
        <v>264.30480604656157</v>
      </c>
      <c r="BA15" s="188">
        <f t="shared" si="20"/>
        <v>279.90450448189154</v>
      </c>
      <c r="BB15" s="188">
        <f t="shared" si="20"/>
        <v>291.76093520892465</v>
      </c>
      <c r="BC15" s="187"/>
      <c r="BD15" s="188">
        <f t="shared" si="21"/>
        <v>3.7831428490181196</v>
      </c>
      <c r="BE15" s="188">
        <f t="shared" si="21"/>
        <v>4.1841602991602418</v>
      </c>
      <c r="BF15" s="188">
        <f t="shared" si="21"/>
        <v>5.1290642970916389</v>
      </c>
      <c r="BG15" s="188">
        <f t="shared" si="21"/>
        <v>5.3785150275577474</v>
      </c>
      <c r="BH15" s="188">
        <f t="shared" si="21"/>
        <v>5.5504606847806457</v>
      </c>
    </row>
    <row r="16" spans="1:60" x14ac:dyDescent="0.3">
      <c r="A16" s="90" t="s">
        <v>115</v>
      </c>
      <c r="B16" s="188">
        <f t="shared" si="10"/>
        <v>306.08926780144049</v>
      </c>
      <c r="C16" s="188">
        <f t="shared" si="10"/>
        <v>294.14842701950209</v>
      </c>
      <c r="D16" s="188">
        <f t="shared" si="10"/>
        <v>278.7696849113002</v>
      </c>
      <c r="E16" s="188">
        <f t="shared" si="10"/>
        <v>248.77345263961809</v>
      </c>
      <c r="F16" s="188">
        <f t="shared" si="10"/>
        <v>193.72538705183911</v>
      </c>
      <c r="G16" s="187"/>
      <c r="H16" s="188">
        <f t="shared" si="11"/>
        <v>148.94385811824938</v>
      </c>
      <c r="I16" s="188">
        <f t="shared" si="11"/>
        <v>142.80048229460601</v>
      </c>
      <c r="J16" s="188">
        <f t="shared" si="11"/>
        <v>135.1816907077864</v>
      </c>
      <c r="K16" s="188">
        <f t="shared" si="11"/>
        <v>120.20919098393057</v>
      </c>
      <c r="L16" s="188">
        <f t="shared" si="11"/>
        <v>93.347075058771225</v>
      </c>
      <c r="M16" s="187"/>
      <c r="N16" s="188">
        <f t="shared" si="12"/>
        <v>157.14540968319108</v>
      </c>
      <c r="O16" s="188">
        <f t="shared" si="12"/>
        <v>151.34794472489608</v>
      </c>
      <c r="P16" s="188">
        <f t="shared" si="12"/>
        <v>143.5879942035138</v>
      </c>
      <c r="Q16" s="188">
        <f t="shared" si="12"/>
        <v>128.56426165568749</v>
      </c>
      <c r="R16" s="188">
        <f t="shared" si="12"/>
        <v>100.37831199306788</v>
      </c>
      <c r="S16" s="187"/>
      <c r="T16" s="188">
        <f t="shared" si="13"/>
        <v>0</v>
      </c>
      <c r="U16" s="188">
        <f t="shared" si="13"/>
        <v>0</v>
      </c>
      <c r="V16" s="188">
        <f t="shared" si="13"/>
        <v>0</v>
      </c>
      <c r="W16" s="188">
        <f t="shared" si="13"/>
        <v>0</v>
      </c>
      <c r="X16" s="188">
        <f t="shared" si="13"/>
        <v>0</v>
      </c>
      <c r="Y16" s="90" t="str">
        <f t="shared" si="14"/>
        <v>55-59</v>
      </c>
      <c r="Z16" s="188">
        <f t="shared" si="15"/>
        <v>212.90735173400915</v>
      </c>
      <c r="AA16" s="188">
        <f t="shared" si="15"/>
        <v>208.34374328055009</v>
      </c>
      <c r="AB16" s="188">
        <f t="shared" si="15"/>
        <v>259.24373379880308</v>
      </c>
      <c r="AC16" s="188">
        <f t="shared" si="15"/>
        <v>305.1432760109069</v>
      </c>
      <c r="AD16" s="188">
        <f t="shared" si="15"/>
        <v>322.49455355236876</v>
      </c>
      <c r="AE16" s="187"/>
      <c r="AF16" s="188">
        <f t="shared" si="16"/>
        <v>201.39475054266842</v>
      </c>
      <c r="AG16" s="188">
        <f t="shared" si="16"/>
        <v>197.03624221177998</v>
      </c>
      <c r="AH16" s="188">
        <f t="shared" si="16"/>
        <v>245.14463767909808</v>
      </c>
      <c r="AI16" s="188">
        <f t="shared" si="16"/>
        <v>288.53398269710931</v>
      </c>
      <c r="AJ16" s="188">
        <f t="shared" si="16"/>
        <v>304.93914690919075</v>
      </c>
      <c r="AK16" s="187"/>
      <c r="AL16" s="188">
        <f t="shared" si="17"/>
        <v>11.512601191340718</v>
      </c>
      <c r="AM16" s="188">
        <f t="shared" si="17"/>
        <v>11.30750106877008</v>
      </c>
      <c r="AN16" s="188">
        <f t="shared" si="17"/>
        <v>14.099096119705006</v>
      </c>
      <c r="AO16" s="188">
        <f t="shared" si="17"/>
        <v>16.609293313797622</v>
      </c>
      <c r="AP16" s="188">
        <f t="shared" si="17"/>
        <v>17.555406643178003</v>
      </c>
      <c r="AQ16" s="90" t="str">
        <f t="shared" si="18"/>
        <v>55-59</v>
      </c>
      <c r="AR16" s="188">
        <f t="shared" si="19"/>
        <v>157.97838046455036</v>
      </c>
      <c r="AS16" s="188">
        <f t="shared" si="19"/>
        <v>186.95882969994784</v>
      </c>
      <c r="AT16" s="188">
        <f t="shared" si="19"/>
        <v>217.65058128989665</v>
      </c>
      <c r="AU16" s="188">
        <f t="shared" si="19"/>
        <v>252.64427134947505</v>
      </c>
      <c r="AV16" s="188">
        <f t="shared" si="19"/>
        <v>271.26605939579213</v>
      </c>
      <c r="AW16" s="187"/>
      <c r="AX16" s="188">
        <f t="shared" si="20"/>
        <v>154.50769225162065</v>
      </c>
      <c r="AY16" s="188">
        <f t="shared" si="20"/>
        <v>182.97075166245719</v>
      </c>
      <c r="AZ16" s="188">
        <f t="shared" si="20"/>
        <v>213.04788309462984</v>
      </c>
      <c r="BA16" s="188">
        <f t="shared" si="20"/>
        <v>247.41376136943245</v>
      </c>
      <c r="BB16" s="188">
        <f t="shared" si="20"/>
        <v>265.66983752581206</v>
      </c>
      <c r="BC16" s="187"/>
      <c r="BD16" s="188">
        <f t="shared" si="21"/>
        <v>3.470688212929685</v>
      </c>
      <c r="BE16" s="188">
        <f t="shared" si="21"/>
        <v>3.9880780374906122</v>
      </c>
      <c r="BF16" s="188">
        <f t="shared" si="21"/>
        <v>4.6026981952668296</v>
      </c>
      <c r="BG16" s="188">
        <f t="shared" si="21"/>
        <v>5.2305099800425978</v>
      </c>
      <c r="BH16" s="188">
        <f t="shared" si="21"/>
        <v>5.5962218699800657</v>
      </c>
    </row>
    <row r="17" spans="1:60" x14ac:dyDescent="0.3">
      <c r="A17" s="90" t="s">
        <v>116</v>
      </c>
      <c r="B17" s="188">
        <f t="shared" si="10"/>
        <v>300.27408615273544</v>
      </c>
      <c r="C17" s="188">
        <f t="shared" si="10"/>
        <v>307.02902619700649</v>
      </c>
      <c r="D17" s="188">
        <f t="shared" si="10"/>
        <v>275.57160817400484</v>
      </c>
      <c r="E17" s="188">
        <f t="shared" si="10"/>
        <v>242.50355927772591</v>
      </c>
      <c r="F17" s="188">
        <f t="shared" si="10"/>
        <v>196.62341104090149</v>
      </c>
      <c r="G17" s="187"/>
      <c r="H17" s="188">
        <f t="shared" si="11"/>
        <v>163.84239820508242</v>
      </c>
      <c r="I17" s="188">
        <f t="shared" si="11"/>
        <v>167.48634018543549</v>
      </c>
      <c r="J17" s="188">
        <f t="shared" si="11"/>
        <v>150.0793901711946</v>
      </c>
      <c r="K17" s="188">
        <f t="shared" si="11"/>
        <v>131.95757743155312</v>
      </c>
      <c r="L17" s="188">
        <f t="shared" si="11"/>
        <v>106.85061904727925</v>
      </c>
      <c r="M17" s="187"/>
      <c r="N17" s="188">
        <f t="shared" si="12"/>
        <v>136.43168794765302</v>
      </c>
      <c r="O17" s="188">
        <f t="shared" si="12"/>
        <v>139.54268601157099</v>
      </c>
      <c r="P17" s="188">
        <f t="shared" si="12"/>
        <v>125.49221800281023</v>
      </c>
      <c r="Q17" s="188">
        <f t="shared" si="12"/>
        <v>110.54598184617279</v>
      </c>
      <c r="R17" s="188">
        <f t="shared" si="12"/>
        <v>89.772791993622235</v>
      </c>
      <c r="S17" s="187"/>
      <c r="T17" s="188">
        <f t="shared" si="13"/>
        <v>0</v>
      </c>
      <c r="U17" s="188">
        <f t="shared" si="13"/>
        <v>0</v>
      </c>
      <c r="V17" s="188">
        <f t="shared" si="13"/>
        <v>0</v>
      </c>
      <c r="W17" s="188">
        <f t="shared" si="13"/>
        <v>0</v>
      </c>
      <c r="X17" s="188">
        <f t="shared" si="13"/>
        <v>0</v>
      </c>
      <c r="Y17" s="90" t="str">
        <f t="shared" si="14"/>
        <v>60-64</v>
      </c>
      <c r="Z17" s="188">
        <f t="shared" si="15"/>
        <v>164.67698820651987</v>
      </c>
      <c r="AA17" s="188">
        <f t="shared" si="15"/>
        <v>173.02754429415353</v>
      </c>
      <c r="AB17" s="188">
        <f t="shared" si="15"/>
        <v>211.64420247686218</v>
      </c>
      <c r="AC17" s="188">
        <f t="shared" si="15"/>
        <v>262.32745519640429</v>
      </c>
      <c r="AD17" s="188">
        <f t="shared" si="15"/>
        <v>307.19809774569194</v>
      </c>
      <c r="AE17" s="187"/>
      <c r="AF17" s="188">
        <f t="shared" si="16"/>
        <v>156.364761045058</v>
      </c>
      <c r="AG17" s="188">
        <f t="shared" si="16"/>
        <v>164.2583318854096</v>
      </c>
      <c r="AH17" s="188">
        <f t="shared" si="16"/>
        <v>200.85031018974644</v>
      </c>
      <c r="AI17" s="188">
        <f t="shared" si="16"/>
        <v>248.92153917613587</v>
      </c>
      <c r="AJ17" s="188">
        <f t="shared" si="16"/>
        <v>291.50729249745882</v>
      </c>
      <c r="AK17" s="187"/>
      <c r="AL17" s="188">
        <f t="shared" si="17"/>
        <v>8.3122271614618572</v>
      </c>
      <c r="AM17" s="188">
        <f t="shared" si="17"/>
        <v>8.7692124087439236</v>
      </c>
      <c r="AN17" s="188">
        <f t="shared" si="17"/>
        <v>10.793892287115703</v>
      </c>
      <c r="AO17" s="188">
        <f t="shared" si="17"/>
        <v>13.405916020268418</v>
      </c>
      <c r="AP17" s="188">
        <f t="shared" si="17"/>
        <v>15.690805248233143</v>
      </c>
      <c r="AQ17" s="90" t="str">
        <f t="shared" si="18"/>
        <v>60-64</v>
      </c>
      <c r="AR17" s="188">
        <f t="shared" si="19"/>
        <v>124.1659256407448</v>
      </c>
      <c r="AS17" s="188">
        <f t="shared" si="19"/>
        <v>151.81542950884</v>
      </c>
      <c r="AT17" s="188">
        <f t="shared" si="19"/>
        <v>179.49318934913299</v>
      </c>
      <c r="AU17" s="188">
        <f t="shared" si="19"/>
        <v>229.32198552586985</v>
      </c>
      <c r="AV17" s="188">
        <f t="shared" si="19"/>
        <v>282.2344912134065</v>
      </c>
      <c r="AW17" s="187"/>
      <c r="AX17" s="188">
        <f t="shared" si="20"/>
        <v>120.47353378485059</v>
      </c>
      <c r="AY17" s="188">
        <f t="shared" si="20"/>
        <v>147.28380768694541</v>
      </c>
      <c r="AZ17" s="188">
        <f t="shared" si="20"/>
        <v>174.20095676665699</v>
      </c>
      <c r="BA17" s="188">
        <f t="shared" si="20"/>
        <v>222.61021872219823</v>
      </c>
      <c r="BB17" s="188">
        <f t="shared" si="20"/>
        <v>274.01688935790713</v>
      </c>
      <c r="BC17" s="187"/>
      <c r="BD17" s="188">
        <f t="shared" si="21"/>
        <v>3.6923918558942086</v>
      </c>
      <c r="BE17" s="188">
        <f t="shared" si="21"/>
        <v>4.5316218218945803</v>
      </c>
      <c r="BF17" s="188">
        <f t="shared" si="21"/>
        <v>5.2922325824760046</v>
      </c>
      <c r="BG17" s="188">
        <f t="shared" si="21"/>
        <v>6.7117668036716331</v>
      </c>
      <c r="BH17" s="188">
        <f t="shared" si="21"/>
        <v>8.2176018554993142</v>
      </c>
    </row>
    <row r="18" spans="1:60" x14ac:dyDescent="0.3">
      <c r="A18" s="90" t="s">
        <v>103</v>
      </c>
      <c r="B18" s="188">
        <f t="shared" si="10"/>
        <v>1097.4936778000333</v>
      </c>
      <c r="C18" s="188">
        <f t="shared" si="10"/>
        <v>1072.9440531401806</v>
      </c>
      <c r="D18" s="188">
        <f t="shared" si="10"/>
        <v>980.11410948496587</v>
      </c>
      <c r="E18" s="188">
        <f t="shared" si="10"/>
        <v>860.70692539466086</v>
      </c>
      <c r="F18" s="188">
        <f t="shared" si="10"/>
        <v>731.94096038103203</v>
      </c>
      <c r="G18" s="187"/>
      <c r="H18" s="188">
        <f t="shared" si="11"/>
        <v>770.71351120273471</v>
      </c>
      <c r="I18" s="188">
        <f t="shared" si="11"/>
        <v>753.1395408366011</v>
      </c>
      <c r="J18" s="188">
        <f t="shared" si="11"/>
        <v>687.79876078330381</v>
      </c>
      <c r="K18" s="188">
        <f t="shared" si="11"/>
        <v>603.69792908410795</v>
      </c>
      <c r="L18" s="188">
        <f t="shared" si="11"/>
        <v>513.13110481139574</v>
      </c>
      <c r="M18" s="187"/>
      <c r="N18" s="188">
        <f t="shared" si="12"/>
        <v>326.78016659729855</v>
      </c>
      <c r="O18" s="188">
        <f t="shared" si="12"/>
        <v>319.80451230357949</v>
      </c>
      <c r="P18" s="188">
        <f t="shared" si="12"/>
        <v>292.31534870166195</v>
      </c>
      <c r="Q18" s="188">
        <f t="shared" si="12"/>
        <v>257.0089963105529</v>
      </c>
      <c r="R18" s="188">
        <f t="shared" si="12"/>
        <v>218.80985556963645</v>
      </c>
      <c r="S18" s="187"/>
      <c r="T18" s="188">
        <f t="shared" si="13"/>
        <v>0</v>
      </c>
      <c r="U18" s="188">
        <f t="shared" si="13"/>
        <v>0</v>
      </c>
      <c r="V18" s="188">
        <f t="shared" si="13"/>
        <v>0</v>
      </c>
      <c r="W18" s="188">
        <f t="shared" si="13"/>
        <v>0</v>
      </c>
      <c r="X18" s="188">
        <f t="shared" si="13"/>
        <v>0</v>
      </c>
      <c r="Y18" s="90" t="str">
        <f t="shared" si="14"/>
        <v>65+</v>
      </c>
      <c r="Z18" s="188">
        <f t="shared" si="15"/>
        <v>412.59519957455325</v>
      </c>
      <c r="AA18" s="188">
        <f t="shared" si="15"/>
        <v>441.80478171374187</v>
      </c>
      <c r="AB18" s="188">
        <f t="shared" si="15"/>
        <v>588.92141161742438</v>
      </c>
      <c r="AC18" s="188">
        <f t="shared" si="15"/>
        <v>717.19301187685096</v>
      </c>
      <c r="AD18" s="188">
        <f t="shared" si="15"/>
        <v>861.73238046119513</v>
      </c>
      <c r="AE18" s="187"/>
      <c r="AF18" s="188">
        <f t="shared" si="16"/>
        <v>391.95319027138726</v>
      </c>
      <c r="AG18" s="188">
        <f t="shared" si="16"/>
        <v>419.72502641576881</v>
      </c>
      <c r="AH18" s="188">
        <f t="shared" si="16"/>
        <v>559.48677128208897</v>
      </c>
      <c r="AI18" s="188">
        <f t="shared" si="16"/>
        <v>681.36315392476172</v>
      </c>
      <c r="AJ18" s="188">
        <f t="shared" si="16"/>
        <v>818.69055459842366</v>
      </c>
      <c r="AK18" s="187"/>
      <c r="AL18" s="188">
        <f t="shared" si="17"/>
        <v>20.642009303165985</v>
      </c>
      <c r="AM18" s="188">
        <f t="shared" si="17"/>
        <v>22.079755297973087</v>
      </c>
      <c r="AN18" s="188">
        <f t="shared" si="17"/>
        <v>29.434640335335327</v>
      </c>
      <c r="AO18" s="188">
        <f t="shared" si="17"/>
        <v>35.82985795208927</v>
      </c>
      <c r="AP18" s="188">
        <f t="shared" si="17"/>
        <v>43.041825862771589</v>
      </c>
      <c r="AQ18" s="90" t="str">
        <f t="shared" si="18"/>
        <v>65+</v>
      </c>
      <c r="AR18" s="188">
        <f t="shared" si="19"/>
        <v>309.63712262541355</v>
      </c>
      <c r="AS18" s="188">
        <f t="shared" si="19"/>
        <v>345.41016514607776</v>
      </c>
      <c r="AT18" s="188">
        <f t="shared" si="19"/>
        <v>465.83547889760985</v>
      </c>
      <c r="AU18" s="188">
        <f t="shared" si="19"/>
        <v>642.09606272848828</v>
      </c>
      <c r="AV18" s="188">
        <f t="shared" si="19"/>
        <v>863.68565915777276</v>
      </c>
      <c r="AW18" s="187"/>
      <c r="AX18" s="188">
        <f t="shared" si="20"/>
        <v>301.40115633884841</v>
      </c>
      <c r="AY18" s="188">
        <f t="shared" si="20"/>
        <v>336.56314669404765</v>
      </c>
      <c r="AZ18" s="188">
        <f t="shared" si="20"/>
        <v>453.89786151814837</v>
      </c>
      <c r="BA18" s="188">
        <f t="shared" si="20"/>
        <v>625.97097807950172</v>
      </c>
      <c r="BB18" s="188">
        <f t="shared" si="20"/>
        <v>842.26455696727317</v>
      </c>
      <c r="BC18" s="187"/>
      <c r="BD18" s="188">
        <f t="shared" si="21"/>
        <v>8.2359662865651462</v>
      </c>
      <c r="BE18" s="188">
        <f t="shared" si="21"/>
        <v>8.847018452030122</v>
      </c>
      <c r="BF18" s="188">
        <f t="shared" si="21"/>
        <v>11.937617379461411</v>
      </c>
      <c r="BG18" s="188">
        <f t="shared" si="21"/>
        <v>16.125084648986547</v>
      </c>
      <c r="BH18" s="188">
        <f t="shared" si="21"/>
        <v>21.421102190499685</v>
      </c>
    </row>
    <row r="19" spans="1:60" x14ac:dyDescent="0.3">
      <c r="B19" s="188"/>
      <c r="C19" s="188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93"/>
      <c r="U19" s="93"/>
      <c r="V19" s="93"/>
      <c r="W19" s="93"/>
      <c r="X19" s="93"/>
      <c r="Z19" s="188"/>
      <c r="AA19" s="188"/>
      <c r="AB19" s="187"/>
      <c r="AC19" s="187"/>
      <c r="AD19" s="187"/>
      <c r="AE19" s="187"/>
      <c r="AF19" s="187"/>
      <c r="AG19" s="187"/>
      <c r="AH19" s="187"/>
      <c r="AI19" s="187"/>
      <c r="AJ19" s="187"/>
      <c r="AK19" s="187"/>
      <c r="AL19" s="187"/>
      <c r="AM19" s="187"/>
      <c r="AN19" s="187"/>
      <c r="AO19" s="187"/>
      <c r="AP19" s="187"/>
      <c r="AR19" s="188"/>
      <c r="AS19" s="188"/>
      <c r="AT19" s="187"/>
      <c r="AU19" s="187"/>
      <c r="AV19" s="187"/>
      <c r="AW19" s="187"/>
      <c r="AX19" s="187"/>
      <c r="AY19" s="187"/>
      <c r="AZ19" s="187"/>
      <c r="BA19" s="187"/>
      <c r="BB19" s="187"/>
      <c r="BC19" s="187"/>
      <c r="BD19" s="187"/>
      <c r="BE19" s="187"/>
      <c r="BF19" s="187"/>
      <c r="BG19" s="187"/>
      <c r="BH19" s="187"/>
    </row>
    <row r="20" spans="1:60" x14ac:dyDescent="0.3">
      <c r="A20" s="113" t="s">
        <v>98</v>
      </c>
      <c r="B20" s="93"/>
      <c r="C20" s="93"/>
      <c r="D20" s="93"/>
      <c r="E20" s="93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  <c r="T20" s="93"/>
      <c r="U20" s="93"/>
      <c r="V20" s="93"/>
      <c r="W20" s="93"/>
      <c r="X20" s="93"/>
      <c r="Y20" s="113" t="str">
        <f t="shared" si="14"/>
        <v>Males</v>
      </c>
      <c r="Z20" s="93"/>
      <c r="AA20" s="93"/>
      <c r="AB20" s="93"/>
      <c r="AC20" s="93"/>
      <c r="AD20" s="188"/>
      <c r="AE20" s="188"/>
      <c r="AF20" s="188"/>
      <c r="AG20" s="188"/>
      <c r="AH20" s="188"/>
      <c r="AI20" s="188"/>
      <c r="AJ20" s="188"/>
      <c r="AK20" s="188"/>
      <c r="AL20" s="188"/>
      <c r="AM20" s="188"/>
      <c r="AN20" s="188"/>
      <c r="AO20" s="188"/>
      <c r="AP20" s="188"/>
      <c r="AQ20" s="113" t="str">
        <f>A20</f>
        <v>Males</v>
      </c>
      <c r="AR20" s="93"/>
      <c r="AS20" s="93"/>
      <c r="AT20" s="93"/>
      <c r="AU20" s="93"/>
      <c r="AV20" s="188"/>
      <c r="AW20" s="188"/>
      <c r="AX20" s="188"/>
      <c r="AY20" s="188"/>
      <c r="AZ20" s="188"/>
      <c r="BA20" s="188"/>
      <c r="BB20" s="188"/>
      <c r="BC20" s="188"/>
      <c r="BD20" s="188"/>
      <c r="BE20" s="188"/>
      <c r="BF20" s="188"/>
      <c r="BG20" s="188"/>
      <c r="BH20" s="188"/>
    </row>
    <row r="21" spans="1:60" x14ac:dyDescent="0.3">
      <c r="A21" s="90" t="str">
        <f>$A$7</f>
        <v>15+</v>
      </c>
      <c r="B21" s="188">
        <f>SUM(B22:B32)</f>
        <v>1620.2473852146525</v>
      </c>
      <c r="C21" s="188">
        <f t="shared" ref="C21:F21" si="22">SUM(C22:C32)</f>
        <v>1614.229579565203</v>
      </c>
      <c r="D21" s="188">
        <f t="shared" si="22"/>
        <v>1473.336267790763</v>
      </c>
      <c r="E21" s="188">
        <f t="shared" si="22"/>
        <v>1328.0088879474006</v>
      </c>
      <c r="F21" s="188">
        <f t="shared" si="22"/>
        <v>1173.6897154992268</v>
      </c>
      <c r="G21" s="188"/>
      <c r="H21" s="188">
        <f>SUM(H22:H32)</f>
        <v>716.1464894810149</v>
      </c>
      <c r="I21" s="188">
        <f t="shared" ref="I21:L21" si="23">SUM(I22:I32)</f>
        <v>715.64405967986499</v>
      </c>
      <c r="J21" s="188">
        <f t="shared" si="23"/>
        <v>655.33170359679184</v>
      </c>
      <c r="K21" s="188">
        <f t="shared" si="23"/>
        <v>588.71852138985469</v>
      </c>
      <c r="L21" s="188">
        <f t="shared" si="23"/>
        <v>511.80228655523888</v>
      </c>
      <c r="M21" s="188"/>
      <c r="N21" s="188">
        <f>SUM(N22:N32)</f>
        <v>904.1008957336378</v>
      </c>
      <c r="O21" s="188">
        <f t="shared" ref="O21:R21" si="24">SUM(O22:O32)</f>
        <v>898.5855198853385</v>
      </c>
      <c r="P21" s="188">
        <f t="shared" si="24"/>
        <v>818.00456419397131</v>
      </c>
      <c r="Q21" s="188">
        <f t="shared" si="24"/>
        <v>739.29036655754555</v>
      </c>
      <c r="R21" s="188">
        <f t="shared" si="24"/>
        <v>661.88742894398808</v>
      </c>
      <c r="S21" s="188"/>
      <c r="T21" s="188">
        <f>SUM(T22:T32)</f>
        <v>0</v>
      </c>
      <c r="U21" s="188">
        <f t="shared" ref="U21:X21" si="25">SUM(U22:U32)</f>
        <v>0</v>
      </c>
      <c r="V21" s="188">
        <f t="shared" si="25"/>
        <v>0</v>
      </c>
      <c r="W21" s="188">
        <f t="shared" si="25"/>
        <v>0</v>
      </c>
      <c r="X21" s="188">
        <f t="shared" si="25"/>
        <v>0</v>
      </c>
      <c r="Y21" s="90" t="str">
        <f>$A$7</f>
        <v>15+</v>
      </c>
      <c r="Z21" s="188">
        <f>SUM(Z22:Z32)</f>
        <v>1577.3024491368396</v>
      </c>
      <c r="AA21" s="188">
        <f t="shared" ref="AA21:AD21" si="26">SUM(AA22:AA32)</f>
        <v>1562.2040994555152</v>
      </c>
      <c r="AB21" s="188">
        <f t="shared" si="26"/>
        <v>1749.398715210659</v>
      </c>
      <c r="AC21" s="188">
        <f t="shared" si="26"/>
        <v>1909.488504579884</v>
      </c>
      <c r="AD21" s="188">
        <f t="shared" si="26"/>
        <v>2081.0684990931632</v>
      </c>
      <c r="AE21" s="188"/>
      <c r="AF21" s="188">
        <f>SUM(AF22:AF32)</f>
        <v>1499.7774540648427</v>
      </c>
      <c r="AG21" s="188">
        <f t="shared" ref="AG21:AJ21" si="27">SUM(AG22:AG32)</f>
        <v>1486.1007164675289</v>
      </c>
      <c r="AH21" s="188">
        <f t="shared" si="27"/>
        <v>1664.4597911861424</v>
      </c>
      <c r="AI21" s="188">
        <f t="shared" si="27"/>
        <v>1816.8390130222895</v>
      </c>
      <c r="AJ21" s="188">
        <f t="shared" si="27"/>
        <v>1980.4678395589967</v>
      </c>
      <c r="AK21" s="188"/>
      <c r="AL21" s="188">
        <f>SUM(AL22:AL32)</f>
        <v>77.524995071996941</v>
      </c>
      <c r="AM21" s="188">
        <f t="shared" ref="AM21:AP21" si="28">SUM(AM22:AM32)</f>
        <v>76.103382987986208</v>
      </c>
      <c r="AN21" s="188">
        <f t="shared" si="28"/>
        <v>84.938924024516524</v>
      </c>
      <c r="AO21" s="188">
        <f t="shared" si="28"/>
        <v>92.649491557594388</v>
      </c>
      <c r="AP21" s="188">
        <f t="shared" si="28"/>
        <v>100.60065953416633</v>
      </c>
      <c r="AQ21" s="90" t="str">
        <f>A21</f>
        <v>15+</v>
      </c>
      <c r="AR21" s="188">
        <f>SUM(AR22:AR32)</f>
        <v>1106.6731656485081</v>
      </c>
      <c r="AS21" s="188">
        <f t="shared" ref="AS21:AV21" si="29">SUM(AS22:AS32)</f>
        <v>1199.3363209792817</v>
      </c>
      <c r="AT21" s="188">
        <f t="shared" si="29"/>
        <v>1365.5690169985778</v>
      </c>
      <c r="AU21" s="188">
        <f t="shared" si="29"/>
        <v>1541.874607472716</v>
      </c>
      <c r="AV21" s="188">
        <f t="shared" si="29"/>
        <v>1748.1917854076103</v>
      </c>
      <c r="AW21" s="188"/>
      <c r="AX21" s="188">
        <f>SUM(AX22:AX32)</f>
        <v>1077.4599726477079</v>
      </c>
      <c r="AY21" s="188">
        <f t="shared" ref="AY21:BB21" si="30">SUM(AY22:AY32)</f>
        <v>1167.5793096493508</v>
      </c>
      <c r="AZ21" s="188">
        <f t="shared" si="30"/>
        <v>1328.8583394486275</v>
      </c>
      <c r="BA21" s="188">
        <f t="shared" si="30"/>
        <v>1499.4805167904162</v>
      </c>
      <c r="BB21" s="188">
        <f t="shared" si="30"/>
        <v>1698.9799024688193</v>
      </c>
      <c r="BC21" s="188"/>
      <c r="BD21" s="188">
        <f>SUM(BD22:BD32)</f>
        <v>29.213193000800217</v>
      </c>
      <c r="BE21" s="188">
        <f t="shared" ref="BE21:BH21" si="31">SUM(BE22:BE32)</f>
        <v>31.757011329930545</v>
      </c>
      <c r="BF21" s="188">
        <f t="shared" si="31"/>
        <v>36.710677549950461</v>
      </c>
      <c r="BG21" s="188">
        <f t="shared" si="31"/>
        <v>42.394090682299776</v>
      </c>
      <c r="BH21" s="188">
        <f t="shared" si="31"/>
        <v>49.211882938790794</v>
      </c>
    </row>
    <row r="22" spans="1:60" x14ac:dyDescent="0.3">
      <c r="A22" s="90" t="str">
        <f>$A$8</f>
        <v>15-19</v>
      </c>
      <c r="B22" s="188">
        <v>265.87910321369338</v>
      </c>
      <c r="C22" s="188">
        <v>258.0443726840308</v>
      </c>
      <c r="D22" s="188">
        <v>243.141770298518</v>
      </c>
      <c r="E22" s="188">
        <v>242.0329033496289</v>
      </c>
      <c r="F22" s="187">
        <v>259.48953414978911</v>
      </c>
      <c r="G22" s="188"/>
      <c r="H22" s="188">
        <v>65.502301380201217</v>
      </c>
      <c r="I22" s="188">
        <v>63.57213501074979</v>
      </c>
      <c r="J22" s="188">
        <v>59.900673398189532</v>
      </c>
      <c r="K22" s="188">
        <v>59.627470660231161</v>
      </c>
      <c r="L22" s="187">
        <v>63.928125917066254</v>
      </c>
      <c r="M22" s="188"/>
      <c r="N22" s="188">
        <v>200.37680183349218</v>
      </c>
      <c r="O22" s="188">
        <v>194.47223767328106</v>
      </c>
      <c r="P22" s="188">
        <v>183.2410969003285</v>
      </c>
      <c r="Q22" s="188">
        <v>182.40543268939777</v>
      </c>
      <c r="R22" s="187">
        <v>195.56140823272287</v>
      </c>
      <c r="S22" s="188"/>
      <c r="T22" s="188">
        <v>0</v>
      </c>
      <c r="U22" s="188">
        <v>0</v>
      </c>
      <c r="V22" s="188">
        <v>0</v>
      </c>
      <c r="W22" s="188">
        <v>0</v>
      </c>
      <c r="X22" s="187">
        <v>0</v>
      </c>
      <c r="Y22" s="90" t="str">
        <f>$A$8</f>
        <v>15-19</v>
      </c>
      <c r="Z22" s="188">
        <v>66.511132470586716</v>
      </c>
      <c r="AA22" s="188">
        <v>73.411299772273082</v>
      </c>
      <c r="AB22" s="188">
        <v>80.502722532222251</v>
      </c>
      <c r="AC22" s="188">
        <v>87.416701640226961</v>
      </c>
      <c r="AD22" s="187">
        <v>102.22230692001014</v>
      </c>
      <c r="AE22" s="188"/>
      <c r="AF22" s="188">
        <v>65.408785510809949</v>
      </c>
      <c r="AG22" s="188">
        <v>72.194629595921498</v>
      </c>
      <c r="AH22" s="188">
        <v>79.16853183013346</v>
      </c>
      <c r="AI22" s="188">
        <v>85.967955058277127</v>
      </c>
      <c r="AJ22" s="187">
        <v>100.52812602924274</v>
      </c>
      <c r="AK22" s="188"/>
      <c r="AL22" s="188">
        <v>1.1023469597767663</v>
      </c>
      <c r="AM22" s="188">
        <v>1.2166701763515873</v>
      </c>
      <c r="AN22" s="188">
        <v>1.3341907020887731</v>
      </c>
      <c r="AO22" s="188">
        <v>1.4487465819498317</v>
      </c>
      <c r="AP22" s="187">
        <v>1.6941808907673945</v>
      </c>
      <c r="AQ22" s="90" t="str">
        <f t="shared" ref="AQ22:AQ32" si="32">A22</f>
        <v>15-19</v>
      </c>
      <c r="AR22" s="188">
        <v>0.47976431571996198</v>
      </c>
      <c r="AS22" s="188">
        <v>0.72732754369609554</v>
      </c>
      <c r="AT22" s="188">
        <v>0.48550716925975612</v>
      </c>
      <c r="AU22" s="188">
        <v>0.49439501014410386</v>
      </c>
      <c r="AV22" s="187">
        <v>0.54315893020071748</v>
      </c>
      <c r="AW22" s="188"/>
      <c r="AX22" s="188">
        <v>0.424231447426622</v>
      </c>
      <c r="AY22" s="188">
        <v>0.64301397638445978</v>
      </c>
      <c r="AZ22" s="188">
        <v>0.4293477578901575</v>
      </c>
      <c r="BA22" s="188">
        <v>0.43712398467357205</v>
      </c>
      <c r="BB22" s="187">
        <v>0.4802635949877026</v>
      </c>
      <c r="BC22" s="188"/>
      <c r="BD22" s="188">
        <v>5.5532868293339949E-2</v>
      </c>
      <c r="BE22" s="188">
        <v>8.4313567311635793E-2</v>
      </c>
      <c r="BF22" s="188">
        <v>5.6159411369598657E-2</v>
      </c>
      <c r="BG22" s="188">
        <v>5.7271025470531763E-2</v>
      </c>
      <c r="BH22" s="187">
        <v>6.2895335213014894E-2</v>
      </c>
    </row>
    <row r="23" spans="1:60" x14ac:dyDescent="0.3">
      <c r="A23" s="90" t="str">
        <f>$A$9</f>
        <v>20-24</v>
      </c>
      <c r="B23" s="188">
        <v>62.563891293376557</v>
      </c>
      <c r="C23" s="188">
        <v>65.325512781581011</v>
      </c>
      <c r="D23" s="188">
        <v>67.029010553797633</v>
      </c>
      <c r="E23" s="188">
        <v>59.464637575430878</v>
      </c>
      <c r="F23" s="187">
        <v>54.38972351131563</v>
      </c>
      <c r="G23" s="188"/>
      <c r="H23" s="188">
        <v>17.754171051225015</v>
      </c>
      <c r="I23" s="188">
        <v>18.537831805843624</v>
      </c>
      <c r="J23" s="188">
        <v>19.021243659623707</v>
      </c>
      <c r="K23" s="188">
        <v>16.874679665555647</v>
      </c>
      <c r="L23" s="187">
        <v>15.434495406960504</v>
      </c>
      <c r="M23" s="188"/>
      <c r="N23" s="188">
        <v>44.809720242151542</v>
      </c>
      <c r="O23" s="188">
        <v>46.787680975737388</v>
      </c>
      <c r="P23" s="188">
        <v>48.00776689417394</v>
      </c>
      <c r="Q23" s="188">
        <v>42.589957909875231</v>
      </c>
      <c r="R23" s="187">
        <v>38.955228104355122</v>
      </c>
      <c r="S23" s="188"/>
      <c r="T23" s="188">
        <v>0</v>
      </c>
      <c r="U23" s="188">
        <v>0</v>
      </c>
      <c r="V23" s="188">
        <v>0</v>
      </c>
      <c r="W23" s="188">
        <v>0</v>
      </c>
      <c r="X23" s="187">
        <v>0</v>
      </c>
      <c r="Y23" s="90" t="str">
        <f>$A$9</f>
        <v>20-24</v>
      </c>
      <c r="Z23" s="188">
        <v>203.50469894139783</v>
      </c>
      <c r="AA23" s="188">
        <v>206.78831948241526</v>
      </c>
      <c r="AB23" s="188">
        <v>217.16688614689699</v>
      </c>
      <c r="AC23" s="188">
        <v>213.03529301815917</v>
      </c>
      <c r="AD23" s="187">
        <v>215.87448968593148</v>
      </c>
      <c r="AE23" s="188"/>
      <c r="AF23" s="188">
        <v>194.19340573185747</v>
      </c>
      <c r="AG23" s="188">
        <v>197.32683079971491</v>
      </c>
      <c r="AH23" s="188">
        <v>207.23048265883725</v>
      </c>
      <c r="AI23" s="188">
        <v>203.2879208070558</v>
      </c>
      <c r="AJ23" s="187">
        <v>205.99720170925298</v>
      </c>
      <c r="AK23" s="188"/>
      <c r="AL23" s="188">
        <v>9.3112932095403682</v>
      </c>
      <c r="AM23" s="188">
        <v>9.4614886827003613</v>
      </c>
      <c r="AN23" s="188">
        <v>9.936403488059721</v>
      </c>
      <c r="AO23" s="188">
        <v>9.7473722111033432</v>
      </c>
      <c r="AP23" s="187">
        <v>9.8772879766784918</v>
      </c>
      <c r="AQ23" s="90" t="str">
        <f t="shared" si="32"/>
        <v>20-24</v>
      </c>
      <c r="AR23" s="188">
        <v>55.35540976522563</v>
      </c>
      <c r="AS23" s="188">
        <v>59.428167736003701</v>
      </c>
      <c r="AT23" s="188">
        <v>76.351103299305365</v>
      </c>
      <c r="AU23" s="188">
        <v>82.69706940640998</v>
      </c>
      <c r="AV23" s="187">
        <v>92.251786802752903</v>
      </c>
      <c r="AW23" s="188"/>
      <c r="AX23" s="188">
        <v>55.171502233744391</v>
      </c>
      <c r="AY23" s="188">
        <v>59.230692610728923</v>
      </c>
      <c r="AZ23" s="188">
        <v>76.097464300047577</v>
      </c>
      <c r="BA23" s="188">
        <v>82.422307619001344</v>
      </c>
      <c r="BB23" s="187">
        <v>91.945269557157303</v>
      </c>
      <c r="BC23" s="188"/>
      <c r="BD23" s="188">
        <v>0.18390753148124411</v>
      </c>
      <c r="BE23" s="188">
        <v>0.19747512527477654</v>
      </c>
      <c r="BF23" s="188">
        <v>0.2536389992577906</v>
      </c>
      <c r="BG23" s="188">
        <v>0.27476178740863866</v>
      </c>
      <c r="BH23" s="187">
        <v>0.30651724559561289</v>
      </c>
    </row>
    <row r="24" spans="1:60" x14ac:dyDescent="0.3">
      <c r="A24" s="90" t="str">
        <f>$A$10</f>
        <v>25-29</v>
      </c>
      <c r="B24" s="188">
        <v>66.398736675349255</v>
      </c>
      <c r="C24" s="188">
        <v>69.045212178063281</v>
      </c>
      <c r="D24" s="188">
        <v>66.627042081793974</v>
      </c>
      <c r="E24" s="188">
        <v>68.686692459413791</v>
      </c>
      <c r="F24" s="187">
        <v>61.118016987628771</v>
      </c>
      <c r="G24" s="188"/>
      <c r="H24" s="188">
        <v>22.566174767142297</v>
      </c>
      <c r="I24" s="188">
        <v>23.465649013403809</v>
      </c>
      <c r="J24" s="188">
        <v>22.643783635613381</v>
      </c>
      <c r="K24" s="188">
        <v>23.343782133688464</v>
      </c>
      <c r="L24" s="187">
        <v>20.771486527956</v>
      </c>
      <c r="M24" s="188"/>
      <c r="N24" s="188">
        <v>43.832561908206955</v>
      </c>
      <c r="O24" s="188">
        <v>45.579563164659476</v>
      </c>
      <c r="P24" s="188">
        <v>43.983258446180592</v>
      </c>
      <c r="Q24" s="188">
        <v>45.342910325725327</v>
      </c>
      <c r="R24" s="187">
        <v>40.346530459672763</v>
      </c>
      <c r="S24" s="188"/>
      <c r="T24" s="188">
        <v>0</v>
      </c>
      <c r="U24" s="188">
        <v>0</v>
      </c>
      <c r="V24" s="188">
        <v>0</v>
      </c>
      <c r="W24" s="188">
        <v>0</v>
      </c>
      <c r="X24" s="187">
        <v>0</v>
      </c>
      <c r="Y24" s="90" t="str">
        <f>$A$10</f>
        <v>25-29</v>
      </c>
      <c r="Z24" s="188">
        <v>157.53682636123301</v>
      </c>
      <c r="AA24" s="188">
        <v>146.82469164415315</v>
      </c>
      <c r="AB24" s="188">
        <v>162.09459077138558</v>
      </c>
      <c r="AC24" s="188">
        <v>176.76412293200428</v>
      </c>
      <c r="AD24" s="187">
        <v>178.0449747242445</v>
      </c>
      <c r="AE24" s="188"/>
      <c r="AF24" s="188">
        <v>147.64849438417414</v>
      </c>
      <c r="AG24" s="188">
        <v>137.60882551682283</v>
      </c>
      <c r="AH24" s="188">
        <v>151.92024178805138</v>
      </c>
      <c r="AI24" s="188">
        <v>165.66900835507411</v>
      </c>
      <c r="AJ24" s="187">
        <v>166.86940114891388</v>
      </c>
      <c r="AK24" s="188"/>
      <c r="AL24" s="188">
        <v>9.8883319770588862</v>
      </c>
      <c r="AM24" s="188">
        <v>9.21586612733031</v>
      </c>
      <c r="AN24" s="188">
        <v>10.174348983334211</v>
      </c>
      <c r="AO24" s="188">
        <v>11.095114576930154</v>
      </c>
      <c r="AP24" s="187">
        <v>11.175573575330596</v>
      </c>
      <c r="AQ24" s="90" t="str">
        <f t="shared" si="32"/>
        <v>25-29</v>
      </c>
      <c r="AR24" s="188">
        <v>119.99943696341774</v>
      </c>
      <c r="AS24" s="188">
        <v>129.39109617778351</v>
      </c>
      <c r="AT24" s="188">
        <v>137.02936714682045</v>
      </c>
      <c r="AU24" s="188">
        <v>151.42218460858194</v>
      </c>
      <c r="AV24" s="187">
        <v>154.61300828812676</v>
      </c>
      <c r="AW24" s="188"/>
      <c r="AX24" s="188">
        <v>118.70993980899782</v>
      </c>
      <c r="AY24" s="188">
        <v>128.00063464065943</v>
      </c>
      <c r="AZ24" s="188">
        <v>135.5567932955843</v>
      </c>
      <c r="BA24" s="188">
        <v>149.7950052068511</v>
      </c>
      <c r="BB24" s="187">
        <v>152.9514745672883</v>
      </c>
      <c r="BC24" s="188"/>
      <c r="BD24" s="188">
        <v>1.2894971544199207</v>
      </c>
      <c r="BE24" s="188">
        <v>1.3904615371240769</v>
      </c>
      <c r="BF24" s="188">
        <v>1.4725738512361566</v>
      </c>
      <c r="BG24" s="188">
        <v>1.6271794017308401</v>
      </c>
      <c r="BH24" s="187">
        <v>1.6615337208384582</v>
      </c>
    </row>
    <row r="25" spans="1:60" x14ac:dyDescent="0.3">
      <c r="A25" s="90" t="str">
        <f>$A$11</f>
        <v>30-34</v>
      </c>
      <c r="B25" s="188">
        <v>68.283196879250426</v>
      </c>
      <c r="C25" s="188">
        <v>66.945802724107253</v>
      </c>
      <c r="D25" s="188">
        <v>66.03723253213704</v>
      </c>
      <c r="E25" s="188">
        <v>61.74876482433028</v>
      </c>
      <c r="F25" s="187">
        <v>53.450029841365982</v>
      </c>
      <c r="G25" s="188"/>
      <c r="H25" s="188">
        <v>24.544039774496266</v>
      </c>
      <c r="I25" s="188">
        <v>24.063322041545216</v>
      </c>
      <c r="J25" s="188">
        <v>23.736795331659089</v>
      </c>
      <c r="K25" s="188">
        <v>22.195343632842444</v>
      </c>
      <c r="L25" s="187">
        <v>19.212368288465317</v>
      </c>
      <c r="M25" s="188"/>
      <c r="N25" s="188">
        <v>43.739157104754149</v>
      </c>
      <c r="O25" s="188">
        <v>42.88248068256204</v>
      </c>
      <c r="P25" s="188">
        <v>42.300437200477958</v>
      </c>
      <c r="Q25" s="188">
        <v>39.553421191487843</v>
      </c>
      <c r="R25" s="187">
        <v>34.237661552900661</v>
      </c>
      <c r="S25" s="188"/>
      <c r="T25" s="188">
        <v>0</v>
      </c>
      <c r="U25" s="188">
        <v>0</v>
      </c>
      <c r="V25" s="188">
        <v>0</v>
      </c>
      <c r="W25" s="188">
        <v>0</v>
      </c>
      <c r="X25" s="187">
        <v>0</v>
      </c>
      <c r="Y25" s="90" t="str">
        <f>$A$11</f>
        <v>30-34</v>
      </c>
      <c r="Z25" s="188">
        <v>148.60780472425301</v>
      </c>
      <c r="AA25" s="188">
        <v>147.31893427815288</v>
      </c>
      <c r="AB25" s="188">
        <v>161.47366094590328</v>
      </c>
      <c r="AC25" s="188">
        <v>172.47340823028688</v>
      </c>
      <c r="AD25" s="187">
        <v>191.95713844294832</v>
      </c>
      <c r="AE25" s="188"/>
      <c r="AF25" s="188">
        <v>138.80683308840062</v>
      </c>
      <c r="AG25" s="188">
        <v>137.60298665378525</v>
      </c>
      <c r="AH25" s="188">
        <v>150.82413863510811</v>
      </c>
      <c r="AI25" s="188">
        <v>161.09845641798645</v>
      </c>
      <c r="AJ25" s="187">
        <v>179.29720884021523</v>
      </c>
      <c r="AK25" s="188"/>
      <c r="AL25" s="188">
        <v>9.8009716358523953</v>
      </c>
      <c r="AM25" s="188">
        <v>9.7159476243676277</v>
      </c>
      <c r="AN25" s="188">
        <v>10.649522310795193</v>
      </c>
      <c r="AO25" s="188">
        <v>11.374951812300438</v>
      </c>
      <c r="AP25" s="187">
        <v>12.659929602733092</v>
      </c>
      <c r="AQ25" s="90" t="str">
        <f t="shared" si="32"/>
        <v>30-34</v>
      </c>
      <c r="AR25" s="188">
        <v>129.43499839649661</v>
      </c>
      <c r="AS25" s="188">
        <v>136.9352629977399</v>
      </c>
      <c r="AT25" s="188">
        <v>146.86710652195967</v>
      </c>
      <c r="AU25" s="188">
        <v>156.94682694538284</v>
      </c>
      <c r="AV25" s="187">
        <v>178.67283171568567</v>
      </c>
      <c r="AW25" s="188"/>
      <c r="AX25" s="188">
        <v>126.08382142150504</v>
      </c>
      <c r="AY25" s="188">
        <v>133.38988826824271</v>
      </c>
      <c r="AZ25" s="188">
        <v>143.06466319041809</v>
      </c>
      <c r="BA25" s="188">
        <v>152.88342672901697</v>
      </c>
      <c r="BB25" s="187">
        <v>174.04687249714561</v>
      </c>
      <c r="BC25" s="188"/>
      <c r="BD25" s="188">
        <v>3.3511769749915721</v>
      </c>
      <c r="BE25" s="188">
        <v>3.5453747294971758</v>
      </c>
      <c r="BF25" s="188">
        <v>3.8024433315415691</v>
      </c>
      <c r="BG25" s="188">
        <v>4.0634002163658671</v>
      </c>
      <c r="BH25" s="187">
        <v>4.625959218540066</v>
      </c>
    </row>
    <row r="26" spans="1:60" x14ac:dyDescent="0.3">
      <c r="A26" s="90" t="str">
        <f>$A$12</f>
        <v>35-39</v>
      </c>
      <c r="B26" s="188">
        <v>81.570107580789099</v>
      </c>
      <c r="C26" s="188">
        <v>83.089506586868126</v>
      </c>
      <c r="D26" s="188">
        <v>69.396955766521813</v>
      </c>
      <c r="E26" s="188">
        <v>57.477476782623199</v>
      </c>
      <c r="F26" s="187">
        <v>45.376437261099497</v>
      </c>
      <c r="G26" s="188"/>
      <c r="H26" s="188">
        <v>27.823839481647656</v>
      </c>
      <c r="I26" s="188">
        <v>28.342149363665129</v>
      </c>
      <c r="J26" s="188">
        <v>23.671532314933994</v>
      </c>
      <c r="K26" s="188">
        <v>19.605797942974593</v>
      </c>
      <c r="L26" s="187">
        <v>15.478099602590135</v>
      </c>
      <c r="M26" s="188"/>
      <c r="N26" s="188">
        <v>53.746268099141446</v>
      </c>
      <c r="O26" s="188">
        <v>54.747357223203004</v>
      </c>
      <c r="P26" s="188">
        <v>45.725423451587815</v>
      </c>
      <c r="Q26" s="188">
        <v>37.871678839648609</v>
      </c>
      <c r="R26" s="187">
        <v>29.898337658509362</v>
      </c>
      <c r="S26" s="188"/>
      <c r="T26" s="188">
        <v>0</v>
      </c>
      <c r="U26" s="188">
        <v>0</v>
      </c>
      <c r="V26" s="188">
        <v>0</v>
      </c>
      <c r="W26" s="188">
        <v>0</v>
      </c>
      <c r="X26" s="187">
        <v>0</v>
      </c>
      <c r="Y26" s="90" t="str">
        <f>$A$12</f>
        <v>35-39</v>
      </c>
      <c r="Z26" s="188">
        <v>172.87314170144836</v>
      </c>
      <c r="AA26" s="188">
        <v>151.81746175182639</v>
      </c>
      <c r="AB26" s="188">
        <v>156.19921187888309</v>
      </c>
      <c r="AC26" s="188">
        <v>170.06847351368867</v>
      </c>
      <c r="AD26" s="187">
        <v>183.91916269923121</v>
      </c>
      <c r="AE26" s="188"/>
      <c r="AF26" s="188">
        <v>162.99555148006215</v>
      </c>
      <c r="AG26" s="188">
        <v>143.14291162441359</v>
      </c>
      <c r="AH26" s="188">
        <v>147.27436031165053</v>
      </c>
      <c r="AI26" s="188">
        <v>160.35109660117249</v>
      </c>
      <c r="AJ26" s="187">
        <v>173.41038032330772</v>
      </c>
      <c r="AK26" s="188"/>
      <c r="AL26" s="188">
        <v>9.8775902213862175</v>
      </c>
      <c r="AM26" s="188">
        <v>8.6745501274128145</v>
      </c>
      <c r="AN26" s="188">
        <v>8.9248515672325688</v>
      </c>
      <c r="AO26" s="188">
        <v>9.7173769125161513</v>
      </c>
      <c r="AP26" s="187">
        <v>10.508782375923495</v>
      </c>
      <c r="AQ26" s="90" t="str">
        <f t="shared" si="32"/>
        <v>35-39</v>
      </c>
      <c r="AR26" s="188">
        <v>130.84375071776253</v>
      </c>
      <c r="AS26" s="188">
        <v>143.10303166130547</v>
      </c>
      <c r="AT26" s="188">
        <v>145.7508323545951</v>
      </c>
      <c r="AU26" s="188">
        <v>161.80904970368815</v>
      </c>
      <c r="AV26" s="187">
        <v>178.15540003966933</v>
      </c>
      <c r="AW26" s="188"/>
      <c r="AX26" s="188">
        <v>127.60652595957404</v>
      </c>
      <c r="AY26" s="188">
        <v>139.56251449676819</v>
      </c>
      <c r="AZ26" s="188">
        <v>142.14475173688641</v>
      </c>
      <c r="BA26" s="188">
        <v>157.80566912987618</v>
      </c>
      <c r="BB26" s="187">
        <v>173.74761952873018</v>
      </c>
      <c r="BC26" s="188"/>
      <c r="BD26" s="188">
        <v>3.237224758188491</v>
      </c>
      <c r="BE26" s="188">
        <v>3.5405171645372788</v>
      </c>
      <c r="BF26" s="188">
        <v>3.6060806177086793</v>
      </c>
      <c r="BG26" s="188">
        <v>4.003380573811949</v>
      </c>
      <c r="BH26" s="187">
        <v>4.4077805109391317</v>
      </c>
    </row>
    <row r="27" spans="1:60" x14ac:dyDescent="0.3">
      <c r="A27" s="90" t="str">
        <f>$A$13</f>
        <v>40-44</v>
      </c>
      <c r="B27" s="188">
        <v>109.36258023994721</v>
      </c>
      <c r="C27" s="188">
        <v>100.65735353635027</v>
      </c>
      <c r="D27" s="188">
        <v>79.894996074335893</v>
      </c>
      <c r="E27" s="188">
        <v>58.266248681924139</v>
      </c>
      <c r="F27" s="187">
        <v>44.943691641188508</v>
      </c>
      <c r="G27" s="188"/>
      <c r="H27" s="188">
        <v>37.497201603751407</v>
      </c>
      <c r="I27" s="188">
        <v>34.512468517177361</v>
      </c>
      <c r="J27" s="188">
        <v>27.393678246007219</v>
      </c>
      <c r="K27" s="188">
        <v>19.977808097422283</v>
      </c>
      <c r="L27" s="187">
        <v>15.409876741628949</v>
      </c>
      <c r="M27" s="188"/>
      <c r="N27" s="188">
        <v>71.8653786361958</v>
      </c>
      <c r="O27" s="188">
        <v>66.144885019172918</v>
      </c>
      <c r="P27" s="188">
        <v>52.501317828328666</v>
      </c>
      <c r="Q27" s="188">
        <v>38.288440584501856</v>
      </c>
      <c r="R27" s="187">
        <v>29.533814899559559</v>
      </c>
      <c r="S27" s="188"/>
      <c r="T27" s="188">
        <v>0</v>
      </c>
      <c r="U27" s="188">
        <v>0</v>
      </c>
      <c r="V27" s="188">
        <v>0</v>
      </c>
      <c r="W27" s="188">
        <v>0</v>
      </c>
      <c r="X27" s="187">
        <v>0</v>
      </c>
      <c r="Y27" s="90" t="str">
        <f>$A$13</f>
        <v>40-44</v>
      </c>
      <c r="Z27" s="188">
        <v>173.78731454334542</v>
      </c>
      <c r="AA27" s="188">
        <v>163.77527356450886</v>
      </c>
      <c r="AB27" s="188">
        <v>162.60647900072252</v>
      </c>
      <c r="AC27" s="188">
        <v>166.47427183086532</v>
      </c>
      <c r="AD27" s="187">
        <v>181.69643068872716</v>
      </c>
      <c r="AE27" s="188"/>
      <c r="AF27" s="188">
        <v>165.32689297611799</v>
      </c>
      <c r="AG27" s="188">
        <v>155.80222756557217</v>
      </c>
      <c r="AH27" s="188">
        <v>154.69035923872957</v>
      </c>
      <c r="AI27" s="188">
        <v>158.36986274844344</v>
      </c>
      <c r="AJ27" s="187">
        <v>172.85093659793318</v>
      </c>
      <c r="AK27" s="188"/>
      <c r="AL27" s="188">
        <v>8.4604215672274528</v>
      </c>
      <c r="AM27" s="188">
        <v>7.9730459989366764</v>
      </c>
      <c r="AN27" s="188">
        <v>7.9161197619929249</v>
      </c>
      <c r="AO27" s="188">
        <v>8.1044090824218635</v>
      </c>
      <c r="AP27" s="187">
        <v>8.8454940907939719</v>
      </c>
      <c r="AQ27" s="90" t="str">
        <f t="shared" si="32"/>
        <v>40-44</v>
      </c>
      <c r="AR27" s="188">
        <v>128.62610521670734</v>
      </c>
      <c r="AS27" s="188">
        <v>136.39037289914091</v>
      </c>
      <c r="AT27" s="188">
        <v>148.07052492494154</v>
      </c>
      <c r="AU27" s="188">
        <v>154.31647948721056</v>
      </c>
      <c r="AV27" s="187">
        <v>171.30987767008435</v>
      </c>
      <c r="AW27" s="188"/>
      <c r="AX27" s="188">
        <v>125.76772964125814</v>
      </c>
      <c r="AY27" s="188">
        <v>133.35947800784845</v>
      </c>
      <c r="AZ27" s="188">
        <v>144.78005921667193</v>
      </c>
      <c r="BA27" s="188">
        <v>150.88727091047099</v>
      </c>
      <c r="BB27" s="187">
        <v>167.50296624498654</v>
      </c>
      <c r="BC27" s="188"/>
      <c r="BD27" s="188">
        <v>2.8583755754492008</v>
      </c>
      <c r="BE27" s="188">
        <v>3.030894891292423</v>
      </c>
      <c r="BF27" s="188">
        <v>3.2904657082695943</v>
      </c>
      <c r="BG27" s="188">
        <v>3.4292085767395757</v>
      </c>
      <c r="BH27" s="187">
        <v>3.8069114250978413</v>
      </c>
    </row>
    <row r="28" spans="1:60" x14ac:dyDescent="0.3">
      <c r="A28" s="90" t="str">
        <f>$A$14</f>
        <v>45-49</v>
      </c>
      <c r="B28" s="188">
        <v>133.05883203982552</v>
      </c>
      <c r="C28" s="188">
        <v>130.62922404585686</v>
      </c>
      <c r="D28" s="188">
        <v>99.593963362259984</v>
      </c>
      <c r="E28" s="188">
        <v>77.436632042573009</v>
      </c>
      <c r="F28" s="187">
        <v>59.492715137111858</v>
      </c>
      <c r="G28" s="188"/>
      <c r="H28" s="188">
        <v>45.027200591392536</v>
      </c>
      <c r="I28" s="188">
        <v>44.204981813015024</v>
      </c>
      <c r="J28" s="188">
        <v>33.702642640591492</v>
      </c>
      <c r="K28" s="188">
        <v>26.204594261379921</v>
      </c>
      <c r="L28" s="187">
        <v>20.132393786098973</v>
      </c>
      <c r="M28" s="188"/>
      <c r="N28" s="188">
        <v>88.031631448432989</v>
      </c>
      <c r="O28" s="188">
        <v>86.424242232841848</v>
      </c>
      <c r="P28" s="188">
        <v>65.891320721668478</v>
      </c>
      <c r="Q28" s="188">
        <v>51.232037781193085</v>
      </c>
      <c r="R28" s="187">
        <v>39.360321351012892</v>
      </c>
      <c r="S28" s="188"/>
      <c r="T28" s="188">
        <v>0</v>
      </c>
      <c r="U28" s="188">
        <v>0</v>
      </c>
      <c r="V28" s="188">
        <v>0</v>
      </c>
      <c r="W28" s="188">
        <v>0</v>
      </c>
      <c r="X28" s="187">
        <v>0</v>
      </c>
      <c r="Y28" s="90" t="str">
        <f>$A$14</f>
        <v>45-49</v>
      </c>
      <c r="Z28" s="188">
        <v>147.70040930140374</v>
      </c>
      <c r="AA28" s="188">
        <v>150.78309476094216</v>
      </c>
      <c r="AB28" s="188">
        <v>165.92406107867228</v>
      </c>
      <c r="AC28" s="188">
        <v>170.02775905499576</v>
      </c>
      <c r="AD28" s="187">
        <v>173.29143493241449</v>
      </c>
      <c r="AE28" s="188"/>
      <c r="AF28" s="188">
        <v>141.54694322175274</v>
      </c>
      <c r="AG28" s="188">
        <v>144.50116492117996</v>
      </c>
      <c r="AH28" s="188">
        <v>159.01136074679223</v>
      </c>
      <c r="AI28" s="188">
        <v>162.94414401206637</v>
      </c>
      <c r="AJ28" s="187">
        <v>166.07180166684751</v>
      </c>
      <c r="AK28" s="188"/>
      <c r="AL28" s="188">
        <v>6.1534660796509844</v>
      </c>
      <c r="AM28" s="188">
        <v>6.2819298397621735</v>
      </c>
      <c r="AN28" s="188">
        <v>6.9127003318800542</v>
      </c>
      <c r="AO28" s="188">
        <v>7.0836150429293721</v>
      </c>
      <c r="AP28" s="187">
        <v>7.2196332655670084</v>
      </c>
      <c r="AQ28" s="90" t="str">
        <f t="shared" si="32"/>
        <v>45-49</v>
      </c>
      <c r="AR28" s="188">
        <v>123.31275865877076</v>
      </c>
      <c r="AS28" s="188">
        <v>132.41368119320103</v>
      </c>
      <c r="AT28" s="188">
        <v>140.53797555906777</v>
      </c>
      <c r="AU28" s="188">
        <v>145.28260890243126</v>
      </c>
      <c r="AV28" s="187">
        <v>149.41884993047367</v>
      </c>
      <c r="AW28" s="188"/>
      <c r="AX28" s="188">
        <v>120.05066515719325</v>
      </c>
      <c r="AY28" s="188">
        <v>128.91090449693274</v>
      </c>
      <c r="AZ28" s="188">
        <v>136.82028565996129</v>
      </c>
      <c r="BA28" s="188">
        <v>141.4394248982336</v>
      </c>
      <c r="BB28" s="187">
        <v>145.46618310656098</v>
      </c>
      <c r="BC28" s="188"/>
      <c r="BD28" s="188">
        <v>3.2620935015775157</v>
      </c>
      <c r="BE28" s="188">
        <v>3.5027766962682798</v>
      </c>
      <c r="BF28" s="188">
        <v>3.7176898991064919</v>
      </c>
      <c r="BG28" s="188">
        <v>3.8431840041976795</v>
      </c>
      <c r="BH28" s="187">
        <v>3.952666823912681</v>
      </c>
    </row>
    <row r="29" spans="1:60" x14ac:dyDescent="0.3">
      <c r="A29" s="90" t="str">
        <f>$A$15</f>
        <v>50-54</v>
      </c>
      <c r="B29" s="188">
        <v>142.62528866518252</v>
      </c>
      <c r="C29" s="188">
        <v>144.67879652164194</v>
      </c>
      <c r="D29" s="188">
        <v>129.89288976403338</v>
      </c>
      <c r="E29" s="188">
        <v>108.5906384249285</v>
      </c>
      <c r="F29" s="187">
        <v>88.797023806023716</v>
      </c>
      <c r="G29" s="188"/>
      <c r="H29" s="188">
        <v>58.809677206890292</v>
      </c>
      <c r="I29" s="188">
        <v>59.656444402939428</v>
      </c>
      <c r="J29" s="188">
        <v>53.559622114055813</v>
      </c>
      <c r="K29" s="188">
        <v>44.77589197427843</v>
      </c>
      <c r="L29" s="187">
        <v>36.614290916009523</v>
      </c>
      <c r="M29" s="188"/>
      <c r="N29" s="188">
        <v>83.815611458292224</v>
      </c>
      <c r="O29" s="188">
        <v>85.022352118702528</v>
      </c>
      <c r="P29" s="188">
        <v>76.333267649977572</v>
      </c>
      <c r="Q29" s="188">
        <v>63.814746450650077</v>
      </c>
      <c r="R29" s="187">
        <v>52.182732890014194</v>
      </c>
      <c r="S29" s="188"/>
      <c r="T29" s="188">
        <v>0</v>
      </c>
      <c r="U29" s="188">
        <v>0</v>
      </c>
      <c r="V29" s="188">
        <v>0</v>
      </c>
      <c r="W29" s="188">
        <v>0</v>
      </c>
      <c r="X29" s="187">
        <v>0</v>
      </c>
      <c r="Y29" s="90" t="str">
        <f>$A$15</f>
        <v>50-54</v>
      </c>
      <c r="Z29" s="188">
        <v>128.12433076039389</v>
      </c>
      <c r="AA29" s="188">
        <v>131.63132793945925</v>
      </c>
      <c r="AB29" s="188">
        <v>150.56527705284162</v>
      </c>
      <c r="AC29" s="188">
        <v>157.47681805010433</v>
      </c>
      <c r="AD29" s="187">
        <v>161.81424705237774</v>
      </c>
      <c r="AE29" s="188"/>
      <c r="AF29" s="188">
        <v>122.55278649675924</v>
      </c>
      <c r="AG29" s="188">
        <v>125.90722170135525</v>
      </c>
      <c r="AH29" s="188">
        <v>144.01786562915689</v>
      </c>
      <c r="AI29" s="188">
        <v>150.62881683229153</v>
      </c>
      <c r="AJ29" s="187">
        <v>154.77764225506792</v>
      </c>
      <c r="AK29" s="188"/>
      <c r="AL29" s="188">
        <v>5.5715442636346637</v>
      </c>
      <c r="AM29" s="188">
        <v>5.7241062381040022</v>
      </c>
      <c r="AN29" s="188">
        <v>6.5474114236847223</v>
      </c>
      <c r="AO29" s="188">
        <v>6.848001217812798</v>
      </c>
      <c r="AP29" s="187">
        <v>7.0366047973098143</v>
      </c>
      <c r="AQ29" s="90" t="str">
        <f t="shared" si="32"/>
        <v>50-54</v>
      </c>
      <c r="AR29" s="188">
        <v>99.533380574423589</v>
      </c>
      <c r="AS29" s="188">
        <v>107.85887553889877</v>
      </c>
      <c r="AT29" s="188">
        <v>131.66083318312499</v>
      </c>
      <c r="AU29" s="188">
        <v>136.99154352496717</v>
      </c>
      <c r="AV29" s="187">
        <v>140.23672914159854</v>
      </c>
      <c r="AW29" s="188"/>
      <c r="AX29" s="188">
        <v>96.536032850777929</v>
      </c>
      <c r="AY29" s="188">
        <v>104.61089167560138</v>
      </c>
      <c r="AZ29" s="188">
        <v>127.6960784524572</v>
      </c>
      <c r="BA29" s="188">
        <v>132.86627000855998</v>
      </c>
      <c r="BB29" s="187">
        <v>136.01369492085831</v>
      </c>
      <c r="BC29" s="188"/>
      <c r="BD29" s="188">
        <v>2.9973477236456505</v>
      </c>
      <c r="BE29" s="188">
        <v>3.2479838632974087</v>
      </c>
      <c r="BF29" s="188">
        <v>3.9647547306677895</v>
      </c>
      <c r="BG29" s="188">
        <v>4.1252735164071801</v>
      </c>
      <c r="BH29" s="187">
        <v>4.2230342207402218</v>
      </c>
    </row>
    <row r="30" spans="1:60" x14ac:dyDescent="0.3">
      <c r="A30" s="90" t="str">
        <f>$A$16</f>
        <v>55-59</v>
      </c>
      <c r="B30" s="188">
        <v>142.02345355885194</v>
      </c>
      <c r="C30" s="188">
        <v>143.44952230302076</v>
      </c>
      <c r="D30" s="188">
        <v>139.14959212331905</v>
      </c>
      <c r="E30" s="188">
        <v>133.10606492478584</v>
      </c>
      <c r="F30" s="187">
        <v>109.14650779855604</v>
      </c>
      <c r="G30" s="188"/>
      <c r="H30" s="188">
        <v>65.471577847382605</v>
      </c>
      <c r="I30" s="188">
        <v>66.128938994656224</v>
      </c>
      <c r="J30" s="188">
        <v>64.146760401718026</v>
      </c>
      <c r="K30" s="188">
        <v>61.360743377948751</v>
      </c>
      <c r="L30" s="187">
        <v>50.315564885494574</v>
      </c>
      <c r="M30" s="188"/>
      <c r="N30" s="188">
        <v>76.551875711469307</v>
      </c>
      <c r="O30" s="188">
        <v>77.320583308364533</v>
      </c>
      <c r="P30" s="188">
        <v>75.002831721601012</v>
      </c>
      <c r="Q30" s="188">
        <v>71.74532154683709</v>
      </c>
      <c r="R30" s="187">
        <v>58.830942913061456</v>
      </c>
      <c r="S30" s="188"/>
      <c r="T30" s="188">
        <v>0</v>
      </c>
      <c r="U30" s="188">
        <v>0</v>
      </c>
      <c r="V30" s="188">
        <v>0</v>
      </c>
      <c r="W30" s="188">
        <v>0</v>
      </c>
      <c r="X30" s="187">
        <v>0</v>
      </c>
      <c r="Y30" s="90" t="str">
        <f>$A$16</f>
        <v>55-59</v>
      </c>
      <c r="Z30" s="188">
        <v>109.05588764571488</v>
      </c>
      <c r="AA30" s="188">
        <v>103.02668159053177</v>
      </c>
      <c r="AB30" s="188">
        <v>125.61808852626254</v>
      </c>
      <c r="AC30" s="188">
        <v>146.63086089061352</v>
      </c>
      <c r="AD30" s="187">
        <v>154.81770782548793</v>
      </c>
      <c r="AE30" s="188"/>
      <c r="AF30" s="188">
        <v>103.75944425598405</v>
      </c>
      <c r="AG30" s="188">
        <v>98.023014500202649</v>
      </c>
      <c r="AH30" s="188">
        <v>119.51727296970975</v>
      </c>
      <c r="AI30" s="188">
        <v>139.509472215926</v>
      </c>
      <c r="AJ30" s="187">
        <v>147.29874653579841</v>
      </c>
      <c r="AK30" s="188"/>
      <c r="AL30" s="188">
        <v>5.296443389730813</v>
      </c>
      <c r="AM30" s="188">
        <v>5.0036670903291043</v>
      </c>
      <c r="AN30" s="188">
        <v>6.1008155565527895</v>
      </c>
      <c r="AO30" s="188">
        <v>7.1213886746875295</v>
      </c>
      <c r="AP30" s="187">
        <v>7.5189612896894937</v>
      </c>
      <c r="AQ30" s="90" t="str">
        <f t="shared" si="32"/>
        <v>55-59</v>
      </c>
      <c r="AR30" s="188">
        <v>86.859658795433134</v>
      </c>
      <c r="AS30" s="188">
        <v>96.998796106447443</v>
      </c>
      <c r="AT30" s="188">
        <v>110.9803193504184</v>
      </c>
      <c r="AU30" s="188">
        <v>123.37107418460066</v>
      </c>
      <c r="AV30" s="187">
        <v>131.50178437595608</v>
      </c>
      <c r="AW30" s="188"/>
      <c r="AX30" s="188">
        <v>84.146035314499002</v>
      </c>
      <c r="AY30" s="188">
        <v>93.968368312463639</v>
      </c>
      <c r="AZ30" s="188">
        <v>107.5131451192468</v>
      </c>
      <c r="BA30" s="188">
        <v>119.51673817354288</v>
      </c>
      <c r="BB30" s="187">
        <v>127.3934508351265</v>
      </c>
      <c r="BC30" s="188"/>
      <c r="BD30" s="188">
        <v>2.7136234809341366</v>
      </c>
      <c r="BE30" s="188">
        <v>3.030427793983804</v>
      </c>
      <c r="BF30" s="188">
        <v>3.4671742311715938</v>
      </c>
      <c r="BG30" s="188">
        <v>3.8543360110577858</v>
      </c>
      <c r="BH30" s="187">
        <v>4.1083335408295882</v>
      </c>
    </row>
    <row r="31" spans="1:60" x14ac:dyDescent="0.3">
      <c r="A31" s="90" t="str">
        <f>$A$17</f>
        <v>60-64</v>
      </c>
      <c r="B31" s="188">
        <v>135.20871159850742</v>
      </c>
      <c r="C31" s="188">
        <v>139.14227803640441</v>
      </c>
      <c r="D31" s="188">
        <v>130.14619876262617</v>
      </c>
      <c r="E31" s="188">
        <v>116.92965912610188</v>
      </c>
      <c r="F31" s="187">
        <v>97.821165625616288</v>
      </c>
      <c r="G31" s="188"/>
      <c r="H31" s="188">
        <v>70.289274754240722</v>
      </c>
      <c r="I31" s="188">
        <v>72.334142210216811</v>
      </c>
      <c r="J31" s="188">
        <v>67.657493952962056</v>
      </c>
      <c r="K31" s="188">
        <v>60.786778379352796</v>
      </c>
      <c r="L31" s="187">
        <v>50.853075153050249</v>
      </c>
      <c r="M31" s="188"/>
      <c r="N31" s="188">
        <v>64.919436844266713</v>
      </c>
      <c r="O31" s="188">
        <v>66.808135826187581</v>
      </c>
      <c r="P31" s="188">
        <v>62.488704809664121</v>
      </c>
      <c r="Q31" s="188">
        <v>56.142880746749078</v>
      </c>
      <c r="R31" s="187">
        <v>46.968090472566033</v>
      </c>
      <c r="S31" s="188"/>
      <c r="T31" s="188">
        <v>0</v>
      </c>
      <c r="U31" s="188">
        <v>0</v>
      </c>
      <c r="V31" s="188">
        <v>0</v>
      </c>
      <c r="W31" s="188">
        <v>0</v>
      </c>
      <c r="X31" s="187">
        <v>0</v>
      </c>
      <c r="Y31" s="90" t="str">
        <f>$A$17</f>
        <v>60-64</v>
      </c>
      <c r="Z31" s="188">
        <v>86.312916170074814</v>
      </c>
      <c r="AA31" s="188">
        <v>87.978682675397692</v>
      </c>
      <c r="AB31" s="188">
        <v>102.45961005200583</v>
      </c>
      <c r="AC31" s="188">
        <v>124.91232684164649</v>
      </c>
      <c r="AD31" s="187">
        <v>146.90533839921289</v>
      </c>
      <c r="AE31" s="188"/>
      <c r="AF31" s="188">
        <v>82.494145323393639</v>
      </c>
      <c r="AG31" s="188">
        <v>84.086253978523061</v>
      </c>
      <c r="AH31" s="188">
        <v>97.926456664959204</v>
      </c>
      <c r="AI31" s="188">
        <v>119.38584315305835</v>
      </c>
      <c r="AJ31" s="187">
        <v>140.40583035374158</v>
      </c>
      <c r="AK31" s="188"/>
      <c r="AL31" s="188">
        <v>3.8187708466811769</v>
      </c>
      <c r="AM31" s="188">
        <v>3.8924286968746324</v>
      </c>
      <c r="AN31" s="188">
        <v>4.533153387046621</v>
      </c>
      <c r="AO31" s="188">
        <v>5.5264836885881472</v>
      </c>
      <c r="AP31" s="187">
        <v>6.4995080454712904</v>
      </c>
      <c r="AQ31" s="90" t="str">
        <f t="shared" si="32"/>
        <v>60-64</v>
      </c>
      <c r="AR31" s="188">
        <v>67.855372231417789</v>
      </c>
      <c r="AS31" s="188">
        <v>83.945039288197918</v>
      </c>
      <c r="AT31" s="188">
        <v>95.468191185367971</v>
      </c>
      <c r="AU31" s="188">
        <v>119.10401403225165</v>
      </c>
      <c r="AV31" s="187">
        <v>144.11749597517081</v>
      </c>
      <c r="AW31" s="188"/>
      <c r="AX31" s="188">
        <v>65.304426563134072</v>
      </c>
      <c r="AY31" s="188">
        <v>80.789147061586561</v>
      </c>
      <c r="AZ31" s="188">
        <v>91.879108865414764</v>
      </c>
      <c r="BA31" s="188">
        <v>114.62635921396409</v>
      </c>
      <c r="BB31" s="187">
        <v>138.69950783520864</v>
      </c>
      <c r="BC31" s="188"/>
      <c r="BD31" s="188">
        <v>2.5509456682837173</v>
      </c>
      <c r="BE31" s="188">
        <v>3.1558922266113782</v>
      </c>
      <c r="BF31" s="188">
        <v>3.5890823199532207</v>
      </c>
      <c r="BG31" s="188">
        <v>4.4776548182875615</v>
      </c>
      <c r="BH31" s="187">
        <v>5.4179881399621461</v>
      </c>
    </row>
    <row r="32" spans="1:60" x14ac:dyDescent="0.3">
      <c r="A32" s="90" t="str">
        <f>$A$18</f>
        <v>65+</v>
      </c>
      <c r="B32" s="188">
        <v>413.27348346987924</v>
      </c>
      <c r="C32" s="188">
        <v>413.22199816727857</v>
      </c>
      <c r="D32" s="188">
        <v>382.42661647142006</v>
      </c>
      <c r="E32" s="188">
        <v>344.26916975565996</v>
      </c>
      <c r="F32" s="187">
        <v>299.66486973953153</v>
      </c>
      <c r="G32" s="188"/>
      <c r="H32" s="188">
        <v>280.86103102264485</v>
      </c>
      <c r="I32" s="188">
        <v>280.82599650665259</v>
      </c>
      <c r="J32" s="188">
        <v>259.89747790143747</v>
      </c>
      <c r="K32" s="188">
        <v>233.96563126418033</v>
      </c>
      <c r="L32" s="187">
        <v>203.65250932991842</v>
      </c>
      <c r="M32" s="188"/>
      <c r="N32" s="188">
        <v>132.41245244723444</v>
      </c>
      <c r="O32" s="188">
        <v>132.39600166062604</v>
      </c>
      <c r="P32" s="188">
        <v>122.52913856998256</v>
      </c>
      <c r="Q32" s="188">
        <v>110.30353849147959</v>
      </c>
      <c r="R32" s="187">
        <v>96.012360409613152</v>
      </c>
      <c r="S32" s="188"/>
      <c r="T32" s="188">
        <v>0</v>
      </c>
      <c r="U32" s="188">
        <v>0</v>
      </c>
      <c r="V32" s="188">
        <v>0</v>
      </c>
      <c r="W32" s="188">
        <v>0</v>
      </c>
      <c r="X32" s="187">
        <v>0</v>
      </c>
      <c r="Y32" s="90" t="str">
        <f>$A$18</f>
        <v>65+</v>
      </c>
      <c r="Z32" s="188">
        <v>183.28798651698779</v>
      </c>
      <c r="AA32" s="188">
        <v>198.84833199585475</v>
      </c>
      <c r="AB32" s="188">
        <v>264.78812722486305</v>
      </c>
      <c r="AC32" s="188">
        <v>324.20846857729254</v>
      </c>
      <c r="AD32" s="187">
        <v>390.52526772257721</v>
      </c>
      <c r="AE32" s="188"/>
      <c r="AF32" s="188">
        <v>175.04417159553057</v>
      </c>
      <c r="AG32" s="188">
        <v>189.90464961003784</v>
      </c>
      <c r="AH32" s="188">
        <v>252.8787207130141</v>
      </c>
      <c r="AI32" s="188">
        <v>309.62643682093773</v>
      </c>
      <c r="AJ32" s="187">
        <v>372.96056409867555</v>
      </c>
      <c r="AK32" s="188"/>
      <c r="AL32" s="188">
        <v>8.243814921457215</v>
      </c>
      <c r="AM32" s="188">
        <v>8.9436823858169294</v>
      </c>
      <c r="AN32" s="188">
        <v>11.909406511848935</v>
      </c>
      <c r="AO32" s="188">
        <v>14.582031756354773</v>
      </c>
      <c r="AP32" s="187">
        <v>17.564703623901661</v>
      </c>
      <c r="AQ32" s="90" t="str">
        <f t="shared" si="32"/>
        <v>65+</v>
      </c>
      <c r="AR32" s="188">
        <v>164.37253001313297</v>
      </c>
      <c r="AS32" s="188">
        <v>172.14466983686671</v>
      </c>
      <c r="AT32" s="188">
        <v>232.36725630371686</v>
      </c>
      <c r="AU32" s="188">
        <v>309.43936166704759</v>
      </c>
      <c r="AV32" s="187">
        <v>407.37086253789136</v>
      </c>
      <c r="AW32" s="188"/>
      <c r="AX32" s="188">
        <v>157.65906224959758</v>
      </c>
      <c r="AY32" s="188">
        <v>165.11377610213441</v>
      </c>
      <c r="AZ32" s="188">
        <v>222.87664185404887</v>
      </c>
      <c r="BA32" s="188">
        <v>296.80092091622549</v>
      </c>
      <c r="BB32" s="187">
        <v>390.73259978076936</v>
      </c>
      <c r="BC32" s="188"/>
      <c r="BD32" s="188">
        <v>6.7134677635354318</v>
      </c>
      <c r="BE32" s="188">
        <v>7.0308937347323051</v>
      </c>
      <c r="BF32" s="188">
        <v>9.4906144496679747</v>
      </c>
      <c r="BG32" s="188">
        <v>12.63844075082217</v>
      </c>
      <c r="BH32" s="187">
        <v>16.638262757122035</v>
      </c>
    </row>
    <row r="33" spans="1:60" x14ac:dyDescent="0.3">
      <c r="B33" s="188"/>
      <c r="C33" s="188"/>
      <c r="D33" s="188"/>
      <c r="E33" s="188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93"/>
      <c r="U33" s="93"/>
      <c r="V33" s="93"/>
      <c r="W33" s="93"/>
      <c r="X33" s="93"/>
      <c r="Z33" s="188"/>
      <c r="AA33" s="188"/>
      <c r="AB33" s="188"/>
      <c r="AC33" s="188"/>
      <c r="AD33" s="187"/>
      <c r="AE33" s="187"/>
      <c r="AF33" s="187"/>
      <c r="AG33" s="187"/>
      <c r="AH33" s="187"/>
      <c r="AI33" s="187"/>
      <c r="AJ33" s="187"/>
      <c r="AK33" s="187"/>
      <c r="AL33" s="187"/>
      <c r="AM33" s="187"/>
      <c r="AN33" s="187"/>
      <c r="AO33" s="187"/>
      <c r="AP33" s="187"/>
      <c r="AR33" s="188"/>
      <c r="AS33" s="188"/>
      <c r="AT33" s="188"/>
      <c r="AU33" s="188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</row>
    <row r="34" spans="1:60" x14ac:dyDescent="0.3">
      <c r="A34" s="113" t="s">
        <v>99</v>
      </c>
      <c r="B34" s="188"/>
      <c r="C34" s="188"/>
      <c r="D34" s="188"/>
      <c r="E34" s="188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93"/>
      <c r="U34" s="93"/>
      <c r="V34" s="93"/>
      <c r="W34" s="93"/>
      <c r="X34" s="93"/>
      <c r="Y34" s="113" t="str">
        <f>A34</f>
        <v>Females</v>
      </c>
      <c r="Z34" s="93"/>
      <c r="AA34" s="93"/>
      <c r="AB34" s="93"/>
      <c r="AC34" s="93"/>
      <c r="AD34" s="187"/>
      <c r="AE34" s="187"/>
      <c r="AF34" s="187"/>
      <c r="AG34" s="187"/>
      <c r="AH34" s="187"/>
      <c r="AI34" s="187"/>
      <c r="AJ34" s="187"/>
      <c r="AK34" s="187"/>
      <c r="AL34" s="187"/>
      <c r="AM34" s="187"/>
      <c r="AN34" s="187"/>
      <c r="AO34" s="187"/>
      <c r="AP34" s="187"/>
      <c r="AQ34" s="113" t="str">
        <f>A34</f>
        <v>Females</v>
      </c>
      <c r="AR34" s="93"/>
      <c r="AS34" s="93"/>
      <c r="AT34" s="93"/>
      <c r="AU34" s="93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</row>
    <row r="35" spans="1:60" x14ac:dyDescent="0.3">
      <c r="A35" s="90" t="str">
        <f>$A$7</f>
        <v>15+</v>
      </c>
      <c r="B35" s="188">
        <f>SUM(B36:B46)</f>
        <v>1839.2166575000715</v>
      </c>
      <c r="C35" s="188">
        <f t="shared" ref="C35:F35" si="33">SUM(C36:C46)</f>
        <v>1786.0603742980511</v>
      </c>
      <c r="D35" s="188">
        <f t="shared" si="33"/>
        <v>1572.103997262989</v>
      </c>
      <c r="E35" s="188">
        <f t="shared" si="33"/>
        <v>1350.9626109662327</v>
      </c>
      <c r="F35" s="188">
        <f t="shared" si="33"/>
        <v>1143.3207917146487</v>
      </c>
      <c r="G35" s="187"/>
      <c r="H35" s="188">
        <f>SUM(H36:H46)</f>
        <v>963.2794859618532</v>
      </c>
      <c r="I35" s="188">
        <f t="shared" ref="I35:L35" si="34">SUM(I36:I46)</f>
        <v>932.67382880597597</v>
      </c>
      <c r="J35" s="188">
        <f t="shared" si="34"/>
        <v>822.41738994957336</v>
      </c>
      <c r="K35" s="188">
        <f t="shared" si="34"/>
        <v>699.51116772963974</v>
      </c>
      <c r="L35" s="188">
        <f t="shared" si="34"/>
        <v>576.46624793891874</v>
      </c>
      <c r="M35" s="187"/>
      <c r="N35" s="188">
        <f>SUM(N36:N46)</f>
        <v>875.93717153821831</v>
      </c>
      <c r="O35" s="188">
        <f t="shared" ref="O35:R35" si="35">SUM(O36:O46)</f>
        <v>853.38654549207513</v>
      </c>
      <c r="P35" s="188">
        <f t="shared" si="35"/>
        <v>749.68660731341538</v>
      </c>
      <c r="Q35" s="188">
        <f t="shared" si="35"/>
        <v>651.45144323659315</v>
      </c>
      <c r="R35" s="188">
        <f t="shared" si="35"/>
        <v>566.85454377573012</v>
      </c>
      <c r="S35" s="187"/>
      <c r="T35" s="188">
        <f>SUM(T36:T46)</f>
        <v>0</v>
      </c>
      <c r="U35" s="188">
        <f t="shared" ref="U35:X35" si="36">SUM(U36:U46)</f>
        <v>0</v>
      </c>
      <c r="V35" s="188">
        <f t="shared" si="36"/>
        <v>0</v>
      </c>
      <c r="W35" s="188">
        <f t="shared" si="36"/>
        <v>0</v>
      </c>
      <c r="X35" s="188">
        <f t="shared" si="36"/>
        <v>0</v>
      </c>
      <c r="Y35" s="90" t="str">
        <f>$A$7</f>
        <v>15+</v>
      </c>
      <c r="Z35" s="188">
        <f>SUM(Z36:Z46)</f>
        <v>1514.4894356563314</v>
      </c>
      <c r="AA35" s="188">
        <f t="shared" ref="AA35:AD35" si="37">SUM(AA36:AA46)</f>
        <v>1503.6765075089238</v>
      </c>
      <c r="AB35" s="188">
        <f t="shared" si="37"/>
        <v>1659.9026427502681</v>
      </c>
      <c r="AC35" s="188">
        <f t="shared" si="37"/>
        <v>1797.4464428451124</v>
      </c>
      <c r="AD35" s="188">
        <f t="shared" si="37"/>
        <v>1939.4301277122679</v>
      </c>
      <c r="AE35" s="188"/>
      <c r="AF35" s="188">
        <f>SUM(AF36:AF46)</f>
        <v>1427.6490102140683</v>
      </c>
      <c r="AG35" s="188">
        <f t="shared" ref="AG35:AJ35" si="38">SUM(AG36:AG46)</f>
        <v>1417.9494245743583</v>
      </c>
      <c r="AH35" s="188">
        <f t="shared" si="38"/>
        <v>1565.6898030959378</v>
      </c>
      <c r="AI35" s="188">
        <f t="shared" si="38"/>
        <v>1695.8037388732168</v>
      </c>
      <c r="AJ35" s="188">
        <f t="shared" si="38"/>
        <v>1830.7085872896366</v>
      </c>
      <c r="AK35" s="188"/>
      <c r="AL35" s="188">
        <f>SUM(AL36:AL46)</f>
        <v>86.840425442262955</v>
      </c>
      <c r="AM35" s="188">
        <f t="shared" ref="AM35:AP35" si="39">SUM(AM36:AM46)</f>
        <v>85.727082934565459</v>
      </c>
      <c r="AN35" s="188">
        <f t="shared" si="39"/>
        <v>94.212839654330281</v>
      </c>
      <c r="AO35" s="188">
        <f t="shared" si="39"/>
        <v>101.64270397189549</v>
      </c>
      <c r="AP35" s="188">
        <f t="shared" si="39"/>
        <v>108.72154042263139</v>
      </c>
      <c r="AQ35" s="90" t="str">
        <f>$A$7</f>
        <v>15+</v>
      </c>
      <c r="AR35" s="188">
        <f>SUM(AR36:AR46)</f>
        <v>1208.4819068435977</v>
      </c>
      <c r="AS35" s="188">
        <f t="shared" ref="AS35:AV35" si="40">SUM(AS36:AS46)</f>
        <v>1342.1641181930254</v>
      </c>
      <c r="AT35" s="188">
        <f t="shared" si="40"/>
        <v>1576.2403599867432</v>
      </c>
      <c r="AU35" s="188">
        <f t="shared" si="40"/>
        <v>1829.5899461886547</v>
      </c>
      <c r="AV35" s="188">
        <f t="shared" si="40"/>
        <v>2104.1100805730839</v>
      </c>
      <c r="AW35" s="188"/>
      <c r="AX35" s="188">
        <f>SUM(AX36:AX46)</f>
        <v>1195.8231128172695</v>
      </c>
      <c r="AY35" s="188">
        <f t="shared" ref="AY35:BB35" si="41">SUM(AY36:AY46)</f>
        <v>1327.9996346900398</v>
      </c>
      <c r="AZ35" s="188">
        <f t="shared" si="41"/>
        <v>1559.651180973065</v>
      </c>
      <c r="BA35" s="188">
        <f t="shared" si="41"/>
        <v>1810.1453176220125</v>
      </c>
      <c r="BB35" s="188">
        <f t="shared" si="41"/>
        <v>2081.5851755357075</v>
      </c>
      <c r="BC35" s="188"/>
      <c r="BD35" s="188">
        <f>SUM(BD36:BD46)</f>
        <v>12.658794026328057</v>
      </c>
      <c r="BE35" s="188">
        <f t="shared" ref="BE35:BH35" si="42">SUM(BE36:BE46)</f>
        <v>14.164483502985499</v>
      </c>
      <c r="BF35" s="188">
        <f t="shared" si="42"/>
        <v>16.589179013678287</v>
      </c>
      <c r="BG35" s="188">
        <f t="shared" si="42"/>
        <v>19.444628566642407</v>
      </c>
      <c r="BH35" s="188">
        <f t="shared" si="42"/>
        <v>22.524905037375824</v>
      </c>
    </row>
    <row r="36" spans="1:60" x14ac:dyDescent="0.3">
      <c r="A36" s="90" t="str">
        <f>$A$8</f>
        <v>15-19</v>
      </c>
      <c r="B36" s="188">
        <v>235.75197725192589</v>
      </c>
      <c r="C36" s="188">
        <v>235.32459036047223</v>
      </c>
      <c r="D36" s="188">
        <v>224.52607187954138</v>
      </c>
      <c r="E36" s="188">
        <v>225.53877970723389</v>
      </c>
      <c r="F36" s="187">
        <v>243.72400964127928</v>
      </c>
      <c r="G36" s="187"/>
      <c r="H36" s="188">
        <v>48.983534945390808</v>
      </c>
      <c r="I36" s="188">
        <v>48.894690177294805</v>
      </c>
      <c r="J36" s="188">
        <v>46.651003976088816</v>
      </c>
      <c r="K36" s="188">
        <v>46.861405382749254</v>
      </c>
      <c r="L36" s="187">
        <v>50.639873799695991</v>
      </c>
      <c r="M36" s="187"/>
      <c r="N36" s="188">
        <v>186.76844230653509</v>
      </c>
      <c r="O36" s="188">
        <v>186.42990018317741</v>
      </c>
      <c r="P36" s="188">
        <v>177.87506790345256</v>
      </c>
      <c r="Q36" s="188">
        <v>178.67737432448465</v>
      </c>
      <c r="R36" s="187">
        <v>193.08413584158328</v>
      </c>
      <c r="S36" s="187"/>
      <c r="T36" s="188">
        <v>0</v>
      </c>
      <c r="U36" s="188">
        <v>0</v>
      </c>
      <c r="V36" s="188">
        <v>0</v>
      </c>
      <c r="W36" s="188">
        <v>0</v>
      </c>
      <c r="X36" s="187">
        <v>0</v>
      </c>
      <c r="Y36" s="90" t="str">
        <f>$A$8</f>
        <v>15-19</v>
      </c>
      <c r="Z36" s="188">
        <v>83.569879527684336</v>
      </c>
      <c r="AA36" s="188">
        <v>82.526656420969161</v>
      </c>
      <c r="AB36" s="188">
        <v>84.494484512367791</v>
      </c>
      <c r="AC36" s="188">
        <v>90.946079800349651</v>
      </c>
      <c r="AD36" s="187">
        <v>105.28765306859901</v>
      </c>
      <c r="AE36" s="187"/>
      <c r="AF36" s="188">
        <v>82.46118212650282</v>
      </c>
      <c r="AG36" s="188">
        <v>81.431768542600082</v>
      </c>
      <c r="AH36" s="188">
        <v>83.373443742554031</v>
      </c>
      <c r="AI36" s="188">
        <v>89.739476773593154</v>
      </c>
      <c r="AJ36" s="187">
        <v>103.89079794445267</v>
      </c>
      <c r="AK36" s="187"/>
      <c r="AL36" s="188">
        <v>1.1086974011815047</v>
      </c>
      <c r="AM36" s="188">
        <v>1.0948878783690683</v>
      </c>
      <c r="AN36" s="188">
        <v>1.1210407698137705</v>
      </c>
      <c r="AO36" s="188">
        <v>1.2066030267565</v>
      </c>
      <c r="AP36" s="187">
        <v>1.3968551241463449</v>
      </c>
      <c r="AQ36" s="90" t="str">
        <f>$A$8</f>
        <v>15-19</v>
      </c>
      <c r="AR36" s="188">
        <v>0.12314322038975159</v>
      </c>
      <c r="AS36" s="188">
        <v>0.59775321855860108</v>
      </c>
      <c r="AT36" s="188">
        <v>1.4364436080908414</v>
      </c>
      <c r="AU36" s="188">
        <v>1.4711404924164426</v>
      </c>
      <c r="AV36" s="187">
        <v>1.6223372901217372</v>
      </c>
      <c r="AW36" s="187"/>
      <c r="AX36" s="188">
        <v>0.12314322038975159</v>
      </c>
      <c r="AY36" s="188">
        <v>0.59775321855860108</v>
      </c>
      <c r="AZ36" s="188">
        <v>1.4364436080908414</v>
      </c>
      <c r="BA36" s="188">
        <v>1.4711404924164426</v>
      </c>
      <c r="BB36" s="187">
        <v>1.6223372901217372</v>
      </c>
      <c r="BC36" s="187"/>
      <c r="BD36" s="188">
        <v>0</v>
      </c>
      <c r="BE36" s="188">
        <v>0</v>
      </c>
      <c r="BF36" s="188">
        <v>0</v>
      </c>
      <c r="BG36" s="188">
        <v>0</v>
      </c>
      <c r="BH36" s="187">
        <v>0</v>
      </c>
    </row>
    <row r="37" spans="1:60" x14ac:dyDescent="0.3">
      <c r="A37" s="90" t="str">
        <f>$A$9</f>
        <v>20-24</v>
      </c>
      <c r="B37" s="188">
        <v>51.28667688291447</v>
      </c>
      <c r="C37" s="188">
        <v>50.325615142463022</v>
      </c>
      <c r="D37" s="188">
        <v>41.617556806647421</v>
      </c>
      <c r="E37" s="188">
        <v>36.381749805465141</v>
      </c>
      <c r="F37" s="187">
        <v>33.131944227953063</v>
      </c>
      <c r="G37" s="187"/>
      <c r="H37" s="188">
        <v>18.958252611047016</v>
      </c>
      <c r="I37" s="188">
        <v>18.60303815545123</v>
      </c>
      <c r="J37" s="188">
        <v>15.38403685205089</v>
      </c>
      <c r="K37" s="188">
        <v>13.448615257113641</v>
      </c>
      <c r="L37" s="187">
        <v>12.247310379881396</v>
      </c>
      <c r="M37" s="187"/>
      <c r="N37" s="188">
        <v>32.328424271867455</v>
      </c>
      <c r="O37" s="188">
        <v>31.722576987011788</v>
      </c>
      <c r="P37" s="188">
        <v>26.233519954596538</v>
      </c>
      <c r="Q37" s="188">
        <v>22.9331345483515</v>
      </c>
      <c r="R37" s="187">
        <v>20.884633848071665</v>
      </c>
      <c r="S37" s="187"/>
      <c r="T37" s="188">
        <v>0</v>
      </c>
      <c r="U37" s="188">
        <v>0</v>
      </c>
      <c r="V37" s="188">
        <v>0</v>
      </c>
      <c r="W37" s="188">
        <v>0</v>
      </c>
      <c r="X37" s="187">
        <v>0</v>
      </c>
      <c r="Y37" s="90" t="str">
        <f>$A$9</f>
        <v>20-24</v>
      </c>
      <c r="Z37" s="188">
        <v>179.47599670013653</v>
      </c>
      <c r="AA37" s="188">
        <v>187.56758244877105</v>
      </c>
      <c r="AB37" s="188">
        <v>195.70388276755187</v>
      </c>
      <c r="AC37" s="188">
        <v>186.34405047249078</v>
      </c>
      <c r="AD37" s="187">
        <v>185.01228504909878</v>
      </c>
      <c r="AE37" s="187"/>
      <c r="AF37" s="188">
        <v>169.79137146665974</v>
      </c>
      <c r="AG37" s="188">
        <v>177.44629400726811</v>
      </c>
      <c r="AH37" s="188">
        <v>185.14356605643363</v>
      </c>
      <c r="AI37" s="188">
        <v>176.28878253096943</v>
      </c>
      <c r="AJ37" s="187">
        <v>175.02885632439069</v>
      </c>
      <c r="AK37" s="187"/>
      <c r="AL37" s="188">
        <v>9.6846252334768117</v>
      </c>
      <c r="AM37" s="188">
        <v>10.121288441502955</v>
      </c>
      <c r="AN37" s="188">
        <v>10.560316711118229</v>
      </c>
      <c r="AO37" s="188">
        <v>10.055267941521366</v>
      </c>
      <c r="AP37" s="187">
        <v>9.9834287247081175</v>
      </c>
      <c r="AQ37" s="90" t="str">
        <f>$A$9</f>
        <v>20-24</v>
      </c>
      <c r="AR37" s="188">
        <v>88.329326416949002</v>
      </c>
      <c r="AS37" s="188">
        <v>91.282802408765903</v>
      </c>
      <c r="AT37" s="188">
        <v>110.63256042580073</v>
      </c>
      <c r="AU37" s="188">
        <v>118.86519972204405</v>
      </c>
      <c r="AV37" s="187">
        <v>132.58977072294817</v>
      </c>
      <c r="AW37" s="187"/>
      <c r="AX37" s="188">
        <v>88.165028914454396</v>
      </c>
      <c r="AY37" s="188">
        <v>91.112930485790656</v>
      </c>
      <c r="AZ37" s="188">
        <v>110.42669182995489</v>
      </c>
      <c r="BA37" s="188">
        <v>118.644032109338</v>
      </c>
      <c r="BB37" s="187">
        <v>132.3431042203359</v>
      </c>
      <c r="BC37" s="187"/>
      <c r="BD37" s="188">
        <v>0.16429750249460409</v>
      </c>
      <c r="BE37" s="188">
        <v>0.16987192297524076</v>
      </c>
      <c r="BF37" s="188">
        <v>0.2058685958458471</v>
      </c>
      <c r="BG37" s="188">
        <v>0.2211676127060439</v>
      </c>
      <c r="BH37" s="187">
        <v>0.2466665026122716</v>
      </c>
    </row>
    <row r="38" spans="1:60" x14ac:dyDescent="0.3">
      <c r="A38" s="90" t="str">
        <f>$A$10</f>
        <v>25-29</v>
      </c>
      <c r="B38" s="188">
        <v>48.980336910061595</v>
      </c>
      <c r="C38" s="188">
        <v>58.029393144137778</v>
      </c>
      <c r="D38" s="188">
        <v>51.776100367683391</v>
      </c>
      <c r="E38" s="188">
        <v>49.053973946460331</v>
      </c>
      <c r="F38" s="187">
        <v>43.531243964596278</v>
      </c>
      <c r="G38" s="187"/>
      <c r="H38" s="188">
        <v>18.23204899869749</v>
      </c>
      <c r="I38" s="188">
        <v>21.600341017225613</v>
      </c>
      <c r="J38" s="188">
        <v>19.272660294510747</v>
      </c>
      <c r="K38" s="188">
        <v>18.259465614997644</v>
      </c>
      <c r="L38" s="187">
        <v>16.203686177787539</v>
      </c>
      <c r="M38" s="187"/>
      <c r="N38" s="188">
        <v>30.748287911364105</v>
      </c>
      <c r="O38" s="188">
        <v>36.429052126912168</v>
      </c>
      <c r="P38" s="188">
        <v>32.503440073172648</v>
      </c>
      <c r="Q38" s="188">
        <v>30.794508331462694</v>
      </c>
      <c r="R38" s="187">
        <v>27.32755778680874</v>
      </c>
      <c r="S38" s="187"/>
      <c r="T38" s="188">
        <v>0</v>
      </c>
      <c r="U38" s="188">
        <v>0</v>
      </c>
      <c r="V38" s="188">
        <v>0</v>
      </c>
      <c r="W38" s="188">
        <v>0</v>
      </c>
      <c r="X38" s="187">
        <v>0</v>
      </c>
      <c r="Y38" s="90" t="str">
        <f>$A$10</f>
        <v>25-29</v>
      </c>
      <c r="Z38" s="188">
        <v>127.78718872779281</v>
      </c>
      <c r="AA38" s="188">
        <v>119.37410820126239</v>
      </c>
      <c r="AB38" s="188">
        <v>118.02109899531821</v>
      </c>
      <c r="AC38" s="188">
        <v>118.58410734575391</v>
      </c>
      <c r="AD38" s="187">
        <v>111.69989644356696</v>
      </c>
      <c r="AE38" s="187"/>
      <c r="AF38" s="188">
        <v>117.06434284916277</v>
      </c>
      <c r="AG38" s="188">
        <v>109.35717668619014</v>
      </c>
      <c r="AH38" s="188">
        <v>108.11773722560081</v>
      </c>
      <c r="AI38" s="188">
        <v>108.63342670868553</v>
      </c>
      <c r="AJ38" s="187">
        <v>102.3269079217695</v>
      </c>
      <c r="AK38" s="187"/>
      <c r="AL38" s="188">
        <v>10.722845878630038</v>
      </c>
      <c r="AM38" s="188">
        <v>10.01693151507223</v>
      </c>
      <c r="AN38" s="188">
        <v>9.9033617697174048</v>
      </c>
      <c r="AO38" s="188">
        <v>9.9506806370683663</v>
      </c>
      <c r="AP38" s="187">
        <v>9.3729885217974456</v>
      </c>
      <c r="AQ38" s="90" t="str">
        <f>$A$10</f>
        <v>25-29</v>
      </c>
      <c r="AR38" s="188">
        <v>165.48947436214561</v>
      </c>
      <c r="AS38" s="188">
        <v>169.04449865459986</v>
      </c>
      <c r="AT38" s="188">
        <v>192.77780063699839</v>
      </c>
      <c r="AU38" s="188">
        <v>214.16091870778578</v>
      </c>
      <c r="AV38" s="187">
        <v>222.34985959183678</v>
      </c>
      <c r="AW38" s="187"/>
      <c r="AX38" s="188">
        <v>163.99516578961072</v>
      </c>
      <c r="AY38" s="188">
        <v>167.51816718569009</v>
      </c>
      <c r="AZ38" s="188">
        <v>191.03715957991898</v>
      </c>
      <c r="BA38" s="188">
        <v>212.22723208261212</v>
      </c>
      <c r="BB38" s="187">
        <v>220.34220948065195</v>
      </c>
      <c r="BC38" s="187"/>
      <c r="BD38" s="188">
        <v>1.4943085725348841</v>
      </c>
      <c r="BE38" s="188">
        <v>1.526331468909754</v>
      </c>
      <c r="BF38" s="188">
        <v>1.740641057079428</v>
      </c>
      <c r="BG38" s="188">
        <v>1.9336866251736855</v>
      </c>
      <c r="BH38" s="187">
        <v>2.0076501111848128</v>
      </c>
    </row>
    <row r="39" spans="1:60" x14ac:dyDescent="0.3">
      <c r="A39" s="90" t="str">
        <f>$A$11</f>
        <v>30-34</v>
      </c>
      <c r="B39" s="188">
        <v>48.351616200732686</v>
      </c>
      <c r="C39" s="188">
        <v>54.81450484456311</v>
      </c>
      <c r="D39" s="188">
        <v>52.150998553698685</v>
      </c>
      <c r="E39" s="188">
        <v>48.164476439532713</v>
      </c>
      <c r="F39" s="187">
        <v>40.226027639053598</v>
      </c>
      <c r="G39" s="187"/>
      <c r="H39" s="188">
        <v>20.247488689226163</v>
      </c>
      <c r="I39" s="188">
        <v>22.95380254002168</v>
      </c>
      <c r="J39" s="188">
        <v>21.838502656747391</v>
      </c>
      <c r="K39" s="188">
        <v>20.169083304063328</v>
      </c>
      <c r="L39" s="187">
        <v>16.844826452036404</v>
      </c>
      <c r="M39" s="187"/>
      <c r="N39" s="188">
        <v>28.104127511506523</v>
      </c>
      <c r="O39" s="188">
        <v>31.86070230454143</v>
      </c>
      <c r="P39" s="188">
        <v>30.312495896951297</v>
      </c>
      <c r="Q39" s="188">
        <v>27.995393135469385</v>
      </c>
      <c r="R39" s="187">
        <v>23.381201187017187</v>
      </c>
      <c r="S39" s="187"/>
      <c r="T39" s="188">
        <v>0</v>
      </c>
      <c r="U39" s="188">
        <v>0</v>
      </c>
      <c r="V39" s="188">
        <v>0</v>
      </c>
      <c r="W39" s="188">
        <v>0</v>
      </c>
      <c r="X39" s="187">
        <v>0</v>
      </c>
      <c r="Y39" s="90" t="str">
        <f>$A$11</f>
        <v>30-34</v>
      </c>
      <c r="Z39" s="188">
        <v>126.59052603481021</v>
      </c>
      <c r="AA39" s="188">
        <v>118.76404254564063</v>
      </c>
      <c r="AB39" s="188">
        <v>124.03995863874285</v>
      </c>
      <c r="AC39" s="188">
        <v>123.84674741528471</v>
      </c>
      <c r="AD39" s="187">
        <v>125.93134426917472</v>
      </c>
      <c r="AE39" s="187"/>
      <c r="AF39" s="188">
        <v>116.68034085440465</v>
      </c>
      <c r="AG39" s="188">
        <v>109.46652247600598</v>
      </c>
      <c r="AH39" s="188">
        <v>114.32946398888731</v>
      </c>
      <c r="AI39" s="188">
        <v>114.15134413116714</v>
      </c>
      <c r="AJ39" s="187">
        <v>116.0727553396063</v>
      </c>
      <c r="AK39" s="187"/>
      <c r="AL39" s="188">
        <v>9.9101851804055663</v>
      </c>
      <c r="AM39" s="188">
        <v>9.2975200696346505</v>
      </c>
      <c r="AN39" s="188">
        <v>9.7104946498555318</v>
      </c>
      <c r="AO39" s="188">
        <v>9.6954032841175852</v>
      </c>
      <c r="AP39" s="187">
        <v>9.8585889295684215</v>
      </c>
      <c r="AQ39" s="90" t="str">
        <f>$A$11</f>
        <v>30-34</v>
      </c>
      <c r="AR39" s="188">
        <v>165.33285776445709</v>
      </c>
      <c r="AS39" s="188">
        <v>173.27745260979628</v>
      </c>
      <c r="AT39" s="188">
        <v>193.84104280755847</v>
      </c>
      <c r="AU39" s="188">
        <v>212.88877614518256</v>
      </c>
      <c r="AV39" s="187">
        <v>239.55062809177167</v>
      </c>
      <c r="AW39" s="187"/>
      <c r="AX39" s="188">
        <v>163.54698646509576</v>
      </c>
      <c r="AY39" s="188">
        <v>171.40581210762247</v>
      </c>
      <c r="AZ39" s="188">
        <v>191.74726433199922</v>
      </c>
      <c r="BA39" s="188">
        <v>210.58921239342598</v>
      </c>
      <c r="BB39" s="187">
        <v>236.96312770820174</v>
      </c>
      <c r="BC39" s="187"/>
      <c r="BD39" s="188">
        <v>1.785871299361329</v>
      </c>
      <c r="BE39" s="188">
        <v>1.8716405021737883</v>
      </c>
      <c r="BF39" s="188">
        <v>2.0937784755592417</v>
      </c>
      <c r="BG39" s="188">
        <v>2.2995637517565553</v>
      </c>
      <c r="BH39" s="187">
        <v>2.587500383569969</v>
      </c>
    </row>
    <row r="40" spans="1:60" x14ac:dyDescent="0.3">
      <c r="A40" s="90" t="str">
        <f>$A$12</f>
        <v>35-39</v>
      </c>
      <c r="B40" s="188">
        <v>72.542037614782771</v>
      </c>
      <c r="C40" s="188">
        <v>65.06766726540738</v>
      </c>
      <c r="D40" s="188">
        <v>54.766784806672291</v>
      </c>
      <c r="E40" s="188">
        <v>45.523587094052431</v>
      </c>
      <c r="F40" s="187">
        <v>34.291330085724873</v>
      </c>
      <c r="G40" s="187"/>
      <c r="H40" s="188">
        <v>28.179422220811407</v>
      </c>
      <c r="I40" s="188">
        <v>25.275934699382731</v>
      </c>
      <c r="J40" s="188">
        <v>21.27450416950764</v>
      </c>
      <c r="K40" s="188">
        <v>17.683894029231208</v>
      </c>
      <c r="L40" s="187">
        <v>13.320662566860962</v>
      </c>
      <c r="M40" s="187"/>
      <c r="N40" s="188">
        <v>44.362615393971375</v>
      </c>
      <c r="O40" s="188">
        <v>39.791732566024642</v>
      </c>
      <c r="P40" s="188">
        <v>33.492280637164654</v>
      </c>
      <c r="Q40" s="188">
        <v>27.839693064821223</v>
      </c>
      <c r="R40" s="187">
        <v>20.97066751886392</v>
      </c>
      <c r="S40" s="187"/>
      <c r="T40" s="188">
        <v>0</v>
      </c>
      <c r="U40" s="188">
        <v>0</v>
      </c>
      <c r="V40" s="188">
        <v>0</v>
      </c>
      <c r="W40" s="188">
        <v>0</v>
      </c>
      <c r="X40" s="187">
        <v>0</v>
      </c>
      <c r="Y40" s="90" t="str">
        <f>$A$12</f>
        <v>35-39</v>
      </c>
      <c r="Z40" s="188">
        <v>150.0126567417164</v>
      </c>
      <c r="AA40" s="188">
        <v>135.68236231505094</v>
      </c>
      <c r="AB40" s="188">
        <v>124.7291826751361</v>
      </c>
      <c r="AC40" s="188">
        <v>129.47197272823703</v>
      </c>
      <c r="AD40" s="187">
        <v>133.15322905166937</v>
      </c>
      <c r="AE40" s="187"/>
      <c r="AF40" s="188">
        <v>140.37576984147361</v>
      </c>
      <c r="AG40" s="188">
        <v>126.96602473402704</v>
      </c>
      <c r="AH40" s="188">
        <v>116.71649206662644</v>
      </c>
      <c r="AI40" s="188">
        <v>121.15460882835858</v>
      </c>
      <c r="AJ40" s="187">
        <v>124.59942116921782</v>
      </c>
      <c r="AK40" s="187"/>
      <c r="AL40" s="188">
        <v>9.6368869002428053</v>
      </c>
      <c r="AM40" s="188">
        <v>8.7163375810238843</v>
      </c>
      <c r="AN40" s="188">
        <v>8.0126906085096579</v>
      </c>
      <c r="AO40" s="188">
        <v>8.3173638998784618</v>
      </c>
      <c r="AP40" s="187">
        <v>8.5538078824515384</v>
      </c>
      <c r="AQ40" s="90" t="str">
        <f>$A$12</f>
        <v>35-39</v>
      </c>
      <c r="AR40" s="188">
        <v>154.06830564350082</v>
      </c>
      <c r="AS40" s="188">
        <v>168.96597041954166</v>
      </c>
      <c r="AT40" s="188">
        <v>183.46103251819156</v>
      </c>
      <c r="AU40" s="188">
        <v>208.70844017771051</v>
      </c>
      <c r="AV40" s="187">
        <v>232.21144086260571</v>
      </c>
      <c r="AW40" s="187"/>
      <c r="AX40" s="188">
        <v>152.29837009196677</v>
      </c>
      <c r="AY40" s="188">
        <v>167.02491938857551</v>
      </c>
      <c r="AZ40" s="188">
        <v>181.35346640367695</v>
      </c>
      <c r="BA40" s="188">
        <v>206.31083395767615</v>
      </c>
      <c r="BB40" s="187">
        <v>229.54383629553598</v>
      </c>
      <c r="BC40" s="187"/>
      <c r="BD40" s="188">
        <v>1.7699355515340602</v>
      </c>
      <c r="BE40" s="188">
        <v>1.9410510309661682</v>
      </c>
      <c r="BF40" s="188">
        <v>2.1075661145145714</v>
      </c>
      <c r="BG40" s="188">
        <v>2.3976062200343793</v>
      </c>
      <c r="BH40" s="187">
        <v>2.6676045670697208</v>
      </c>
    </row>
    <row r="41" spans="1:60" x14ac:dyDescent="0.3">
      <c r="A41" s="90" t="str">
        <f>$A$13</f>
        <v>40-44</v>
      </c>
      <c r="B41" s="188">
        <v>95.592148824351668</v>
      </c>
      <c r="C41" s="188">
        <v>82.616320455715311</v>
      </c>
      <c r="D41" s="188">
        <v>65.715939292358911</v>
      </c>
      <c r="E41" s="188">
        <v>45.625343125830476</v>
      </c>
      <c r="F41" s="187">
        <v>32.319365015981639</v>
      </c>
      <c r="G41" s="187"/>
      <c r="H41" s="188">
        <v>37.546766551729547</v>
      </c>
      <c r="I41" s="188">
        <v>32.450059589071273</v>
      </c>
      <c r="J41" s="188">
        <v>25.811957711373253</v>
      </c>
      <c r="K41" s="188">
        <v>17.920731648709907</v>
      </c>
      <c r="L41" s="187">
        <v>12.694407857730498</v>
      </c>
      <c r="M41" s="187"/>
      <c r="N41" s="188">
        <v>58.045382272622113</v>
      </c>
      <c r="O41" s="188">
        <v>50.166260866644031</v>
      </c>
      <c r="P41" s="188">
        <v>39.903981580985658</v>
      </c>
      <c r="Q41" s="188">
        <v>27.704611477120565</v>
      </c>
      <c r="R41" s="187">
        <v>19.624957158251146</v>
      </c>
      <c r="S41" s="187"/>
      <c r="T41" s="188">
        <v>0</v>
      </c>
      <c r="U41" s="188">
        <v>0</v>
      </c>
      <c r="V41" s="188">
        <v>0</v>
      </c>
      <c r="W41" s="188">
        <v>0</v>
      </c>
      <c r="X41" s="187">
        <v>0</v>
      </c>
      <c r="Y41" s="90" t="str">
        <f>$A$13</f>
        <v>40-44</v>
      </c>
      <c r="Z41" s="188">
        <v>162.09391868766315</v>
      </c>
      <c r="AA41" s="188">
        <v>149.15249146976197</v>
      </c>
      <c r="AB41" s="188">
        <v>139.74715456529819</v>
      </c>
      <c r="AC41" s="188">
        <v>140.1664801116975</v>
      </c>
      <c r="AD41" s="187">
        <v>150.93061003653065</v>
      </c>
      <c r="AE41" s="187"/>
      <c r="AF41" s="188">
        <v>153.25080642376565</v>
      </c>
      <c r="AG41" s="188">
        <v>141.01546291821501</v>
      </c>
      <c r="AH41" s="188">
        <v>132.12323273689802</v>
      </c>
      <c r="AI41" s="188">
        <v>132.51964992616811</v>
      </c>
      <c r="AJ41" s="187">
        <v>142.69650407013222</v>
      </c>
      <c r="AK41" s="187"/>
      <c r="AL41" s="188">
        <v>8.8431122638974973</v>
      </c>
      <c r="AM41" s="188">
        <v>8.1370285515469902</v>
      </c>
      <c r="AN41" s="188">
        <v>7.6239218284001815</v>
      </c>
      <c r="AO41" s="188">
        <v>7.6468301855293674</v>
      </c>
      <c r="AP41" s="187">
        <v>8.2341059663984471</v>
      </c>
      <c r="AQ41" s="90" t="str">
        <f>$A$13</f>
        <v>40-44</v>
      </c>
      <c r="AR41" s="188">
        <v>142.30393248798518</v>
      </c>
      <c r="AS41" s="188">
        <v>157.16218807452273</v>
      </c>
      <c r="AT41" s="188">
        <v>174.12990614234292</v>
      </c>
      <c r="AU41" s="188">
        <v>185.34617676247206</v>
      </c>
      <c r="AV41" s="187">
        <v>209.35902494748774</v>
      </c>
      <c r="AW41" s="187"/>
      <c r="AX41" s="188">
        <v>140.61932188279332</v>
      </c>
      <c r="AY41" s="188">
        <v>155.30162565099377</v>
      </c>
      <c r="AZ41" s="188">
        <v>172.06854465783039</v>
      </c>
      <c r="BA41" s="188">
        <v>183.15203689418161</v>
      </c>
      <c r="BB41" s="187">
        <v>206.8805346793352</v>
      </c>
      <c r="BC41" s="187"/>
      <c r="BD41" s="188">
        <v>1.6846106051918688</v>
      </c>
      <c r="BE41" s="188">
        <v>1.8605624235289417</v>
      </c>
      <c r="BF41" s="188">
        <v>2.061361484512561</v>
      </c>
      <c r="BG41" s="188">
        <v>2.1941398682904496</v>
      </c>
      <c r="BH41" s="187">
        <v>2.4784902681525449</v>
      </c>
    </row>
    <row r="42" spans="1:60" x14ac:dyDescent="0.3">
      <c r="A42" s="90" t="str">
        <f>$A$14</f>
        <v>45-49</v>
      </c>
      <c r="B42" s="188">
        <v>121.60001747416324</v>
      </c>
      <c r="C42" s="188">
        <v>119.25515350242472</v>
      </c>
      <c r="D42" s="188">
        <v>78.884619183002073</v>
      </c>
      <c r="E42" s="188">
        <v>54.824500970236151</v>
      </c>
      <c r="F42" s="187">
        <v>37.259131610277123</v>
      </c>
      <c r="G42" s="187"/>
      <c r="H42" s="188">
        <v>52.054388742127969</v>
      </c>
      <c r="I42" s="188">
        <v>51.050559464587302</v>
      </c>
      <c r="J42" s="188">
        <v>33.768780739827292</v>
      </c>
      <c r="K42" s="188">
        <v>23.469200966687755</v>
      </c>
      <c r="L42" s="187">
        <v>15.949827829172355</v>
      </c>
      <c r="M42" s="187"/>
      <c r="N42" s="188">
        <v>69.545628732035269</v>
      </c>
      <c r="O42" s="188">
        <v>68.20459403783741</v>
      </c>
      <c r="P42" s="188">
        <v>45.115838443174781</v>
      </c>
      <c r="Q42" s="188">
        <v>31.355300003548397</v>
      </c>
      <c r="R42" s="187">
        <v>21.309303781104767</v>
      </c>
      <c r="S42" s="187"/>
      <c r="T42" s="188">
        <v>0</v>
      </c>
      <c r="U42" s="188">
        <v>0</v>
      </c>
      <c r="V42" s="188">
        <v>0</v>
      </c>
      <c r="W42" s="188">
        <v>0</v>
      </c>
      <c r="X42" s="187">
        <v>0</v>
      </c>
      <c r="Y42" s="90" t="str">
        <f>$A$14</f>
        <v>45-49</v>
      </c>
      <c r="Z42" s="188">
        <v>149.19037176042775</v>
      </c>
      <c r="AA42" s="188">
        <v>147.02780307619315</v>
      </c>
      <c r="AB42" s="188">
        <v>157.07832682690201</v>
      </c>
      <c r="AC42" s="188">
        <v>161.18355055313589</v>
      </c>
      <c r="AD42" s="187">
        <v>163.5645829534713</v>
      </c>
      <c r="AE42" s="187"/>
      <c r="AF42" s="188">
        <v>141.73208428692129</v>
      </c>
      <c r="AG42" s="188">
        <v>139.67761552454377</v>
      </c>
      <c r="AH42" s="188">
        <v>149.22576147745451</v>
      </c>
      <c r="AI42" s="188">
        <v>153.12567731056208</v>
      </c>
      <c r="AJ42" s="187">
        <v>155.38774863532086</v>
      </c>
      <c r="AK42" s="187"/>
      <c r="AL42" s="188">
        <v>7.4582874735064566</v>
      </c>
      <c r="AM42" s="188">
        <v>7.350187551649368</v>
      </c>
      <c r="AN42" s="188">
        <v>7.852565349447544</v>
      </c>
      <c r="AO42" s="188">
        <v>8.0578732425738266</v>
      </c>
      <c r="AP42" s="187">
        <v>8.1768343181504513</v>
      </c>
      <c r="AQ42" s="90" t="str">
        <f>$A$14</f>
        <v>45-49</v>
      </c>
      <c r="AR42" s="188">
        <v>127.15261076540904</v>
      </c>
      <c r="AS42" s="188">
        <v>139.95804342138214</v>
      </c>
      <c r="AT42" s="188">
        <v>158.0250539900959</v>
      </c>
      <c r="AU42" s="188">
        <v>167.70994847662797</v>
      </c>
      <c r="AV42" s="187">
        <v>175.15628543625161</v>
      </c>
      <c r="AW42" s="187"/>
      <c r="AX42" s="188">
        <v>125.59964483820595</v>
      </c>
      <c r="AY42" s="188">
        <v>138.24869825890119</v>
      </c>
      <c r="AZ42" s="188">
        <v>156.09507742676459</v>
      </c>
      <c r="BA42" s="188">
        <v>165.66165535163051</v>
      </c>
      <c r="BB42" s="187">
        <v>173.01706017357083</v>
      </c>
      <c r="BC42" s="187"/>
      <c r="BD42" s="188">
        <v>1.5529659272030856</v>
      </c>
      <c r="BE42" s="188">
        <v>1.7093451624809444</v>
      </c>
      <c r="BF42" s="188">
        <v>1.9299765633313342</v>
      </c>
      <c r="BG42" s="188">
        <v>2.0482931249974619</v>
      </c>
      <c r="BH42" s="187">
        <v>2.1392252626807844</v>
      </c>
    </row>
    <row r="43" spans="1:60" x14ac:dyDescent="0.3">
      <c r="A43" s="90" t="str">
        <f>$A$15</f>
        <v>50-54</v>
      </c>
      <c r="B43" s="188">
        <v>151.76046321416865</v>
      </c>
      <c r="C43" s="188">
        <v>142.31942173288223</v>
      </c>
      <c r="D43" s="188">
        <v>119.93293116047923</v>
      </c>
      <c r="E43" s="188">
        <v>88.171156371964599</v>
      </c>
      <c r="F43" s="187">
        <v>63.180524219714144</v>
      </c>
      <c r="G43" s="187"/>
      <c r="H43" s="188">
        <v>72.199699301024509</v>
      </c>
      <c r="I43" s="188">
        <v>67.708117557824508</v>
      </c>
      <c r="J43" s="188">
        <v>57.057834143300127</v>
      </c>
      <c r="K43" s="188">
        <v>41.9472270479773</v>
      </c>
      <c r="L43" s="187">
        <v>30.058003326770649</v>
      </c>
      <c r="M43" s="187"/>
      <c r="N43" s="188">
        <v>79.560763913144157</v>
      </c>
      <c r="O43" s="188">
        <v>74.611304175057768</v>
      </c>
      <c r="P43" s="188">
        <v>62.875097017179108</v>
      </c>
      <c r="Q43" s="188">
        <v>46.223929323987292</v>
      </c>
      <c r="R43" s="187">
        <v>33.122520892943498</v>
      </c>
      <c r="S43" s="187"/>
      <c r="T43" s="188">
        <v>0</v>
      </c>
      <c r="U43" s="188">
        <v>0</v>
      </c>
      <c r="V43" s="188">
        <v>0</v>
      </c>
      <c r="W43" s="188">
        <v>0</v>
      </c>
      <c r="X43" s="187">
        <v>0</v>
      </c>
      <c r="Y43" s="90" t="str">
        <f>$A$15</f>
        <v>50-54</v>
      </c>
      <c r="Z43" s="188">
        <v>124.24614829379526</v>
      </c>
      <c r="AA43" s="188">
        <v>130.25908800461309</v>
      </c>
      <c r="AB43" s="188">
        <v>149.14503167899258</v>
      </c>
      <c r="AC43" s="188">
        <v>157.9913676435533</v>
      </c>
      <c r="AD43" s="187">
        <v>164.67380902817911</v>
      </c>
      <c r="AE43" s="187"/>
      <c r="AF43" s="188">
        <v>117.87817168097233</v>
      </c>
      <c r="AG43" s="188">
        <v>123.5828772613132</v>
      </c>
      <c r="AH43" s="188">
        <v>141.50083699823233</v>
      </c>
      <c r="AI43" s="188">
        <v>149.89384905562815</v>
      </c>
      <c r="AJ43" s="187">
        <v>156.23374286788874</v>
      </c>
      <c r="AK43" s="187"/>
      <c r="AL43" s="188">
        <v>6.3679766128229192</v>
      </c>
      <c r="AM43" s="188">
        <v>6.6762107432998921</v>
      </c>
      <c r="AN43" s="188">
        <v>7.6441946807602736</v>
      </c>
      <c r="AO43" s="188">
        <v>8.0975185879251441</v>
      </c>
      <c r="AP43" s="187">
        <v>8.4400661602903408</v>
      </c>
      <c r="AQ43" s="90" t="str">
        <f>$A$15</f>
        <v>50-54</v>
      </c>
      <c r="AR43" s="188">
        <v>92.988388492036123</v>
      </c>
      <c r="AS43" s="188">
        <v>110.77949026250468</v>
      </c>
      <c r="AT43" s="188">
        <v>137.77303716052822</v>
      </c>
      <c r="AU43" s="188">
        <v>148.29147598448213</v>
      </c>
      <c r="AV43" s="187">
        <v>157.07466675210676</v>
      </c>
      <c r="AW43" s="187"/>
      <c r="AX43" s="188">
        <v>92.202593366663635</v>
      </c>
      <c r="AY43" s="188">
        <v>109.84331382664183</v>
      </c>
      <c r="AZ43" s="188">
        <v>136.60872759410435</v>
      </c>
      <c r="BA43" s="188">
        <v>147.03823447333156</v>
      </c>
      <c r="BB43" s="187">
        <v>155.74724028806634</v>
      </c>
      <c r="BC43" s="187"/>
      <c r="BD43" s="188">
        <v>0.78579512537246932</v>
      </c>
      <c r="BE43" s="188">
        <v>0.93617643586283261</v>
      </c>
      <c r="BF43" s="188">
        <v>1.1643095664238496</v>
      </c>
      <c r="BG43" s="188">
        <v>1.2532415111505675</v>
      </c>
      <c r="BH43" s="187">
        <v>1.3274264640404241</v>
      </c>
    </row>
    <row r="44" spans="1:60" x14ac:dyDescent="0.3">
      <c r="A44" s="90" t="str">
        <f>$A$16</f>
        <v>55-59</v>
      </c>
      <c r="B44" s="188">
        <v>164.06581424258854</v>
      </c>
      <c r="C44" s="188">
        <v>150.69890471648134</v>
      </c>
      <c r="D44" s="188">
        <v>139.62009278798115</v>
      </c>
      <c r="E44" s="188">
        <v>115.66738771483223</v>
      </c>
      <c r="F44" s="187">
        <v>84.578879253283077</v>
      </c>
      <c r="G44" s="187"/>
      <c r="H44" s="188">
        <v>83.472280270866776</v>
      </c>
      <c r="I44" s="188">
        <v>76.671543299949803</v>
      </c>
      <c r="J44" s="188">
        <v>71.034930306068375</v>
      </c>
      <c r="K44" s="188">
        <v>58.848447605981825</v>
      </c>
      <c r="L44" s="187">
        <v>43.031510173276651</v>
      </c>
      <c r="M44" s="187"/>
      <c r="N44" s="188">
        <v>80.593533971721769</v>
      </c>
      <c r="O44" s="188">
        <v>74.027361416531534</v>
      </c>
      <c r="P44" s="188">
        <v>68.585162481912789</v>
      </c>
      <c r="Q44" s="188">
        <v>56.818940108850398</v>
      </c>
      <c r="R44" s="187">
        <v>41.547369080006419</v>
      </c>
      <c r="S44" s="187"/>
      <c r="T44" s="188">
        <v>0</v>
      </c>
      <c r="U44" s="188">
        <v>0</v>
      </c>
      <c r="V44" s="188">
        <v>0</v>
      </c>
      <c r="W44" s="188">
        <v>0</v>
      </c>
      <c r="X44" s="187">
        <v>0</v>
      </c>
      <c r="Y44" s="90" t="str">
        <f>$A$16</f>
        <v>55-59</v>
      </c>
      <c r="Z44" s="188">
        <v>103.85146408829428</v>
      </c>
      <c r="AA44" s="188">
        <v>105.31706169001831</v>
      </c>
      <c r="AB44" s="188">
        <v>133.62564527254057</v>
      </c>
      <c r="AC44" s="188">
        <v>158.51241512029338</v>
      </c>
      <c r="AD44" s="187">
        <v>167.67684572688086</v>
      </c>
      <c r="AE44" s="187"/>
      <c r="AF44" s="188">
        <v>97.635306286684369</v>
      </c>
      <c r="AG44" s="188">
        <v>99.013227711577329</v>
      </c>
      <c r="AH44" s="188">
        <v>125.62736470938835</v>
      </c>
      <c r="AI44" s="188">
        <v>149.02451048118331</v>
      </c>
      <c r="AJ44" s="187">
        <v>157.64040037339234</v>
      </c>
      <c r="AK44" s="187"/>
      <c r="AL44" s="188">
        <v>6.2161578016099055</v>
      </c>
      <c r="AM44" s="188">
        <v>6.3038339784409745</v>
      </c>
      <c r="AN44" s="188">
        <v>7.9982805631522167</v>
      </c>
      <c r="AO44" s="188">
        <v>9.4879046391100914</v>
      </c>
      <c r="AP44" s="187">
        <v>10.036445353488508</v>
      </c>
      <c r="AQ44" s="90" t="str">
        <f>$A$16</f>
        <v>55-59</v>
      </c>
      <c r="AR44" s="188">
        <v>71.118721669117207</v>
      </c>
      <c r="AS44" s="188">
        <v>89.960033593500384</v>
      </c>
      <c r="AT44" s="188">
        <v>106.67026193947827</v>
      </c>
      <c r="AU44" s="188">
        <v>129.27319716487438</v>
      </c>
      <c r="AV44" s="187">
        <v>139.76427501983605</v>
      </c>
      <c r="AW44" s="187"/>
      <c r="AX44" s="188">
        <v>70.361656937121666</v>
      </c>
      <c r="AY44" s="188">
        <v>89.002383349993565</v>
      </c>
      <c r="AZ44" s="188">
        <v>105.53473797538304</v>
      </c>
      <c r="BA44" s="188">
        <v>127.89702319588957</v>
      </c>
      <c r="BB44" s="187">
        <v>138.27638669068557</v>
      </c>
      <c r="BC44" s="187"/>
      <c r="BD44" s="188">
        <v>0.75706473199554847</v>
      </c>
      <c r="BE44" s="188">
        <v>0.95765024350680805</v>
      </c>
      <c r="BF44" s="188">
        <v>1.1355239640952357</v>
      </c>
      <c r="BG44" s="188">
        <v>1.3761739689848116</v>
      </c>
      <c r="BH44" s="187">
        <v>1.4878883291504774</v>
      </c>
    </row>
    <row r="45" spans="1:60" x14ac:dyDescent="0.3">
      <c r="A45" s="90" t="str">
        <f>$A$17</f>
        <v>60-64</v>
      </c>
      <c r="B45" s="188">
        <v>165.06537455422799</v>
      </c>
      <c r="C45" s="188">
        <v>167.88674816060211</v>
      </c>
      <c r="D45" s="188">
        <v>145.42540941137864</v>
      </c>
      <c r="E45" s="188">
        <v>125.57390015162404</v>
      </c>
      <c r="F45" s="187">
        <v>98.802245415285199</v>
      </c>
      <c r="G45" s="187"/>
      <c r="H45" s="188">
        <v>93.553123450841682</v>
      </c>
      <c r="I45" s="188">
        <v>95.15219797521867</v>
      </c>
      <c r="J45" s="188">
        <v>82.421896218232547</v>
      </c>
      <c r="K45" s="188">
        <v>71.170799052200323</v>
      </c>
      <c r="L45" s="187">
        <v>55.997543894228997</v>
      </c>
      <c r="M45" s="187"/>
      <c r="N45" s="188">
        <v>71.512251103386319</v>
      </c>
      <c r="O45" s="188">
        <v>72.734550185383426</v>
      </c>
      <c r="P45" s="188">
        <v>63.003513193146112</v>
      </c>
      <c r="Q45" s="188">
        <v>54.403101099423715</v>
      </c>
      <c r="R45" s="187">
        <v>42.804701521056209</v>
      </c>
      <c r="S45" s="187"/>
      <c r="T45" s="188">
        <v>0</v>
      </c>
      <c r="U45" s="188">
        <v>0</v>
      </c>
      <c r="V45" s="188">
        <v>0</v>
      </c>
      <c r="W45" s="188">
        <v>0</v>
      </c>
      <c r="X45" s="187">
        <v>0</v>
      </c>
      <c r="Y45" s="90" t="str">
        <f>$A$17</f>
        <v>60-64</v>
      </c>
      <c r="Z45" s="188">
        <v>78.364072036445037</v>
      </c>
      <c r="AA45" s="188">
        <v>85.048861618755822</v>
      </c>
      <c r="AB45" s="188">
        <v>109.18459242485633</v>
      </c>
      <c r="AC45" s="188">
        <v>137.4151283547578</v>
      </c>
      <c r="AD45" s="187">
        <v>160.29275934647907</v>
      </c>
      <c r="AE45" s="187"/>
      <c r="AF45" s="188">
        <v>73.870615721664365</v>
      </c>
      <c r="AG45" s="188">
        <v>80.172077906886543</v>
      </c>
      <c r="AH45" s="188">
        <v>102.92385352478725</v>
      </c>
      <c r="AI45" s="188">
        <v>129.53569602307752</v>
      </c>
      <c r="AJ45" s="187">
        <v>151.10146214371721</v>
      </c>
      <c r="AK45" s="187"/>
      <c r="AL45" s="188">
        <v>4.4934563147806799</v>
      </c>
      <c r="AM45" s="188">
        <v>4.8767837118692912</v>
      </c>
      <c r="AN45" s="188">
        <v>6.2607389000690823</v>
      </c>
      <c r="AO45" s="188">
        <v>7.8794323316802695</v>
      </c>
      <c r="AP45" s="187">
        <v>9.191297202761854</v>
      </c>
      <c r="AQ45" s="90" t="str">
        <f>$A$17</f>
        <v>60-64</v>
      </c>
      <c r="AR45" s="188">
        <v>56.310553409327007</v>
      </c>
      <c r="AS45" s="188">
        <v>67.870390220642065</v>
      </c>
      <c r="AT45" s="188">
        <v>84.024998163765019</v>
      </c>
      <c r="AU45" s="188">
        <v>110.21797149361819</v>
      </c>
      <c r="AV45" s="187">
        <v>138.11699523823569</v>
      </c>
      <c r="AW45" s="187"/>
      <c r="AX45" s="188">
        <v>55.169107221716523</v>
      </c>
      <c r="AY45" s="188">
        <v>66.494660625358861</v>
      </c>
      <c r="AZ45" s="188">
        <v>82.321847901242236</v>
      </c>
      <c r="BA45" s="188">
        <v>107.98385950823412</v>
      </c>
      <c r="BB45" s="187">
        <v>135.3173815226985</v>
      </c>
      <c r="BC45" s="187"/>
      <c r="BD45" s="188">
        <v>1.1414461876104915</v>
      </c>
      <c r="BE45" s="188">
        <v>1.375729595283202</v>
      </c>
      <c r="BF45" s="188">
        <v>1.7031502625227839</v>
      </c>
      <c r="BG45" s="188">
        <v>2.2341119853840721</v>
      </c>
      <c r="BH45" s="187">
        <v>2.7996137155371672</v>
      </c>
    </row>
    <row r="46" spans="1:60" x14ac:dyDescent="0.3">
      <c r="A46" s="90" t="str">
        <f>$A$18</f>
        <v>65+</v>
      </c>
      <c r="B46" s="188">
        <v>684.22019433015396</v>
      </c>
      <c r="C46" s="188">
        <v>659.7220549729019</v>
      </c>
      <c r="D46" s="188">
        <v>597.6874930135458</v>
      </c>
      <c r="E46" s="188">
        <v>516.4377556390009</v>
      </c>
      <c r="F46" s="187">
        <v>432.27609064150056</v>
      </c>
      <c r="G46" s="189"/>
      <c r="H46" s="188">
        <v>489.85248018008991</v>
      </c>
      <c r="I46" s="188">
        <v>472.31354432994846</v>
      </c>
      <c r="J46" s="188">
        <v>427.90128288186639</v>
      </c>
      <c r="K46" s="188">
        <v>369.73229781992757</v>
      </c>
      <c r="L46" s="187">
        <v>309.47859548147727</v>
      </c>
      <c r="M46" s="189"/>
      <c r="N46" s="188">
        <v>194.3677141500641</v>
      </c>
      <c r="O46" s="188">
        <v>187.40851064295344</v>
      </c>
      <c r="P46" s="188">
        <v>169.78621013167941</v>
      </c>
      <c r="Q46" s="188">
        <v>146.70545781907333</v>
      </c>
      <c r="R46" s="187">
        <v>122.79749516002329</v>
      </c>
      <c r="S46" s="189"/>
      <c r="T46" s="189">
        <v>0</v>
      </c>
      <c r="U46" s="189">
        <v>0</v>
      </c>
      <c r="V46" s="189">
        <v>0</v>
      </c>
      <c r="W46" s="189">
        <v>0</v>
      </c>
      <c r="X46" s="189">
        <v>0</v>
      </c>
      <c r="Y46" s="90" t="str">
        <f>$A$18</f>
        <v>65+</v>
      </c>
      <c r="Z46" s="188">
        <v>229.30721305756543</v>
      </c>
      <c r="AA46" s="188">
        <v>242.95644971788712</v>
      </c>
      <c r="AB46" s="188">
        <v>324.13328439256134</v>
      </c>
      <c r="AC46" s="188">
        <v>392.98454329955848</v>
      </c>
      <c r="AD46" s="187">
        <v>471.20711273861792</v>
      </c>
      <c r="AE46" s="189"/>
      <c r="AF46" s="188">
        <v>216.90901867585666</v>
      </c>
      <c r="AG46" s="188">
        <v>229.82037680573097</v>
      </c>
      <c r="AH46" s="188">
        <v>306.60805056907492</v>
      </c>
      <c r="AI46" s="188">
        <v>371.73671710382393</v>
      </c>
      <c r="AJ46" s="187">
        <v>445.72999049974806</v>
      </c>
      <c r="AK46" s="189"/>
      <c r="AL46" s="188">
        <v>12.398194381708771</v>
      </c>
      <c r="AM46" s="188">
        <v>13.136072912156155</v>
      </c>
      <c r="AN46" s="188">
        <v>17.525233823486392</v>
      </c>
      <c r="AO46" s="188">
        <v>21.247826195734497</v>
      </c>
      <c r="AP46" s="187">
        <v>25.477122238869928</v>
      </c>
      <c r="AQ46" s="90" t="str">
        <f>$A$18</f>
        <v>65+</v>
      </c>
      <c r="AR46" s="188">
        <v>145.26459261228058</v>
      </c>
      <c r="AS46" s="188">
        <v>173.26549530921105</v>
      </c>
      <c r="AT46" s="188">
        <v>233.46822259389299</v>
      </c>
      <c r="AU46" s="188">
        <v>332.65670106144069</v>
      </c>
      <c r="AV46" s="187">
        <v>456.31479661988146</v>
      </c>
      <c r="AW46" s="189"/>
      <c r="AX46" s="188">
        <v>143.74209408925086</v>
      </c>
      <c r="AY46" s="188">
        <v>171.44937059191324</v>
      </c>
      <c r="AZ46" s="188">
        <v>231.02121966409953</v>
      </c>
      <c r="BA46" s="188">
        <v>329.17005716327628</v>
      </c>
      <c r="BB46" s="187">
        <v>451.53195718650386</v>
      </c>
      <c r="BC46" s="189"/>
      <c r="BD46" s="188">
        <v>1.5224985230297139</v>
      </c>
      <c r="BE46" s="188">
        <v>1.8161247172978172</v>
      </c>
      <c r="BF46" s="188">
        <v>2.4470029297934355</v>
      </c>
      <c r="BG46" s="188">
        <v>3.4866438981643779</v>
      </c>
      <c r="BH46" s="187">
        <v>4.7828394333776503</v>
      </c>
    </row>
    <row r="47" spans="1:60" x14ac:dyDescent="0.3">
      <c r="A47" s="95"/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Y47" s="95"/>
      <c r="Z47" s="190"/>
      <c r="AA47" s="190"/>
      <c r="AB47" s="190"/>
      <c r="AC47" s="190"/>
      <c r="AD47" s="190"/>
      <c r="AE47" s="190"/>
      <c r="AF47" s="190"/>
      <c r="AG47" s="190"/>
      <c r="AH47" s="190"/>
      <c r="AI47" s="190"/>
      <c r="AJ47" s="190"/>
      <c r="AK47" s="190"/>
      <c r="AL47" s="190"/>
      <c r="AM47" s="190"/>
      <c r="AN47" s="190"/>
      <c r="AO47" s="190"/>
      <c r="AP47" s="190"/>
      <c r="AQ47" s="95"/>
      <c r="AR47" s="190"/>
      <c r="AS47" s="190"/>
      <c r="AT47" s="190"/>
      <c r="AU47" s="190"/>
      <c r="AV47" s="190"/>
      <c r="AW47" s="190"/>
      <c r="AX47" s="190"/>
      <c r="AY47" s="190"/>
      <c r="AZ47" s="190"/>
      <c r="BA47" s="190"/>
      <c r="BB47" s="190"/>
      <c r="BC47" s="190"/>
      <c r="BD47" s="190"/>
      <c r="BE47" s="190"/>
      <c r="BF47" s="190"/>
      <c r="BG47" s="190"/>
      <c r="BH47" s="190"/>
    </row>
    <row r="48" spans="1:60" x14ac:dyDescent="0.3">
      <c r="B48" s="93"/>
      <c r="C48" s="93"/>
      <c r="D48" s="93"/>
      <c r="E48" s="93"/>
      <c r="Z48" s="93"/>
      <c r="AA48" s="93"/>
      <c r="AB48" s="93"/>
      <c r="AC48" s="93"/>
      <c r="AR48" s="93"/>
      <c r="AS48" s="93"/>
      <c r="AT48" s="93"/>
      <c r="AU48" s="93"/>
    </row>
    <row r="49" spans="1:60" ht="15.45" x14ac:dyDescent="0.4">
      <c r="A49" s="18" t="str">
        <f>CONCATENATE("Basic Table 2b  Labour Force by Gender, Age Group and ISCED Qualification, ",Info!B8,", ",$B$5,"-",$F$5)</f>
        <v>Basic Table 2b  Labour Force by Gender, Age Group and ISCED Qualification, , 2008-2025</v>
      </c>
      <c r="Y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3">
      <c r="W50" s="383" t="s">
        <v>13</v>
      </c>
      <c r="X50" s="383"/>
      <c r="AP50" s="182" t="str">
        <f>AP2</f>
        <v>Levels (000s)</v>
      </c>
      <c r="BH50" s="182" t="str">
        <f>BH2</f>
        <v>Levels (000s)</v>
      </c>
    </row>
    <row r="51" spans="1:60" x14ac:dyDescent="0.3">
      <c r="A51" s="117" t="s">
        <v>102</v>
      </c>
      <c r="B51" s="183" t="str">
        <f>B3</f>
        <v>All Low qualifications</v>
      </c>
      <c r="C51" s="183"/>
      <c r="D51" s="184"/>
      <c r="E51" s="183"/>
      <c r="F51" s="183"/>
      <c r="G51" s="117"/>
      <c r="H51" s="183" t="str">
        <f>H3</f>
        <v>Pre-primary education</v>
      </c>
      <c r="I51" s="183"/>
      <c r="J51" s="183"/>
      <c r="K51" s="183"/>
      <c r="L51" s="183"/>
      <c r="M51" s="117"/>
      <c r="N51" s="183" t="str">
        <f>N3</f>
        <v>Primary education (1st stage basic)</v>
      </c>
      <c r="O51" s="183"/>
      <c r="P51" s="183"/>
      <c r="Q51" s="183"/>
      <c r="R51" s="183"/>
      <c r="S51" s="117"/>
      <c r="T51" s="388" t="str">
        <f>T3</f>
        <v>Lower secondary education (2nd stage basic)</v>
      </c>
      <c r="U51" s="388"/>
      <c r="V51" s="388"/>
      <c r="W51" s="388"/>
      <c r="X51" s="388"/>
      <c r="Y51" s="117" t="s">
        <v>102</v>
      </c>
      <c r="Z51" s="183" t="str">
        <f>Z3</f>
        <v>All Medium qualifications</v>
      </c>
      <c r="AA51" s="183"/>
      <c r="AB51" s="184"/>
      <c r="AC51" s="183"/>
      <c r="AD51" s="183"/>
      <c r="AE51" s="117"/>
      <c r="AF51" s="183" t="str">
        <f>AF3</f>
        <v>Upper secondary education</v>
      </c>
      <c r="AG51" s="183"/>
      <c r="AH51" s="183"/>
      <c r="AI51" s="183"/>
      <c r="AJ51" s="183"/>
      <c r="AK51" s="117"/>
      <c r="AL51" s="183" t="str">
        <f>AL3</f>
        <v>Post-secondary non-tertiary education</v>
      </c>
      <c r="AM51" s="183"/>
      <c r="AN51" s="183"/>
      <c r="AO51" s="183"/>
      <c r="AP51" s="183"/>
      <c r="AQ51" s="117" t="s">
        <v>102</v>
      </c>
      <c r="AR51" s="183" t="str">
        <f>AR3</f>
        <v>All High qualifications</v>
      </c>
      <c r="AS51" s="183"/>
      <c r="AT51" s="184"/>
      <c r="AU51" s="183"/>
      <c r="AV51" s="183"/>
      <c r="AW51" s="117"/>
      <c r="AX51" s="183" t="str">
        <f>AX3</f>
        <v>First stage of tertiary education</v>
      </c>
      <c r="AY51" s="183"/>
      <c r="AZ51" s="183"/>
      <c r="BA51" s="183"/>
      <c r="BB51" s="183"/>
      <c r="BC51" s="117"/>
      <c r="BD51" s="183" t="str">
        <f>BD3</f>
        <v>Second stage of tertiary education</v>
      </c>
      <c r="BE51" s="183"/>
      <c r="BF51" s="183"/>
      <c r="BG51" s="183"/>
      <c r="BH51" s="183"/>
    </row>
    <row r="52" spans="1:60" x14ac:dyDescent="0.3">
      <c r="A52" s="179" t="s">
        <v>104</v>
      </c>
      <c r="B52" s="185"/>
      <c r="C52" s="185"/>
      <c r="D52" s="185"/>
      <c r="E52" s="185"/>
      <c r="F52" s="185"/>
      <c r="G52" s="91"/>
      <c r="H52" s="185"/>
      <c r="I52" s="185"/>
      <c r="J52" s="185"/>
      <c r="K52" s="185"/>
      <c r="L52" s="185"/>
      <c r="M52" s="91"/>
      <c r="N52" s="185"/>
      <c r="O52" s="185"/>
      <c r="P52" s="185"/>
      <c r="Q52" s="185"/>
      <c r="R52" s="185"/>
      <c r="S52" s="91"/>
      <c r="T52" s="185"/>
      <c r="U52" s="185"/>
      <c r="V52" s="185"/>
      <c r="W52" s="185"/>
      <c r="X52" s="185"/>
      <c r="Y52" s="179" t="s">
        <v>104</v>
      </c>
      <c r="Z52" s="185"/>
      <c r="AA52" s="185"/>
      <c r="AB52" s="185"/>
      <c r="AC52" s="185"/>
      <c r="AD52" s="185"/>
      <c r="AE52" s="91"/>
      <c r="AF52" s="185"/>
      <c r="AG52" s="185"/>
      <c r="AH52" s="185"/>
      <c r="AI52" s="185"/>
      <c r="AJ52" s="185"/>
      <c r="AK52" s="91"/>
      <c r="AL52" s="185"/>
      <c r="AM52" s="185"/>
      <c r="AN52" s="185"/>
      <c r="AO52" s="185"/>
      <c r="AP52" s="185"/>
      <c r="AQ52" s="179" t="s">
        <v>104</v>
      </c>
      <c r="AR52" s="185"/>
      <c r="AS52" s="185"/>
      <c r="AT52" s="185"/>
      <c r="AU52" s="185"/>
      <c r="AV52" s="185"/>
      <c r="AW52" s="91"/>
      <c r="AX52" s="185"/>
      <c r="AY52" s="185"/>
      <c r="AZ52" s="185"/>
      <c r="BA52" s="185"/>
      <c r="BB52" s="185"/>
      <c r="BC52" s="91"/>
      <c r="BD52" s="185"/>
      <c r="BE52" s="185"/>
      <c r="BF52" s="185"/>
      <c r="BG52" s="185"/>
      <c r="BH52" s="185"/>
    </row>
    <row r="53" spans="1:60" x14ac:dyDescent="0.3">
      <c r="A53" s="178"/>
      <c r="B53" s="186">
        <v>2008</v>
      </c>
      <c r="C53" s="186">
        <v>2010</v>
      </c>
      <c r="D53" s="186">
        <v>2012</v>
      </c>
      <c r="E53" s="186">
        <v>2015</v>
      </c>
      <c r="F53" s="179">
        <v>2020</v>
      </c>
      <c r="G53" s="119"/>
      <c r="H53" s="119">
        <f>B53</f>
        <v>2008</v>
      </c>
      <c r="I53" s="119">
        <f>C53</f>
        <v>2010</v>
      </c>
      <c r="J53" s="119">
        <f>D53</f>
        <v>2012</v>
      </c>
      <c r="K53" s="119">
        <f>E53</f>
        <v>2015</v>
      </c>
      <c r="L53" s="119">
        <f>F53</f>
        <v>2020</v>
      </c>
      <c r="M53" s="119"/>
      <c r="N53" s="119">
        <f>B53</f>
        <v>2008</v>
      </c>
      <c r="O53" s="119">
        <f>C53</f>
        <v>2010</v>
      </c>
      <c r="P53" s="119">
        <f>D53</f>
        <v>2012</v>
      </c>
      <c r="Q53" s="119">
        <f>E53</f>
        <v>2015</v>
      </c>
      <c r="R53" s="119">
        <f>F53</f>
        <v>2020</v>
      </c>
      <c r="S53" s="119"/>
      <c r="T53" s="119">
        <f>B53</f>
        <v>2008</v>
      </c>
      <c r="U53" s="119">
        <f>C53</f>
        <v>2010</v>
      </c>
      <c r="V53" s="119">
        <f>D53</f>
        <v>2012</v>
      </c>
      <c r="W53" s="119">
        <f>E53</f>
        <v>2015</v>
      </c>
      <c r="X53" s="119">
        <f>F53</f>
        <v>2020</v>
      </c>
      <c r="Y53" s="178"/>
      <c r="Z53" s="186">
        <v>2008</v>
      </c>
      <c r="AA53" s="186">
        <v>2010</v>
      </c>
      <c r="AB53" s="186">
        <v>2012</v>
      </c>
      <c r="AC53" s="186">
        <v>2015</v>
      </c>
      <c r="AD53" s="179">
        <v>2020</v>
      </c>
      <c r="AE53" s="119"/>
      <c r="AF53" s="119">
        <f>Z53</f>
        <v>2008</v>
      </c>
      <c r="AG53" s="119">
        <f>AA53</f>
        <v>2010</v>
      </c>
      <c r="AH53" s="119">
        <f>AB53</f>
        <v>2012</v>
      </c>
      <c r="AI53" s="119">
        <f>AC53</f>
        <v>2015</v>
      </c>
      <c r="AJ53" s="119">
        <f>AD53</f>
        <v>2020</v>
      </c>
      <c r="AK53" s="119"/>
      <c r="AL53" s="119">
        <f>Z53</f>
        <v>2008</v>
      </c>
      <c r="AM53" s="119">
        <f>AA53</f>
        <v>2010</v>
      </c>
      <c r="AN53" s="119">
        <f>AB53</f>
        <v>2012</v>
      </c>
      <c r="AO53" s="119">
        <f>AC53</f>
        <v>2015</v>
      </c>
      <c r="AP53" s="119">
        <f>AD53</f>
        <v>2020</v>
      </c>
      <c r="AQ53" s="178"/>
      <c r="AR53" s="186">
        <v>2008</v>
      </c>
      <c r="AS53" s="186">
        <v>2010</v>
      </c>
      <c r="AT53" s="186">
        <v>2012</v>
      </c>
      <c r="AU53" s="186">
        <v>2015</v>
      </c>
      <c r="AV53" s="179">
        <v>2020</v>
      </c>
      <c r="AW53" s="119"/>
      <c r="AX53" s="119">
        <f>AR53</f>
        <v>2008</v>
      </c>
      <c r="AY53" s="119">
        <f>AS53</f>
        <v>2010</v>
      </c>
      <c r="AZ53" s="119">
        <f>AT53</f>
        <v>2012</v>
      </c>
      <c r="BA53" s="119">
        <f>AU53</f>
        <v>2015</v>
      </c>
      <c r="BB53" s="119">
        <f>AV53</f>
        <v>2020</v>
      </c>
      <c r="BC53" s="119"/>
      <c r="BD53" s="119">
        <f>AR53</f>
        <v>2008</v>
      </c>
      <c r="BE53" s="119">
        <f>AS53</f>
        <v>2010</v>
      </c>
      <c r="BF53" s="119">
        <f>AT53</f>
        <v>2012</v>
      </c>
      <c r="BG53" s="119">
        <f>AU53</f>
        <v>2015</v>
      </c>
      <c r="BH53" s="119">
        <f>AV53</f>
        <v>2020</v>
      </c>
    </row>
    <row r="54" spans="1:60" x14ac:dyDescent="0.3">
      <c r="A54" s="113" t="str">
        <f>A6</f>
        <v>Males and females</v>
      </c>
      <c r="F54" s="187"/>
      <c r="G54" s="187"/>
      <c r="H54" s="187"/>
      <c r="I54" s="187"/>
      <c r="J54" s="187"/>
      <c r="K54" s="187"/>
      <c r="L54" s="187"/>
      <c r="M54" s="187"/>
      <c r="N54" s="187"/>
      <c r="O54" s="187"/>
      <c r="P54" s="187"/>
      <c r="Q54" s="187"/>
      <c r="R54" s="187"/>
      <c r="S54" s="187"/>
      <c r="Y54" s="113" t="str">
        <f>Y6</f>
        <v>Males and females</v>
      </c>
      <c r="AD54" s="187"/>
      <c r="AE54" s="187"/>
      <c r="AF54" s="187"/>
      <c r="AG54" s="187"/>
      <c r="AH54" s="187"/>
      <c r="AI54" s="187"/>
      <c r="AJ54" s="187"/>
      <c r="AK54" s="187"/>
      <c r="AL54" s="187"/>
      <c r="AM54" s="187"/>
      <c r="AN54" s="187"/>
      <c r="AO54" s="187"/>
      <c r="AP54" s="187"/>
      <c r="AQ54" s="113" t="str">
        <f>AQ6</f>
        <v>Males and females</v>
      </c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</row>
    <row r="55" spans="1:60" x14ac:dyDescent="0.3">
      <c r="A55" s="90" t="str">
        <f>A7</f>
        <v>15+</v>
      </c>
      <c r="B55" s="188">
        <f>SUM(B69,B83)</f>
        <v>1091.4118992738524</v>
      </c>
      <c r="C55" s="188">
        <f t="shared" ref="C55:F55" si="43">SUM(C69,C83)</f>
        <v>1100.0037861102892</v>
      </c>
      <c r="D55" s="188">
        <f t="shared" si="43"/>
        <v>916.42301941602898</v>
      </c>
      <c r="E55" s="188">
        <f t="shared" si="43"/>
        <v>787.47393586094222</v>
      </c>
      <c r="F55" s="188">
        <f t="shared" si="43"/>
        <v>647.93759918436888</v>
      </c>
      <c r="G55" s="187"/>
      <c r="H55" s="188">
        <f>SUM(H69,H83)</f>
        <v>362.47383711398129</v>
      </c>
      <c r="I55" s="188">
        <f t="shared" ref="I55:L55" si="44">SUM(I69,I83)</f>
        <v>367.09230695546</v>
      </c>
      <c r="J55" s="188">
        <f t="shared" si="44"/>
        <v>309.04252665358638</v>
      </c>
      <c r="K55" s="188">
        <f t="shared" si="44"/>
        <v>265.71661758383789</v>
      </c>
      <c r="L55" s="188">
        <f t="shared" si="44"/>
        <v>217.36047114432725</v>
      </c>
      <c r="M55" s="187"/>
      <c r="N55" s="188">
        <f>SUM(N69,N83)</f>
        <v>728.93806215987115</v>
      </c>
      <c r="O55" s="188">
        <f t="shared" ref="O55:R55" si="45">SUM(O69,O83)</f>
        <v>732.91147915482918</v>
      </c>
      <c r="P55" s="188">
        <f t="shared" si="45"/>
        <v>607.3804927624426</v>
      </c>
      <c r="Q55" s="188">
        <f t="shared" si="45"/>
        <v>521.75731827710433</v>
      </c>
      <c r="R55" s="188">
        <f t="shared" si="45"/>
        <v>430.57712804004166</v>
      </c>
      <c r="S55" s="187"/>
      <c r="T55" s="188">
        <f>SUM(T69,T83)</f>
        <v>0</v>
      </c>
      <c r="U55" s="188">
        <f t="shared" ref="U55:X55" si="46">SUM(U69,U83)</f>
        <v>0</v>
      </c>
      <c r="V55" s="188">
        <f t="shared" si="46"/>
        <v>0</v>
      </c>
      <c r="W55" s="188">
        <f t="shared" si="46"/>
        <v>0</v>
      </c>
      <c r="X55" s="188">
        <f t="shared" si="46"/>
        <v>0</v>
      </c>
      <c r="Y55" s="90" t="str">
        <f>Y7</f>
        <v>15+</v>
      </c>
      <c r="Z55" s="188">
        <f>SUM(Z69,Z83)</f>
        <v>1946.6117047650587</v>
      </c>
      <c r="AA55" s="188">
        <f t="shared" ref="AA55:AD55" si="47">SUM(AA69,AA83)</f>
        <v>1898.9657890695435</v>
      </c>
      <c r="AB55" s="188">
        <f t="shared" si="47"/>
        <v>1962.8308563745852</v>
      </c>
      <c r="AC55" s="188">
        <f t="shared" si="47"/>
        <v>2069.7042275623553</v>
      </c>
      <c r="AD55" s="188">
        <f t="shared" si="47"/>
        <v>2170.6375884387007</v>
      </c>
      <c r="AE55" s="187"/>
      <c r="AF55" s="188">
        <f>SUM(AF69,AF83)</f>
        <v>1824.1912882451829</v>
      </c>
      <c r="AG55" s="188">
        <f t="shared" ref="AG55:AJ55" si="48">SUM(AG69,AG83)</f>
        <v>1779.7966268394514</v>
      </c>
      <c r="AH55" s="188">
        <f t="shared" si="48"/>
        <v>1839.9843516955048</v>
      </c>
      <c r="AI55" s="188">
        <f t="shared" si="48"/>
        <v>1940.4817534613794</v>
      </c>
      <c r="AJ55" s="188">
        <f t="shared" si="48"/>
        <v>2035.5057599780253</v>
      </c>
      <c r="AK55" s="187"/>
      <c r="AL55" s="188">
        <f>SUM(AL69,AL83)</f>
        <v>122.42041651987563</v>
      </c>
      <c r="AM55" s="188">
        <f t="shared" ref="AM55:AP55" si="49">SUM(AM69,AM83)</f>
        <v>119.16916223009233</v>
      </c>
      <c r="AN55" s="188">
        <f t="shared" si="49"/>
        <v>122.84650467908108</v>
      </c>
      <c r="AO55" s="188">
        <f t="shared" si="49"/>
        <v>129.22247410097572</v>
      </c>
      <c r="AP55" s="188">
        <f t="shared" si="49"/>
        <v>135.13182846067508</v>
      </c>
      <c r="AQ55" s="90" t="str">
        <f>AQ7</f>
        <v>15+</v>
      </c>
      <c r="AR55" s="188">
        <f>SUM(AR69,AR83)</f>
        <v>1748.2863959610891</v>
      </c>
      <c r="AS55" s="188">
        <f t="shared" ref="AS55:AV55" si="50">SUM(AS69,AS83)</f>
        <v>1906.3674248201669</v>
      </c>
      <c r="AT55" s="188">
        <f t="shared" si="50"/>
        <v>2115.1681242093855</v>
      </c>
      <c r="AU55" s="188">
        <f t="shared" si="50"/>
        <v>2318.0908365767018</v>
      </c>
      <c r="AV55" s="188">
        <f t="shared" si="50"/>
        <v>2521.4978123769306</v>
      </c>
      <c r="AW55" s="187"/>
      <c r="AX55" s="188">
        <f>SUM(AX69,AX83)</f>
        <v>1717.00572023467</v>
      </c>
      <c r="AY55" s="188">
        <f t="shared" ref="AY55:BB55" si="51">SUM(AY69,AY83)</f>
        <v>1871.5654118320501</v>
      </c>
      <c r="AZ55" s="188">
        <f t="shared" si="51"/>
        <v>2075.3669628743173</v>
      </c>
      <c r="BA55" s="188">
        <f t="shared" si="51"/>
        <v>2274.1381911334825</v>
      </c>
      <c r="BB55" s="188">
        <f t="shared" si="51"/>
        <v>2472.9509757013893</v>
      </c>
      <c r="BC55" s="187"/>
      <c r="BD55" s="188">
        <f>SUM(BD69,BD83)</f>
        <v>31.280675726418963</v>
      </c>
      <c r="BE55" s="188">
        <f t="shared" ref="BE55:BH55" si="52">SUM(BE69,BE83)</f>
        <v>34.676945501519299</v>
      </c>
      <c r="BF55" s="188">
        <f t="shared" si="52"/>
        <v>39.483123423895734</v>
      </c>
      <c r="BG55" s="188">
        <f t="shared" si="52"/>
        <v>43.95264544321995</v>
      </c>
      <c r="BH55" s="188">
        <f t="shared" si="52"/>
        <v>48.546836675541741</v>
      </c>
    </row>
    <row r="56" spans="1:60" x14ac:dyDescent="0.3">
      <c r="A56" s="90" t="str">
        <f t="shared" ref="A56:A66" si="53">A8</f>
        <v>15-19</v>
      </c>
      <c r="B56" s="188">
        <f t="shared" ref="B56:F66" si="54">SUM(B70,B84)</f>
        <v>33.922484918096792</v>
      </c>
      <c r="C56" s="188">
        <f t="shared" si="54"/>
        <v>33.428963380218356</v>
      </c>
      <c r="D56" s="188">
        <f t="shared" si="54"/>
        <v>25.618579168305843</v>
      </c>
      <c r="E56" s="188">
        <f t="shared" si="54"/>
        <v>27.576564899958772</v>
      </c>
      <c r="F56" s="188">
        <f t="shared" si="54"/>
        <v>31.444379921686618</v>
      </c>
      <c r="G56" s="187"/>
      <c r="H56" s="188">
        <f t="shared" ref="H56:L66" si="55">SUM(H70,H84)</f>
        <v>7.8573198535721822</v>
      </c>
      <c r="I56" s="188">
        <f t="shared" si="55"/>
        <v>7.5672034937247652</v>
      </c>
      <c r="J56" s="188">
        <f t="shared" si="55"/>
        <v>5.7747610908860949</v>
      </c>
      <c r="K56" s="188">
        <f t="shared" si="55"/>
        <v>6.3040880162625772</v>
      </c>
      <c r="L56" s="188">
        <f t="shared" si="55"/>
        <v>7.2506410354839996</v>
      </c>
      <c r="M56" s="187"/>
      <c r="N56" s="188">
        <f t="shared" ref="N56:R66" si="56">SUM(N70,N84)</f>
        <v>26.065165064524606</v>
      </c>
      <c r="O56" s="188">
        <f t="shared" si="56"/>
        <v>25.861759886493594</v>
      </c>
      <c r="P56" s="188">
        <f t="shared" si="56"/>
        <v>19.843818077419751</v>
      </c>
      <c r="Q56" s="188">
        <f t="shared" si="56"/>
        <v>21.272476883696193</v>
      </c>
      <c r="R56" s="188">
        <f t="shared" si="56"/>
        <v>24.193738886202624</v>
      </c>
      <c r="S56" s="187"/>
      <c r="T56" s="188">
        <f t="shared" ref="T56:X66" si="57">SUM(T70,T84)</f>
        <v>0</v>
      </c>
      <c r="U56" s="188">
        <f t="shared" si="57"/>
        <v>0</v>
      </c>
      <c r="V56" s="188">
        <f t="shared" si="57"/>
        <v>0</v>
      </c>
      <c r="W56" s="188">
        <f t="shared" si="57"/>
        <v>0</v>
      </c>
      <c r="X56" s="188">
        <f t="shared" si="57"/>
        <v>0</v>
      </c>
      <c r="Y56" s="90" t="str">
        <f t="shared" ref="Y56:Y66" si="58">Y8</f>
        <v>15-19</v>
      </c>
      <c r="Z56" s="188">
        <f t="shared" ref="Z56:AD66" si="59">SUM(Z70,Z84)</f>
        <v>28.669275921467221</v>
      </c>
      <c r="AA56" s="188">
        <f t="shared" si="59"/>
        <v>24.94017830051537</v>
      </c>
      <c r="AB56" s="188">
        <f t="shared" si="59"/>
        <v>22.096171672766943</v>
      </c>
      <c r="AC56" s="188">
        <f t="shared" si="59"/>
        <v>24.369923731987864</v>
      </c>
      <c r="AD56" s="188">
        <f t="shared" si="59"/>
        <v>28.847750118738247</v>
      </c>
      <c r="AE56" s="187"/>
      <c r="AF56" s="188">
        <f t="shared" ref="AF56:AJ66" si="60">SUM(AF70,AF84)</f>
        <v>27.131107622890386</v>
      </c>
      <c r="AG56" s="188">
        <f t="shared" si="60"/>
        <v>23.604856528669352</v>
      </c>
      <c r="AH56" s="188">
        <f t="shared" si="60"/>
        <v>20.910693259755835</v>
      </c>
      <c r="AI56" s="188">
        <f t="shared" si="60"/>
        <v>23.061501302502187</v>
      </c>
      <c r="AJ56" s="188">
        <f t="shared" si="60"/>
        <v>27.298051224460476</v>
      </c>
      <c r="AK56" s="187"/>
      <c r="AL56" s="188">
        <f t="shared" ref="AL56:AP66" si="61">SUM(AL70,AL84)</f>
        <v>1.538168298576831</v>
      </c>
      <c r="AM56" s="188">
        <f t="shared" si="61"/>
        <v>1.3353217718460186</v>
      </c>
      <c r="AN56" s="188">
        <f t="shared" si="61"/>
        <v>1.185478413011108</v>
      </c>
      <c r="AO56" s="188">
        <f t="shared" si="61"/>
        <v>1.3084224294856792</v>
      </c>
      <c r="AP56" s="188">
        <f t="shared" si="61"/>
        <v>1.5496988942777667</v>
      </c>
      <c r="AQ56" s="90" t="str">
        <f t="shared" ref="AQ56:AQ66" si="62">AQ8</f>
        <v>15-19</v>
      </c>
      <c r="AR56" s="188">
        <f t="shared" ref="AR56:AV66" si="63">SUM(AR70,AR84)</f>
        <v>0.22323916043599393</v>
      </c>
      <c r="AS56" s="188">
        <f t="shared" si="63"/>
        <v>0.23185831926626108</v>
      </c>
      <c r="AT56" s="188">
        <f t="shared" si="63"/>
        <v>0.31924915892721956</v>
      </c>
      <c r="AU56" s="188">
        <f t="shared" si="63"/>
        <v>0.32851136805335357</v>
      </c>
      <c r="AV56" s="188">
        <f t="shared" si="63"/>
        <v>0.36386995957513524</v>
      </c>
      <c r="AW56" s="187"/>
      <c r="AX56" s="188">
        <f t="shared" ref="AX56:BB66" si="64">SUM(AX70,AX84)</f>
        <v>0.18942213461700935</v>
      </c>
      <c r="AY56" s="188">
        <f t="shared" si="64"/>
        <v>7.0679138418197798E-2</v>
      </c>
      <c r="AZ56" s="188">
        <f t="shared" si="64"/>
        <v>8.014133599071727E-4</v>
      </c>
      <c r="BA56" s="188">
        <f t="shared" si="64"/>
        <v>0.32647088949339453</v>
      </c>
      <c r="BB56" s="188">
        <f t="shared" si="64"/>
        <v>0.3602016521563422</v>
      </c>
      <c r="BC56" s="187"/>
      <c r="BD56" s="188">
        <f t="shared" ref="BD56:BH66" si="65">SUM(BD70,BD84)</f>
        <v>3.3817025818984561E-2</v>
      </c>
      <c r="BE56" s="188">
        <f t="shared" si="65"/>
        <v>3.6111694250642229E-2</v>
      </c>
      <c r="BF56" s="188">
        <f t="shared" si="65"/>
        <v>4.0983439475890718E-4</v>
      </c>
      <c r="BG56" s="188">
        <f t="shared" si="65"/>
        <v>2.0404785599590159E-3</v>
      </c>
      <c r="BH56" s="188">
        <f t="shared" si="65"/>
        <v>3.6683074187930289E-3</v>
      </c>
    </row>
    <row r="57" spans="1:60" x14ac:dyDescent="0.3">
      <c r="A57" s="90" t="str">
        <f t="shared" si="53"/>
        <v>20-24</v>
      </c>
      <c r="B57" s="188">
        <f t="shared" si="54"/>
        <v>69.997446885450401</v>
      </c>
      <c r="C57" s="188">
        <f t="shared" si="54"/>
        <v>73.885251785075525</v>
      </c>
      <c r="D57" s="188">
        <f t="shared" si="54"/>
        <v>60.82748778551305</v>
      </c>
      <c r="E57" s="188">
        <f t="shared" si="54"/>
        <v>52.336025748722321</v>
      </c>
      <c r="F57" s="188">
        <f t="shared" si="54"/>
        <v>47.838308330484821</v>
      </c>
      <c r="G57" s="187"/>
      <c r="H57" s="188">
        <f t="shared" si="55"/>
        <v>17.50666245872462</v>
      </c>
      <c r="I57" s="188">
        <f t="shared" si="55"/>
        <v>18.316843567871658</v>
      </c>
      <c r="J57" s="188">
        <f t="shared" si="55"/>
        <v>14.976024192054551</v>
      </c>
      <c r="K57" s="188">
        <f t="shared" si="55"/>
        <v>12.905149968073884</v>
      </c>
      <c r="L57" s="188">
        <f t="shared" si="55"/>
        <v>11.781306690276619</v>
      </c>
      <c r="M57" s="187"/>
      <c r="N57" s="188">
        <f t="shared" si="56"/>
        <v>52.490784426725781</v>
      </c>
      <c r="O57" s="188">
        <f t="shared" si="56"/>
        <v>55.568408217203867</v>
      </c>
      <c r="P57" s="188">
        <f t="shared" si="56"/>
        <v>45.851463593458497</v>
      </c>
      <c r="Q57" s="188">
        <f t="shared" si="56"/>
        <v>39.430875780648435</v>
      </c>
      <c r="R57" s="188">
        <f t="shared" si="56"/>
        <v>36.057001640208199</v>
      </c>
      <c r="S57" s="187"/>
      <c r="T57" s="188">
        <f t="shared" si="57"/>
        <v>0</v>
      </c>
      <c r="U57" s="188">
        <f t="shared" si="57"/>
        <v>0</v>
      </c>
      <c r="V57" s="188">
        <f t="shared" si="57"/>
        <v>0</v>
      </c>
      <c r="W57" s="188">
        <f t="shared" si="57"/>
        <v>0</v>
      </c>
      <c r="X57" s="188">
        <f t="shared" si="57"/>
        <v>0</v>
      </c>
      <c r="Y57" s="90" t="str">
        <f t="shared" si="58"/>
        <v>20-24</v>
      </c>
      <c r="Z57" s="188">
        <f t="shared" si="59"/>
        <v>200.63056393547677</v>
      </c>
      <c r="AA57" s="188">
        <f t="shared" si="59"/>
        <v>200.10878986052779</v>
      </c>
      <c r="AB57" s="188">
        <f t="shared" si="59"/>
        <v>192.82988811096317</v>
      </c>
      <c r="AC57" s="188">
        <f t="shared" si="59"/>
        <v>182.24243827723632</v>
      </c>
      <c r="AD57" s="188">
        <f t="shared" si="59"/>
        <v>183.10832552939812</v>
      </c>
      <c r="AE57" s="187"/>
      <c r="AF57" s="188">
        <f t="shared" si="60"/>
        <v>184.4013377657671</v>
      </c>
      <c r="AG57" s="188">
        <f t="shared" si="60"/>
        <v>183.88709709012173</v>
      </c>
      <c r="AH57" s="188">
        <f t="shared" si="60"/>
        <v>177.34938200988924</v>
      </c>
      <c r="AI57" s="188">
        <f t="shared" si="60"/>
        <v>167.58221623961009</v>
      </c>
      <c r="AJ57" s="188">
        <f t="shared" si="60"/>
        <v>168.42784713146324</v>
      </c>
      <c r="AK57" s="187"/>
      <c r="AL57" s="188">
        <f t="shared" si="61"/>
        <v>16.229226169709651</v>
      </c>
      <c r="AM57" s="188">
        <f t="shared" si="61"/>
        <v>16.221692770406051</v>
      </c>
      <c r="AN57" s="188">
        <f t="shared" si="61"/>
        <v>15.480506101073939</v>
      </c>
      <c r="AO57" s="188">
        <f t="shared" si="61"/>
        <v>14.660222037626259</v>
      </c>
      <c r="AP57" s="188">
        <f t="shared" si="61"/>
        <v>14.680478397934866</v>
      </c>
      <c r="AQ57" s="90" t="str">
        <f t="shared" si="62"/>
        <v>20-24</v>
      </c>
      <c r="AR57" s="188">
        <f t="shared" si="63"/>
        <v>100.04998917907284</v>
      </c>
      <c r="AS57" s="188">
        <f t="shared" si="63"/>
        <v>94.987958354396682</v>
      </c>
      <c r="AT57" s="188">
        <f t="shared" si="63"/>
        <v>103.98462410352381</v>
      </c>
      <c r="AU57" s="188">
        <f t="shared" si="63"/>
        <v>110.10453597404138</v>
      </c>
      <c r="AV57" s="188">
        <f t="shared" si="63"/>
        <v>122.21236614011708</v>
      </c>
      <c r="AW57" s="187"/>
      <c r="AX57" s="188">
        <f t="shared" si="64"/>
        <v>99.830703255982527</v>
      </c>
      <c r="AY57" s="188">
        <f t="shared" si="64"/>
        <v>94.78083623451991</v>
      </c>
      <c r="AZ57" s="188">
        <f t="shared" si="64"/>
        <v>103.75807484517797</v>
      </c>
      <c r="BA57" s="188">
        <f t="shared" si="64"/>
        <v>109.86373714713562</v>
      </c>
      <c r="BB57" s="188">
        <f t="shared" si="64"/>
        <v>121.94555113721529</v>
      </c>
      <c r="BC57" s="187"/>
      <c r="BD57" s="188">
        <f t="shared" si="65"/>
        <v>0.21928592309030701</v>
      </c>
      <c r="BE57" s="188">
        <f t="shared" si="65"/>
        <v>0.20712211987677406</v>
      </c>
      <c r="BF57" s="188">
        <f t="shared" si="65"/>
        <v>0.2265492583458453</v>
      </c>
      <c r="BG57" s="188">
        <f t="shared" si="65"/>
        <v>0.24079882690576235</v>
      </c>
      <c r="BH57" s="188">
        <f t="shared" si="65"/>
        <v>0.26681500290179178</v>
      </c>
    </row>
    <row r="58" spans="1:60" x14ac:dyDescent="0.3">
      <c r="A58" s="90" t="str">
        <f t="shared" si="53"/>
        <v>25-29</v>
      </c>
      <c r="B58" s="188">
        <f t="shared" si="54"/>
        <v>83.10566032859262</v>
      </c>
      <c r="C58" s="188">
        <f t="shared" si="54"/>
        <v>92.922114197332945</v>
      </c>
      <c r="D58" s="188">
        <f t="shared" si="54"/>
        <v>81.756122550300972</v>
      </c>
      <c r="E58" s="188">
        <f t="shared" si="54"/>
        <v>81.088950586198422</v>
      </c>
      <c r="F58" s="188">
        <f t="shared" si="54"/>
        <v>71.085865926883031</v>
      </c>
      <c r="G58" s="187"/>
      <c r="H58" s="188">
        <f t="shared" si="55"/>
        <v>23.608107087454297</v>
      </c>
      <c r="I58" s="188">
        <f t="shared" si="55"/>
        <v>26.378552793035944</v>
      </c>
      <c r="J58" s="188">
        <f t="shared" si="55"/>
        <v>23.222779194804581</v>
      </c>
      <c r="K58" s="188">
        <f t="shared" si="55"/>
        <v>23.044303745971408</v>
      </c>
      <c r="L58" s="188">
        <f t="shared" si="55"/>
        <v>20.194793417876976</v>
      </c>
      <c r="M58" s="187"/>
      <c r="N58" s="188">
        <f t="shared" si="56"/>
        <v>59.49755324113832</v>
      </c>
      <c r="O58" s="188">
        <f t="shared" si="56"/>
        <v>66.543561404296995</v>
      </c>
      <c r="P58" s="188">
        <f t="shared" si="56"/>
        <v>58.533343355496399</v>
      </c>
      <c r="Q58" s="188">
        <f t="shared" si="56"/>
        <v>58.04464684022701</v>
      </c>
      <c r="R58" s="188">
        <f t="shared" si="56"/>
        <v>50.891072509006051</v>
      </c>
      <c r="S58" s="187"/>
      <c r="T58" s="188">
        <f t="shared" si="57"/>
        <v>0</v>
      </c>
      <c r="U58" s="188">
        <f t="shared" si="57"/>
        <v>0</v>
      </c>
      <c r="V58" s="188">
        <f t="shared" si="57"/>
        <v>0</v>
      </c>
      <c r="W58" s="188">
        <f t="shared" si="57"/>
        <v>0</v>
      </c>
      <c r="X58" s="188">
        <f t="shared" si="57"/>
        <v>0</v>
      </c>
      <c r="Y58" s="90" t="str">
        <f t="shared" si="58"/>
        <v>25-29</v>
      </c>
      <c r="Z58" s="188">
        <f t="shared" si="59"/>
        <v>253.52682972521137</v>
      </c>
      <c r="AA58" s="188">
        <f t="shared" si="59"/>
        <v>234.83645593614608</v>
      </c>
      <c r="AB58" s="188">
        <f t="shared" si="59"/>
        <v>239.38100582652388</v>
      </c>
      <c r="AC58" s="188">
        <f t="shared" si="59"/>
        <v>250.47379611646011</v>
      </c>
      <c r="AD58" s="188">
        <f t="shared" si="59"/>
        <v>242.75774055369266</v>
      </c>
      <c r="AE58" s="187"/>
      <c r="AF58" s="188">
        <f t="shared" si="60"/>
        <v>233.96361796129568</v>
      </c>
      <c r="AG58" s="188">
        <f t="shared" si="60"/>
        <v>216.69951214512702</v>
      </c>
      <c r="AH58" s="188">
        <f t="shared" si="60"/>
        <v>220.99938766367791</v>
      </c>
      <c r="AI58" s="188">
        <f t="shared" si="60"/>
        <v>231.32962388195671</v>
      </c>
      <c r="AJ58" s="188">
        <f t="shared" si="60"/>
        <v>224.27741219211396</v>
      </c>
      <c r="AK58" s="187"/>
      <c r="AL58" s="188">
        <f t="shared" si="61"/>
        <v>19.563211763915717</v>
      </c>
      <c r="AM58" s="188">
        <f t="shared" si="61"/>
        <v>18.13694379101905</v>
      </c>
      <c r="AN58" s="188">
        <f t="shared" si="61"/>
        <v>18.381618162845992</v>
      </c>
      <c r="AO58" s="188">
        <f t="shared" si="61"/>
        <v>19.144172234503415</v>
      </c>
      <c r="AP58" s="188">
        <f t="shared" si="61"/>
        <v>18.480328361578685</v>
      </c>
      <c r="AQ58" s="90" t="str">
        <f t="shared" si="62"/>
        <v>25-29</v>
      </c>
      <c r="AR58" s="188">
        <f t="shared" si="63"/>
        <v>268.657509946196</v>
      </c>
      <c r="AS58" s="188">
        <f t="shared" si="63"/>
        <v>278.23442986652105</v>
      </c>
      <c r="AT58" s="188">
        <f t="shared" si="63"/>
        <v>292.29787162317513</v>
      </c>
      <c r="AU58" s="188">
        <f t="shared" si="63"/>
        <v>322.87025329734149</v>
      </c>
      <c r="AV58" s="188">
        <f t="shared" si="63"/>
        <v>330.34739351942437</v>
      </c>
      <c r="AW58" s="187"/>
      <c r="AX58" s="188">
        <f t="shared" si="64"/>
        <v>266.3288913677211</v>
      </c>
      <c r="AY58" s="188">
        <f t="shared" si="64"/>
        <v>275.82018573820613</v>
      </c>
      <c r="AZ58" s="188">
        <f t="shared" si="64"/>
        <v>289.76922026464791</v>
      </c>
      <c r="BA58" s="188">
        <f t="shared" si="64"/>
        <v>320.08257546262871</v>
      </c>
      <c r="BB58" s="188">
        <f t="shared" si="64"/>
        <v>327.50130630655138</v>
      </c>
      <c r="BC58" s="187"/>
      <c r="BD58" s="188">
        <f t="shared" si="65"/>
        <v>2.3286185784749271</v>
      </c>
      <c r="BE58" s="188">
        <f t="shared" si="65"/>
        <v>2.414244128314877</v>
      </c>
      <c r="BF58" s="188">
        <f t="shared" si="65"/>
        <v>2.5286513585272092</v>
      </c>
      <c r="BG58" s="188">
        <f t="shared" si="65"/>
        <v>2.7876778347128019</v>
      </c>
      <c r="BH58" s="188">
        <f t="shared" si="65"/>
        <v>2.8460872128729875</v>
      </c>
    </row>
    <row r="59" spans="1:60" x14ac:dyDescent="0.3">
      <c r="A59" s="90" t="str">
        <f t="shared" si="53"/>
        <v>30-34</v>
      </c>
      <c r="B59" s="188">
        <f t="shared" si="54"/>
        <v>88.294623576316411</v>
      </c>
      <c r="C59" s="188">
        <f t="shared" si="54"/>
        <v>89.184182813705448</v>
      </c>
      <c r="D59" s="188">
        <f t="shared" si="54"/>
        <v>78.82086492460455</v>
      </c>
      <c r="E59" s="188">
        <f t="shared" si="54"/>
        <v>73.409248466261431</v>
      </c>
      <c r="F59" s="188">
        <f t="shared" si="54"/>
        <v>62.433211012240555</v>
      </c>
      <c r="G59" s="187"/>
      <c r="H59" s="188">
        <f t="shared" si="55"/>
        <v>28.30985950772898</v>
      </c>
      <c r="I59" s="188">
        <f t="shared" si="55"/>
        <v>28.523912034677551</v>
      </c>
      <c r="J59" s="188">
        <f t="shared" si="55"/>
        <v>25.261997348079788</v>
      </c>
      <c r="K59" s="188">
        <f t="shared" si="55"/>
        <v>23.527246978251746</v>
      </c>
      <c r="L59" s="188">
        <f t="shared" si="55"/>
        <v>20.017532858379102</v>
      </c>
      <c r="M59" s="187"/>
      <c r="N59" s="188">
        <f t="shared" si="56"/>
        <v>59.984764068587438</v>
      </c>
      <c r="O59" s="188">
        <f t="shared" si="56"/>
        <v>60.660270779027904</v>
      </c>
      <c r="P59" s="188">
        <f t="shared" si="56"/>
        <v>53.558867576524761</v>
      </c>
      <c r="Q59" s="188">
        <f t="shared" si="56"/>
        <v>49.882001488009664</v>
      </c>
      <c r="R59" s="188">
        <f t="shared" si="56"/>
        <v>42.41567815386145</v>
      </c>
      <c r="S59" s="187"/>
      <c r="T59" s="188">
        <f t="shared" si="57"/>
        <v>0</v>
      </c>
      <c r="U59" s="188">
        <f t="shared" si="57"/>
        <v>0</v>
      </c>
      <c r="V59" s="188">
        <f t="shared" si="57"/>
        <v>0</v>
      </c>
      <c r="W59" s="188">
        <f t="shared" si="57"/>
        <v>0</v>
      </c>
      <c r="X59" s="188">
        <f t="shared" si="57"/>
        <v>0</v>
      </c>
      <c r="Y59" s="90" t="str">
        <f t="shared" si="58"/>
        <v>30-34</v>
      </c>
      <c r="Z59" s="188">
        <f t="shared" si="59"/>
        <v>252.02853262692997</v>
      </c>
      <c r="AA59" s="188">
        <f t="shared" si="59"/>
        <v>241.95757229192009</v>
      </c>
      <c r="AB59" s="188">
        <f t="shared" si="59"/>
        <v>250.36416862690376</v>
      </c>
      <c r="AC59" s="188">
        <f t="shared" si="59"/>
        <v>260.01917178438288</v>
      </c>
      <c r="AD59" s="188">
        <f t="shared" si="59"/>
        <v>277.87154542964436</v>
      </c>
      <c r="AE59" s="187"/>
      <c r="AF59" s="188">
        <f t="shared" si="60"/>
        <v>233.37617479742303</v>
      </c>
      <c r="AG59" s="188">
        <f t="shared" si="60"/>
        <v>224.1436906659363</v>
      </c>
      <c r="AH59" s="188">
        <f t="shared" si="60"/>
        <v>231.98013090632361</v>
      </c>
      <c r="AI59" s="188">
        <f t="shared" si="60"/>
        <v>240.99879756210669</v>
      </c>
      <c r="AJ59" s="188">
        <f t="shared" si="60"/>
        <v>257.66322853004982</v>
      </c>
      <c r="AK59" s="187"/>
      <c r="AL59" s="188">
        <f t="shared" si="61"/>
        <v>18.65235782950694</v>
      </c>
      <c r="AM59" s="188">
        <f t="shared" si="61"/>
        <v>17.813881625983782</v>
      </c>
      <c r="AN59" s="188">
        <f t="shared" si="61"/>
        <v>18.384037720580174</v>
      </c>
      <c r="AO59" s="188">
        <f t="shared" si="61"/>
        <v>19.02037422227616</v>
      </c>
      <c r="AP59" s="188">
        <f t="shared" si="61"/>
        <v>20.208316899594564</v>
      </c>
      <c r="AQ59" s="90" t="str">
        <f t="shared" si="62"/>
        <v>30-34</v>
      </c>
      <c r="AR59" s="188">
        <f t="shared" si="63"/>
        <v>280.69384379675364</v>
      </c>
      <c r="AS59" s="188">
        <f t="shared" si="63"/>
        <v>298.74624489437451</v>
      </c>
      <c r="AT59" s="188">
        <f t="shared" si="63"/>
        <v>315.83096644849167</v>
      </c>
      <c r="AU59" s="188">
        <f t="shared" si="63"/>
        <v>342.31857974935576</v>
      </c>
      <c r="AV59" s="188">
        <f t="shared" si="63"/>
        <v>384.08524355811511</v>
      </c>
      <c r="AW59" s="187"/>
      <c r="AX59" s="188">
        <f t="shared" si="64"/>
        <v>275.62991148902091</v>
      </c>
      <c r="AY59" s="188">
        <f t="shared" si="64"/>
        <v>293.35345054546065</v>
      </c>
      <c r="AZ59" s="188">
        <f t="shared" si="64"/>
        <v>310.17909296528001</v>
      </c>
      <c r="BA59" s="188">
        <f t="shared" si="64"/>
        <v>336.2348278556392</v>
      </c>
      <c r="BB59" s="188">
        <f t="shared" si="64"/>
        <v>377.23616137901718</v>
      </c>
      <c r="BC59" s="187"/>
      <c r="BD59" s="188">
        <f t="shared" si="65"/>
        <v>5.063932307732685</v>
      </c>
      <c r="BE59" s="188">
        <f t="shared" si="65"/>
        <v>5.3927943489138421</v>
      </c>
      <c r="BF59" s="188">
        <f t="shared" si="65"/>
        <v>5.6518734832116824</v>
      </c>
      <c r="BG59" s="188">
        <f t="shared" si="65"/>
        <v>6.0837518937165616</v>
      </c>
      <c r="BH59" s="188">
        <f t="shared" si="65"/>
        <v>6.8490821790979144</v>
      </c>
    </row>
    <row r="60" spans="1:60" x14ac:dyDescent="0.3">
      <c r="A60" s="90" t="str">
        <f t="shared" si="53"/>
        <v>35-39</v>
      </c>
      <c r="B60" s="188">
        <f t="shared" si="54"/>
        <v>116.40573165092457</v>
      </c>
      <c r="C60" s="188">
        <f t="shared" si="54"/>
        <v>111.62087650319086</v>
      </c>
      <c r="D60" s="188">
        <f t="shared" si="54"/>
        <v>87.010674497835979</v>
      </c>
      <c r="E60" s="188">
        <f t="shared" si="54"/>
        <v>72.169455639072808</v>
      </c>
      <c r="F60" s="188">
        <f t="shared" si="54"/>
        <v>56.078787071994824</v>
      </c>
      <c r="G60" s="187"/>
      <c r="H60" s="188">
        <f t="shared" si="55"/>
        <v>35.263117567908004</v>
      </c>
      <c r="I60" s="188">
        <f t="shared" si="55"/>
        <v>33.826936328651151</v>
      </c>
      <c r="J60" s="188">
        <f t="shared" si="55"/>
        <v>26.372888660399127</v>
      </c>
      <c r="K60" s="188">
        <f t="shared" si="55"/>
        <v>21.873558995262968</v>
      </c>
      <c r="L60" s="188">
        <f t="shared" si="55"/>
        <v>16.999346797068803</v>
      </c>
      <c r="M60" s="187"/>
      <c r="N60" s="188">
        <f t="shared" si="56"/>
        <v>81.142614083016582</v>
      </c>
      <c r="O60" s="188">
        <f t="shared" si="56"/>
        <v>77.793940174539699</v>
      </c>
      <c r="P60" s="188">
        <f t="shared" si="56"/>
        <v>60.637785837436844</v>
      </c>
      <c r="Q60" s="188">
        <f t="shared" si="56"/>
        <v>50.29589664380984</v>
      </c>
      <c r="R60" s="188">
        <f t="shared" si="56"/>
        <v>39.079440274926021</v>
      </c>
      <c r="S60" s="187"/>
      <c r="T60" s="188">
        <f t="shared" si="57"/>
        <v>0</v>
      </c>
      <c r="U60" s="188">
        <f t="shared" si="57"/>
        <v>0</v>
      </c>
      <c r="V60" s="188">
        <f t="shared" si="57"/>
        <v>0</v>
      </c>
      <c r="W60" s="188">
        <f t="shared" si="57"/>
        <v>0</v>
      </c>
      <c r="X60" s="188">
        <f t="shared" si="57"/>
        <v>0</v>
      </c>
      <c r="Y60" s="90" t="str">
        <f t="shared" si="58"/>
        <v>35-39</v>
      </c>
      <c r="Z60" s="188">
        <f t="shared" si="59"/>
        <v>292.69516984616689</v>
      </c>
      <c r="AA60" s="188">
        <f t="shared" si="59"/>
        <v>264.43124011815416</v>
      </c>
      <c r="AB60" s="188">
        <f t="shared" si="59"/>
        <v>249.36383456629306</v>
      </c>
      <c r="AC60" s="188">
        <f t="shared" si="59"/>
        <v>265.62693121403328</v>
      </c>
      <c r="AD60" s="188">
        <f t="shared" si="59"/>
        <v>281.01300955525153</v>
      </c>
      <c r="AE60" s="187"/>
      <c r="AF60" s="188">
        <f t="shared" si="60"/>
        <v>274.90708265744615</v>
      </c>
      <c r="AG60" s="188">
        <f t="shared" si="60"/>
        <v>248.33674178769135</v>
      </c>
      <c r="AH60" s="188">
        <f t="shared" si="60"/>
        <v>234.22524163699583</v>
      </c>
      <c r="AI60" s="188">
        <f t="shared" si="60"/>
        <v>249.52613818829445</v>
      </c>
      <c r="AJ60" s="188">
        <f t="shared" si="60"/>
        <v>264.00561865600736</v>
      </c>
      <c r="AK60" s="187"/>
      <c r="AL60" s="188">
        <f t="shared" si="61"/>
        <v>17.788087188720716</v>
      </c>
      <c r="AM60" s="188">
        <f t="shared" si="61"/>
        <v>16.094498330462777</v>
      </c>
      <c r="AN60" s="188">
        <f t="shared" si="61"/>
        <v>15.138592929297266</v>
      </c>
      <c r="AO60" s="188">
        <f t="shared" si="61"/>
        <v>16.100793025738767</v>
      </c>
      <c r="AP60" s="188">
        <f t="shared" si="61"/>
        <v>17.007390899244211</v>
      </c>
      <c r="AQ60" s="90" t="str">
        <f t="shared" si="62"/>
        <v>35-39</v>
      </c>
      <c r="AR60" s="188">
        <f t="shared" si="63"/>
        <v>271.17009850290862</v>
      </c>
      <c r="AS60" s="188">
        <f t="shared" si="63"/>
        <v>299.350883378655</v>
      </c>
      <c r="AT60" s="188">
        <f t="shared" si="63"/>
        <v>309.54249093587089</v>
      </c>
      <c r="AU60" s="188">
        <f t="shared" si="63"/>
        <v>347.30661314689394</v>
      </c>
      <c r="AV60" s="188">
        <f t="shared" si="63"/>
        <v>383.85620337275361</v>
      </c>
      <c r="AW60" s="187"/>
      <c r="AX60" s="188">
        <f t="shared" si="64"/>
        <v>266.39031937491359</v>
      </c>
      <c r="AY60" s="188">
        <f t="shared" si="64"/>
        <v>294.09970734798696</v>
      </c>
      <c r="AZ60" s="188">
        <f t="shared" si="64"/>
        <v>304.18685308252333</v>
      </c>
      <c r="BA60" s="188">
        <f t="shared" si="64"/>
        <v>341.32613291295013</v>
      </c>
      <c r="BB60" s="188">
        <f t="shared" si="64"/>
        <v>377.26357305597628</v>
      </c>
      <c r="BC60" s="187"/>
      <c r="BD60" s="188">
        <f t="shared" si="65"/>
        <v>4.7797791279950284</v>
      </c>
      <c r="BE60" s="188">
        <f t="shared" si="65"/>
        <v>5.2511760306679776</v>
      </c>
      <c r="BF60" s="188">
        <f t="shared" si="65"/>
        <v>5.3556378533475719</v>
      </c>
      <c r="BG60" s="188">
        <f t="shared" si="65"/>
        <v>5.9804802339438368</v>
      </c>
      <c r="BH60" s="188">
        <f t="shared" si="65"/>
        <v>6.5926303167773872</v>
      </c>
    </row>
    <row r="61" spans="1:60" x14ac:dyDescent="0.3">
      <c r="A61" s="90" t="str">
        <f t="shared" si="53"/>
        <v>40-44</v>
      </c>
      <c r="B61" s="188">
        <f t="shared" si="54"/>
        <v>156.26741886428681</v>
      </c>
      <c r="C61" s="188">
        <f t="shared" si="54"/>
        <v>138.06633532257501</v>
      </c>
      <c r="D61" s="188">
        <f t="shared" si="54"/>
        <v>102.04230405027101</v>
      </c>
      <c r="E61" s="188">
        <f t="shared" si="54"/>
        <v>72.607670352464169</v>
      </c>
      <c r="F61" s="188">
        <f t="shared" si="54"/>
        <v>53.870397558877769</v>
      </c>
      <c r="G61" s="187"/>
      <c r="H61" s="188">
        <f t="shared" si="55"/>
        <v>49.7957894254127</v>
      </c>
      <c r="I61" s="188">
        <f t="shared" si="55"/>
        <v>43.898270250594351</v>
      </c>
      <c r="J61" s="188">
        <f t="shared" si="55"/>
        <v>32.409044993954737</v>
      </c>
      <c r="K61" s="188">
        <f t="shared" si="55"/>
        <v>23.036152368803652</v>
      </c>
      <c r="L61" s="188">
        <f t="shared" si="55"/>
        <v>17.053911147098564</v>
      </c>
      <c r="M61" s="187"/>
      <c r="N61" s="188">
        <f t="shared" si="56"/>
        <v>106.47162943887409</v>
      </c>
      <c r="O61" s="188">
        <f t="shared" si="56"/>
        <v>94.168065071980649</v>
      </c>
      <c r="P61" s="188">
        <f t="shared" si="56"/>
        <v>69.633259056316291</v>
      </c>
      <c r="Q61" s="188">
        <f t="shared" si="56"/>
        <v>49.571517983660513</v>
      </c>
      <c r="R61" s="188">
        <f t="shared" si="56"/>
        <v>36.816486411779202</v>
      </c>
      <c r="S61" s="187"/>
      <c r="T61" s="188">
        <f t="shared" si="57"/>
        <v>0</v>
      </c>
      <c r="U61" s="188">
        <f t="shared" si="57"/>
        <v>0</v>
      </c>
      <c r="V61" s="188">
        <f t="shared" si="57"/>
        <v>0</v>
      </c>
      <c r="W61" s="188">
        <f t="shared" si="57"/>
        <v>0</v>
      </c>
      <c r="X61" s="188">
        <f t="shared" si="57"/>
        <v>0</v>
      </c>
      <c r="Y61" s="90" t="str">
        <f t="shared" si="58"/>
        <v>40-44</v>
      </c>
      <c r="Z61" s="188">
        <f t="shared" si="59"/>
        <v>297.53049844792429</v>
      </c>
      <c r="AA61" s="188">
        <f t="shared" si="59"/>
        <v>279.21152782576593</v>
      </c>
      <c r="AB61" s="188">
        <f t="shared" si="59"/>
        <v>264.15997152705989</v>
      </c>
      <c r="AC61" s="188">
        <f t="shared" si="59"/>
        <v>265.769688987834</v>
      </c>
      <c r="AD61" s="188">
        <f t="shared" si="59"/>
        <v>285.38300501207038</v>
      </c>
      <c r="AE61" s="187"/>
      <c r="AF61" s="188">
        <f t="shared" si="60"/>
        <v>281.6051488677208</v>
      </c>
      <c r="AG61" s="188">
        <f t="shared" si="60"/>
        <v>264.27565335337636</v>
      </c>
      <c r="AH61" s="188">
        <f t="shared" si="60"/>
        <v>250.06064702096575</v>
      </c>
      <c r="AI61" s="188">
        <f t="shared" si="60"/>
        <v>251.59948400746447</v>
      </c>
      <c r="AJ61" s="188">
        <f t="shared" si="60"/>
        <v>270.1868670204085</v>
      </c>
      <c r="AK61" s="187"/>
      <c r="AL61" s="188">
        <f t="shared" si="61"/>
        <v>15.925349580203488</v>
      </c>
      <c r="AM61" s="188">
        <f t="shared" si="61"/>
        <v>14.935874472389486</v>
      </c>
      <c r="AN61" s="188">
        <f t="shared" si="61"/>
        <v>14.099324506094138</v>
      </c>
      <c r="AO61" s="188">
        <f t="shared" si="61"/>
        <v>14.170204980369528</v>
      </c>
      <c r="AP61" s="188">
        <f t="shared" si="61"/>
        <v>15.196137991661878</v>
      </c>
      <c r="AQ61" s="90" t="str">
        <f t="shared" si="62"/>
        <v>40-44</v>
      </c>
      <c r="AR61" s="188">
        <f t="shared" si="63"/>
        <v>254.53008268778893</v>
      </c>
      <c r="AS61" s="188">
        <f t="shared" si="63"/>
        <v>277.04113685165908</v>
      </c>
      <c r="AT61" s="188">
        <f t="shared" si="63"/>
        <v>302.03972442266905</v>
      </c>
      <c r="AU61" s="188">
        <f t="shared" si="63"/>
        <v>315.32964065970185</v>
      </c>
      <c r="AV61" s="188">
        <f t="shared" si="63"/>
        <v>349.0545974290518</v>
      </c>
      <c r="AW61" s="187"/>
      <c r="AX61" s="188">
        <f t="shared" si="64"/>
        <v>250.24828407721705</v>
      </c>
      <c r="AY61" s="188">
        <f t="shared" si="64"/>
        <v>272.4224484468516</v>
      </c>
      <c r="AZ61" s="188">
        <f t="shared" si="64"/>
        <v>297.01618494130969</v>
      </c>
      <c r="BA61" s="188">
        <f t="shared" si="64"/>
        <v>310.0976851562209</v>
      </c>
      <c r="BB61" s="188">
        <f t="shared" si="64"/>
        <v>343.26501484324086</v>
      </c>
      <c r="BC61" s="187"/>
      <c r="BD61" s="188">
        <f t="shared" si="65"/>
        <v>4.2817986105719035</v>
      </c>
      <c r="BE61" s="188">
        <f t="shared" si="65"/>
        <v>4.6186884048075676</v>
      </c>
      <c r="BF61" s="188">
        <f t="shared" si="65"/>
        <v>5.0235394813593235</v>
      </c>
      <c r="BG61" s="188">
        <f t="shared" si="65"/>
        <v>5.2319555034809255</v>
      </c>
      <c r="BH61" s="188">
        <f t="shared" si="65"/>
        <v>5.7895825858109662</v>
      </c>
    </row>
    <row r="62" spans="1:60" x14ac:dyDescent="0.3">
      <c r="A62" s="90" t="str">
        <f t="shared" si="53"/>
        <v>45-49</v>
      </c>
      <c r="B62" s="188">
        <f t="shared" si="54"/>
        <v>192.10532237663983</v>
      </c>
      <c r="C62" s="188">
        <f t="shared" si="54"/>
        <v>181.7014990686323</v>
      </c>
      <c r="D62" s="188">
        <f t="shared" si="54"/>
        <v>125.84366969436242</v>
      </c>
      <c r="E62" s="188">
        <f t="shared" si="54"/>
        <v>94.413771810554039</v>
      </c>
      <c r="F62" s="188">
        <f t="shared" si="54"/>
        <v>69.482068956144474</v>
      </c>
      <c r="G62" s="187"/>
      <c r="H62" s="188">
        <f t="shared" si="55"/>
        <v>63.114524104301118</v>
      </c>
      <c r="I62" s="188">
        <f t="shared" si="55"/>
        <v>59.680357878773279</v>
      </c>
      <c r="J62" s="188">
        <f t="shared" si="55"/>
        <v>41.135830568231285</v>
      </c>
      <c r="K62" s="188">
        <f t="shared" si="55"/>
        <v>30.734675124538327</v>
      </c>
      <c r="L62" s="188">
        <f t="shared" si="55"/>
        <v>22.525760365918362</v>
      </c>
      <c r="M62" s="187"/>
      <c r="N62" s="188">
        <f t="shared" si="56"/>
        <v>128.99079827233871</v>
      </c>
      <c r="O62" s="188">
        <f t="shared" si="56"/>
        <v>122.02114118985901</v>
      </c>
      <c r="P62" s="188">
        <f t="shared" si="56"/>
        <v>84.707839126131134</v>
      </c>
      <c r="Q62" s="188">
        <f t="shared" si="56"/>
        <v>63.679096686015725</v>
      </c>
      <c r="R62" s="188">
        <f t="shared" si="56"/>
        <v>46.956308590226101</v>
      </c>
      <c r="S62" s="187"/>
      <c r="T62" s="188">
        <f t="shared" si="57"/>
        <v>0</v>
      </c>
      <c r="U62" s="188">
        <f t="shared" si="57"/>
        <v>0</v>
      </c>
      <c r="V62" s="188">
        <f t="shared" si="57"/>
        <v>0</v>
      </c>
      <c r="W62" s="188">
        <f t="shared" si="57"/>
        <v>0</v>
      </c>
      <c r="X62" s="188">
        <f t="shared" si="57"/>
        <v>0</v>
      </c>
      <c r="Y62" s="90" t="str">
        <f t="shared" si="58"/>
        <v>45-49</v>
      </c>
      <c r="Z62" s="188">
        <f t="shared" si="59"/>
        <v>259.3931665564873</v>
      </c>
      <c r="AA62" s="188">
        <f t="shared" si="59"/>
        <v>259.85569110569543</v>
      </c>
      <c r="AB62" s="188">
        <f t="shared" si="59"/>
        <v>276.06033600610709</v>
      </c>
      <c r="AC62" s="188">
        <f t="shared" si="59"/>
        <v>283.54672387522641</v>
      </c>
      <c r="AD62" s="188">
        <f t="shared" si="59"/>
        <v>287.849736988811</v>
      </c>
      <c r="AE62" s="187"/>
      <c r="AF62" s="188">
        <f t="shared" si="60"/>
        <v>247.30603323034916</v>
      </c>
      <c r="AG62" s="188">
        <f t="shared" si="60"/>
        <v>247.7788871489098</v>
      </c>
      <c r="AH62" s="188">
        <f t="shared" si="60"/>
        <v>263.21646229283618</v>
      </c>
      <c r="AI62" s="188">
        <f t="shared" si="60"/>
        <v>270.34872282364341</v>
      </c>
      <c r="AJ62" s="188">
        <f t="shared" si="60"/>
        <v>274.44279780539426</v>
      </c>
      <c r="AK62" s="187"/>
      <c r="AL62" s="188">
        <f t="shared" si="61"/>
        <v>12.087133326138117</v>
      </c>
      <c r="AM62" s="188">
        <f t="shared" si="61"/>
        <v>12.076803956785602</v>
      </c>
      <c r="AN62" s="188">
        <f t="shared" si="61"/>
        <v>12.84387371327092</v>
      </c>
      <c r="AO62" s="188">
        <f t="shared" si="61"/>
        <v>13.198001051582985</v>
      </c>
      <c r="AP62" s="188">
        <f t="shared" si="61"/>
        <v>13.40693918341676</v>
      </c>
      <c r="AQ62" s="90" t="str">
        <f t="shared" si="62"/>
        <v>45-49</v>
      </c>
      <c r="AR62" s="188">
        <f t="shared" si="63"/>
        <v>233.19851106687287</v>
      </c>
      <c r="AS62" s="188">
        <f t="shared" si="63"/>
        <v>255.42780982567223</v>
      </c>
      <c r="AT62" s="188">
        <f t="shared" si="63"/>
        <v>278.84899429953055</v>
      </c>
      <c r="AU62" s="188">
        <f t="shared" si="63"/>
        <v>292.33350431421957</v>
      </c>
      <c r="AV62" s="188">
        <f t="shared" si="63"/>
        <v>302.44819405504461</v>
      </c>
      <c r="AW62" s="187"/>
      <c r="AX62" s="188">
        <f t="shared" si="64"/>
        <v>228.81453920689103</v>
      </c>
      <c r="AY62" s="188">
        <f t="shared" si="64"/>
        <v>250.65558136759938</v>
      </c>
      <c r="AZ62" s="188">
        <f t="shared" si="64"/>
        <v>273.711876568962</v>
      </c>
      <c r="BA62" s="188">
        <f t="shared" si="64"/>
        <v>286.97795838324782</v>
      </c>
      <c r="BB62" s="188">
        <f t="shared" si="64"/>
        <v>296.93591992657696</v>
      </c>
      <c r="BC62" s="187"/>
      <c r="BD62" s="188">
        <f t="shared" si="65"/>
        <v>4.3839718599818829</v>
      </c>
      <c r="BE62" s="188">
        <f t="shared" si="65"/>
        <v>4.7722284580728216</v>
      </c>
      <c r="BF62" s="188">
        <f t="shared" si="65"/>
        <v>5.1371177305685114</v>
      </c>
      <c r="BG62" s="188">
        <f t="shared" si="65"/>
        <v>5.3555459309717897</v>
      </c>
      <c r="BH62" s="188">
        <f t="shared" si="65"/>
        <v>5.5122741284676167</v>
      </c>
    </row>
    <row r="63" spans="1:60" x14ac:dyDescent="0.3">
      <c r="A63" s="90" t="str">
        <f t="shared" si="53"/>
        <v>50-54</v>
      </c>
      <c r="B63" s="188">
        <f t="shared" si="54"/>
        <v>185.40604857322711</v>
      </c>
      <c r="C63" s="188">
        <f t="shared" si="54"/>
        <v>192.72292557560411</v>
      </c>
      <c r="D63" s="188">
        <f t="shared" si="54"/>
        <v>162.16719193834749</v>
      </c>
      <c r="E63" s="188">
        <f t="shared" si="54"/>
        <v>133.41410305220273</v>
      </c>
      <c r="F63" s="188">
        <f t="shared" si="54"/>
        <v>106.3528116102037</v>
      </c>
      <c r="G63" s="187"/>
      <c r="H63" s="188">
        <f t="shared" si="55"/>
        <v>66.691082872087563</v>
      </c>
      <c r="I63" s="188">
        <f t="shared" si="55"/>
        <v>69.308339401755902</v>
      </c>
      <c r="J63" s="188">
        <f t="shared" si="55"/>
        <v>58.294203339386414</v>
      </c>
      <c r="K63" s="188">
        <f t="shared" si="55"/>
        <v>47.904759864066669</v>
      </c>
      <c r="L63" s="188">
        <f t="shared" si="55"/>
        <v>38.151642732729172</v>
      </c>
      <c r="M63" s="187"/>
      <c r="N63" s="188">
        <f t="shared" si="56"/>
        <v>118.71496570113956</v>
      </c>
      <c r="O63" s="188">
        <f t="shared" si="56"/>
        <v>123.41458617384822</v>
      </c>
      <c r="P63" s="188">
        <f t="shared" si="56"/>
        <v>103.87298859896106</v>
      </c>
      <c r="Q63" s="188">
        <f t="shared" si="56"/>
        <v>85.509343188136071</v>
      </c>
      <c r="R63" s="188">
        <f t="shared" si="56"/>
        <v>68.201168877474544</v>
      </c>
      <c r="S63" s="187"/>
      <c r="T63" s="188">
        <f t="shared" si="57"/>
        <v>0</v>
      </c>
      <c r="U63" s="188">
        <f t="shared" si="57"/>
        <v>0</v>
      </c>
      <c r="V63" s="188">
        <f t="shared" si="57"/>
        <v>0</v>
      </c>
      <c r="W63" s="188">
        <f t="shared" si="57"/>
        <v>0</v>
      </c>
      <c r="X63" s="188">
        <f t="shared" si="57"/>
        <v>0</v>
      </c>
      <c r="Y63" s="90" t="str">
        <f t="shared" si="58"/>
        <v>50-54</v>
      </c>
      <c r="Z63" s="188">
        <f t="shared" si="59"/>
        <v>200.15705088001573</v>
      </c>
      <c r="AA63" s="188">
        <f t="shared" si="59"/>
        <v>218.54573674510601</v>
      </c>
      <c r="AB63" s="188">
        <f t="shared" si="59"/>
        <v>239.21960647496348</v>
      </c>
      <c r="AC63" s="188">
        <f t="shared" si="59"/>
        <v>257.81605841504751</v>
      </c>
      <c r="AD63" s="188">
        <f t="shared" si="59"/>
        <v>271.65581059286012</v>
      </c>
      <c r="AE63" s="187"/>
      <c r="AF63" s="188">
        <f t="shared" si="60"/>
        <v>190.04078964826027</v>
      </c>
      <c r="AG63" s="188">
        <f t="shared" si="60"/>
        <v>207.46488432579588</v>
      </c>
      <c r="AH63" s="188">
        <f t="shared" si="60"/>
        <v>227.09664617165495</v>
      </c>
      <c r="AI63" s="188">
        <f t="shared" si="60"/>
        <v>244.71475666454</v>
      </c>
      <c r="AJ63" s="188">
        <f t="shared" si="60"/>
        <v>257.79476785525156</v>
      </c>
      <c r="AK63" s="187"/>
      <c r="AL63" s="188">
        <f t="shared" si="61"/>
        <v>10.116261231755457</v>
      </c>
      <c r="AM63" s="188">
        <f t="shared" si="61"/>
        <v>11.080852419310158</v>
      </c>
      <c r="AN63" s="188">
        <f t="shared" si="61"/>
        <v>12.122960303308531</v>
      </c>
      <c r="AO63" s="188">
        <f t="shared" si="61"/>
        <v>13.101301750507519</v>
      </c>
      <c r="AP63" s="188">
        <f t="shared" si="61"/>
        <v>13.861042737608585</v>
      </c>
      <c r="AQ63" s="90" t="str">
        <f t="shared" si="62"/>
        <v>50-54</v>
      </c>
      <c r="AR63" s="188">
        <f t="shared" si="63"/>
        <v>172.51190054675715</v>
      </c>
      <c r="AS63" s="188">
        <f t="shared" si="63"/>
        <v>201.44733767928977</v>
      </c>
      <c r="AT63" s="188">
        <f t="shared" si="63"/>
        <v>243.89220158668905</v>
      </c>
      <c r="AU63" s="188">
        <f t="shared" si="63"/>
        <v>263.09583853274978</v>
      </c>
      <c r="AV63" s="188">
        <f t="shared" si="63"/>
        <v>278.2843777969361</v>
      </c>
      <c r="AW63" s="187"/>
      <c r="AX63" s="188">
        <f t="shared" si="64"/>
        <v>168.88787751101148</v>
      </c>
      <c r="AY63" s="188">
        <f t="shared" si="64"/>
        <v>197.35794837642953</v>
      </c>
      <c r="AZ63" s="188">
        <f t="shared" si="64"/>
        <v>238.9340888070729</v>
      </c>
      <c r="BA63" s="188">
        <f t="shared" si="64"/>
        <v>257.81671276903228</v>
      </c>
      <c r="BB63" s="188">
        <f t="shared" si="64"/>
        <v>272.79729732120262</v>
      </c>
      <c r="BC63" s="187"/>
      <c r="BD63" s="188">
        <f t="shared" si="65"/>
        <v>3.6240230357456578</v>
      </c>
      <c r="BE63" s="188">
        <f t="shared" si="65"/>
        <v>4.0893893028602495</v>
      </c>
      <c r="BF63" s="188">
        <f t="shared" si="65"/>
        <v>4.958112779616183</v>
      </c>
      <c r="BG63" s="188">
        <f t="shared" si="65"/>
        <v>5.2791257637175608</v>
      </c>
      <c r="BH63" s="188">
        <f t="shared" si="65"/>
        <v>5.4870804757334763</v>
      </c>
    </row>
    <row r="64" spans="1:60" x14ac:dyDescent="0.3">
      <c r="A64" s="90" t="str">
        <f t="shared" si="53"/>
        <v>55-59</v>
      </c>
      <c r="B64" s="188">
        <f t="shared" si="54"/>
        <v>118.1352024705036</v>
      </c>
      <c r="C64" s="188">
        <f t="shared" si="54"/>
        <v>125.51688761373863</v>
      </c>
      <c r="D64" s="188">
        <f t="shared" si="54"/>
        <v>135.69347634171973</v>
      </c>
      <c r="E64" s="188">
        <f t="shared" si="54"/>
        <v>127.61999627132217</v>
      </c>
      <c r="F64" s="188">
        <f t="shared" si="54"/>
        <v>103.83680807778796</v>
      </c>
      <c r="G64" s="187"/>
      <c r="H64" s="188">
        <f t="shared" si="55"/>
        <v>47.020085047969616</v>
      </c>
      <c r="I64" s="188">
        <f t="shared" si="55"/>
        <v>49.942017947737568</v>
      </c>
      <c r="J64" s="188">
        <f t="shared" si="55"/>
        <v>53.996980542501134</v>
      </c>
      <c r="K64" s="188">
        <f t="shared" si="55"/>
        <v>50.765369807184982</v>
      </c>
      <c r="L64" s="188">
        <f t="shared" si="55"/>
        <v>41.29898124275995</v>
      </c>
      <c r="M64" s="187"/>
      <c r="N64" s="188">
        <f t="shared" si="56"/>
        <v>71.115117422534013</v>
      </c>
      <c r="O64" s="188">
        <f t="shared" si="56"/>
        <v>75.574869666001078</v>
      </c>
      <c r="P64" s="188">
        <f t="shared" si="56"/>
        <v>81.696495799218582</v>
      </c>
      <c r="Q64" s="188">
        <f t="shared" si="56"/>
        <v>76.854626464137169</v>
      </c>
      <c r="R64" s="188">
        <f t="shared" si="56"/>
        <v>62.537826835028014</v>
      </c>
      <c r="S64" s="187"/>
      <c r="T64" s="188">
        <f t="shared" si="57"/>
        <v>0</v>
      </c>
      <c r="U64" s="188">
        <f t="shared" si="57"/>
        <v>0</v>
      </c>
      <c r="V64" s="188">
        <f t="shared" si="57"/>
        <v>0</v>
      </c>
      <c r="W64" s="188">
        <f t="shared" si="57"/>
        <v>0</v>
      </c>
      <c r="X64" s="188">
        <f t="shared" si="57"/>
        <v>0</v>
      </c>
      <c r="Y64" s="90" t="str">
        <f t="shared" si="58"/>
        <v>55-59</v>
      </c>
      <c r="Z64" s="188">
        <f t="shared" si="59"/>
        <v>122.81319674265731</v>
      </c>
      <c r="AA64" s="188">
        <f t="shared" si="59"/>
        <v>127.76576484388534</v>
      </c>
      <c r="AB64" s="188">
        <f t="shared" si="59"/>
        <v>167.56934646025536</v>
      </c>
      <c r="AC64" s="188">
        <f t="shared" si="59"/>
        <v>201.55893986495374</v>
      </c>
      <c r="AD64" s="188">
        <f t="shared" si="59"/>
        <v>218.03560485524812</v>
      </c>
      <c r="AE64" s="187"/>
      <c r="AF64" s="188">
        <f t="shared" si="60"/>
        <v>115.33146461461402</v>
      </c>
      <c r="AG64" s="188">
        <f t="shared" si="60"/>
        <v>119.93869463814224</v>
      </c>
      <c r="AH64" s="188">
        <f t="shared" si="60"/>
        <v>157.20305952301629</v>
      </c>
      <c r="AI64" s="188">
        <f t="shared" si="60"/>
        <v>189.09467188304029</v>
      </c>
      <c r="AJ64" s="188">
        <f t="shared" si="60"/>
        <v>204.52603798057652</v>
      </c>
      <c r="AK64" s="187"/>
      <c r="AL64" s="188">
        <f t="shared" si="61"/>
        <v>7.4817321280432685</v>
      </c>
      <c r="AM64" s="188">
        <f t="shared" si="61"/>
        <v>7.8270702057431016</v>
      </c>
      <c r="AN64" s="188">
        <f t="shared" si="61"/>
        <v>10.366286937239055</v>
      </c>
      <c r="AO64" s="188">
        <f t="shared" si="61"/>
        <v>12.464267981913423</v>
      </c>
      <c r="AP64" s="188">
        <f t="shared" si="61"/>
        <v>13.509566874671609</v>
      </c>
      <c r="AQ64" s="90" t="str">
        <f t="shared" si="62"/>
        <v>55-59</v>
      </c>
      <c r="AR64" s="188">
        <f t="shared" si="63"/>
        <v>115.94160078683907</v>
      </c>
      <c r="AS64" s="188">
        <f t="shared" si="63"/>
        <v>135.51634754237602</v>
      </c>
      <c r="AT64" s="188">
        <f t="shared" si="63"/>
        <v>177.65217719802493</v>
      </c>
      <c r="AU64" s="188">
        <f t="shared" si="63"/>
        <v>208.31606386372408</v>
      </c>
      <c r="AV64" s="188">
        <f t="shared" si="63"/>
        <v>226.8625870669639</v>
      </c>
      <c r="AW64" s="187"/>
      <c r="AX64" s="188">
        <f t="shared" si="64"/>
        <v>112.73432150536409</v>
      </c>
      <c r="AY64" s="188">
        <f t="shared" si="64"/>
        <v>131.84828185573497</v>
      </c>
      <c r="AZ64" s="188">
        <f t="shared" si="64"/>
        <v>173.0031356627903</v>
      </c>
      <c r="BA64" s="188">
        <f t="shared" si="64"/>
        <v>202.93168009516813</v>
      </c>
      <c r="BB64" s="188">
        <f t="shared" si="64"/>
        <v>221.04132666504691</v>
      </c>
      <c r="BC64" s="187"/>
      <c r="BD64" s="188">
        <f t="shared" si="65"/>
        <v>3.2072792814749906</v>
      </c>
      <c r="BE64" s="188">
        <f t="shared" si="65"/>
        <v>3.6680656866410524</v>
      </c>
      <c r="BF64" s="188">
        <f t="shared" si="65"/>
        <v>4.6490415352346357</v>
      </c>
      <c r="BG64" s="188">
        <f t="shared" si="65"/>
        <v>5.3843837685559581</v>
      </c>
      <c r="BH64" s="188">
        <f t="shared" si="65"/>
        <v>5.8212604019169705</v>
      </c>
    </row>
    <row r="65" spans="1:60" x14ac:dyDescent="0.3">
      <c r="A65" s="90" t="str">
        <f t="shared" si="53"/>
        <v>60-64</v>
      </c>
      <c r="B65" s="188">
        <f t="shared" si="54"/>
        <v>35.823218463615042</v>
      </c>
      <c r="C65" s="188">
        <f t="shared" si="54"/>
        <v>44.494263253571226</v>
      </c>
      <c r="D65" s="188">
        <f t="shared" si="54"/>
        <v>41.613632960941956</v>
      </c>
      <c r="E65" s="188">
        <f t="shared" si="54"/>
        <v>40.934965671055551</v>
      </c>
      <c r="F65" s="188">
        <f t="shared" si="54"/>
        <v>35.667541570413341</v>
      </c>
      <c r="G65" s="187"/>
      <c r="H65" s="188">
        <f t="shared" si="55"/>
        <v>16.931856207862616</v>
      </c>
      <c r="I65" s="188">
        <f t="shared" si="55"/>
        <v>21.062717164219428</v>
      </c>
      <c r="J65" s="188">
        <f t="shared" si="55"/>
        <v>19.717624343517112</v>
      </c>
      <c r="K65" s="188">
        <f t="shared" si="55"/>
        <v>19.381394399502241</v>
      </c>
      <c r="L65" s="188">
        <f t="shared" si="55"/>
        <v>16.879614538550584</v>
      </c>
      <c r="M65" s="187"/>
      <c r="N65" s="188">
        <f t="shared" si="56"/>
        <v>18.891362255752426</v>
      </c>
      <c r="O65" s="188">
        <f t="shared" si="56"/>
        <v>23.431546089351805</v>
      </c>
      <c r="P65" s="188">
        <f t="shared" si="56"/>
        <v>21.89600861742484</v>
      </c>
      <c r="Q65" s="188">
        <f t="shared" si="56"/>
        <v>21.553571271553317</v>
      </c>
      <c r="R65" s="188">
        <f t="shared" si="56"/>
        <v>18.787927031862754</v>
      </c>
      <c r="S65" s="187"/>
      <c r="T65" s="188">
        <f t="shared" si="57"/>
        <v>0</v>
      </c>
      <c r="U65" s="188">
        <f t="shared" si="57"/>
        <v>0</v>
      </c>
      <c r="V65" s="188">
        <f t="shared" si="57"/>
        <v>0</v>
      </c>
      <c r="W65" s="188">
        <f t="shared" si="57"/>
        <v>0</v>
      </c>
      <c r="X65" s="188">
        <f t="shared" si="57"/>
        <v>0</v>
      </c>
      <c r="Y65" s="90" t="str">
        <f t="shared" si="58"/>
        <v>60-64</v>
      </c>
      <c r="Z65" s="188">
        <f t="shared" si="59"/>
        <v>31.343339667083313</v>
      </c>
      <c r="AA65" s="188">
        <f t="shared" si="59"/>
        <v>37.400907742954743</v>
      </c>
      <c r="AB65" s="188">
        <f t="shared" si="59"/>
        <v>50.777770478130293</v>
      </c>
      <c r="AC65" s="188">
        <f t="shared" si="59"/>
        <v>66.266094080470012</v>
      </c>
      <c r="AD65" s="188">
        <f t="shared" si="59"/>
        <v>80.260766484007178</v>
      </c>
      <c r="AE65" s="187"/>
      <c r="AF65" s="188">
        <f t="shared" si="60"/>
        <v>29.203027553951088</v>
      </c>
      <c r="AG65" s="188">
        <f t="shared" si="60"/>
        <v>34.871395449563813</v>
      </c>
      <c r="AH65" s="188">
        <f t="shared" si="60"/>
        <v>47.209555911882788</v>
      </c>
      <c r="AI65" s="188">
        <f t="shared" si="60"/>
        <v>61.600974211672487</v>
      </c>
      <c r="AJ65" s="188">
        <f t="shared" si="60"/>
        <v>74.607227360463867</v>
      </c>
      <c r="AK65" s="187"/>
      <c r="AL65" s="188">
        <f t="shared" si="61"/>
        <v>2.1403121131322234</v>
      </c>
      <c r="AM65" s="188">
        <f t="shared" si="61"/>
        <v>2.5295122933909324</v>
      </c>
      <c r="AN65" s="188">
        <f t="shared" si="61"/>
        <v>3.5682145662475118</v>
      </c>
      <c r="AO65" s="188">
        <f t="shared" si="61"/>
        <v>4.6651198687975111</v>
      </c>
      <c r="AP65" s="188">
        <f t="shared" si="61"/>
        <v>5.6535391235433075</v>
      </c>
      <c r="AQ65" s="90" t="str">
        <f t="shared" si="62"/>
        <v>60-64</v>
      </c>
      <c r="AR65" s="188">
        <f t="shared" si="63"/>
        <v>38.517441869301649</v>
      </c>
      <c r="AS65" s="188">
        <f t="shared" si="63"/>
        <v>53.191829003474027</v>
      </c>
      <c r="AT65" s="188">
        <f t="shared" si="63"/>
        <v>71.393596560927747</v>
      </c>
      <c r="AU65" s="188">
        <f t="shared" si="63"/>
        <v>92.303940248474447</v>
      </c>
      <c r="AV65" s="188">
        <f t="shared" si="63"/>
        <v>113.97169194557949</v>
      </c>
      <c r="AW65" s="187"/>
      <c r="AX65" s="188">
        <f t="shared" si="64"/>
        <v>35.940957081944205</v>
      </c>
      <c r="AY65" s="188">
        <f t="shared" si="64"/>
        <v>49.626732053099445</v>
      </c>
      <c r="AZ65" s="188">
        <f t="shared" si="64"/>
        <v>66.596362264723197</v>
      </c>
      <c r="BA65" s="188">
        <f t="shared" si="64"/>
        <v>86.098448390329622</v>
      </c>
      <c r="BB65" s="188">
        <f t="shared" si="64"/>
        <v>106.3052407990122</v>
      </c>
      <c r="BC65" s="187"/>
      <c r="BD65" s="188">
        <f t="shared" si="65"/>
        <v>2.5764847873574377</v>
      </c>
      <c r="BE65" s="188">
        <f t="shared" si="65"/>
        <v>3.5650969503745911</v>
      </c>
      <c r="BF65" s="188">
        <f t="shared" si="65"/>
        <v>4.7972342962045555</v>
      </c>
      <c r="BG65" s="188">
        <f t="shared" si="65"/>
        <v>6.2054918581448213</v>
      </c>
      <c r="BH65" s="188">
        <f t="shared" si="65"/>
        <v>7.6664511465673009</v>
      </c>
    </row>
    <row r="66" spans="1:60" x14ac:dyDescent="0.3">
      <c r="A66" s="90" t="str">
        <f t="shared" si="53"/>
        <v>65+</v>
      </c>
      <c r="B66" s="188">
        <f t="shared" si="54"/>
        <v>11.948741166199174</v>
      </c>
      <c r="C66" s="188">
        <f t="shared" si="54"/>
        <v>16.460486596644937</v>
      </c>
      <c r="D66" s="188">
        <f t="shared" si="54"/>
        <v>15.029015503825972</v>
      </c>
      <c r="E66" s="188">
        <f t="shared" si="54"/>
        <v>11.903183363129848</v>
      </c>
      <c r="F66" s="188">
        <f t="shared" si="54"/>
        <v>9.8474191476518342</v>
      </c>
      <c r="G66" s="187"/>
      <c r="H66" s="188">
        <f t="shared" si="55"/>
        <v>6.3754329809595625</v>
      </c>
      <c r="I66" s="188">
        <f t="shared" si="55"/>
        <v>8.5871560944185141</v>
      </c>
      <c r="J66" s="188">
        <f t="shared" si="55"/>
        <v>7.8803923797716067</v>
      </c>
      <c r="K66" s="188">
        <f t="shared" si="55"/>
        <v>6.2399183159193861</v>
      </c>
      <c r="L66" s="188">
        <f t="shared" si="55"/>
        <v>5.2069403181851044</v>
      </c>
      <c r="M66" s="187"/>
      <c r="N66" s="188">
        <f t="shared" si="56"/>
        <v>5.5733081852396102</v>
      </c>
      <c r="O66" s="188">
        <f t="shared" si="56"/>
        <v>7.8733305022264224</v>
      </c>
      <c r="P66" s="188">
        <f t="shared" si="56"/>
        <v>7.1486231240543656</v>
      </c>
      <c r="Q66" s="188">
        <f t="shared" si="56"/>
        <v>5.6632650472104613</v>
      </c>
      <c r="R66" s="188">
        <f t="shared" si="56"/>
        <v>4.6404788294667298</v>
      </c>
      <c r="S66" s="187"/>
      <c r="T66" s="188">
        <f t="shared" si="57"/>
        <v>0</v>
      </c>
      <c r="U66" s="188">
        <f t="shared" si="57"/>
        <v>0</v>
      </c>
      <c r="V66" s="188">
        <f t="shared" si="57"/>
        <v>0</v>
      </c>
      <c r="W66" s="188">
        <f t="shared" si="57"/>
        <v>0</v>
      </c>
      <c r="X66" s="188">
        <f t="shared" si="57"/>
        <v>0</v>
      </c>
      <c r="Y66" s="90" t="str">
        <f t="shared" si="58"/>
        <v>65+</v>
      </c>
      <c r="Z66" s="188">
        <f t="shared" si="59"/>
        <v>7.8240804156386137</v>
      </c>
      <c r="AA66" s="188">
        <f t="shared" si="59"/>
        <v>9.9119242988728669</v>
      </c>
      <c r="AB66" s="188">
        <f t="shared" si="59"/>
        <v>11.008756624618567</v>
      </c>
      <c r="AC66" s="188">
        <f t="shared" si="59"/>
        <v>12.01446121472337</v>
      </c>
      <c r="AD66" s="188">
        <f t="shared" si="59"/>
        <v>13.854293318978709</v>
      </c>
      <c r="AE66" s="187"/>
      <c r="AF66" s="188">
        <f t="shared" si="60"/>
        <v>6.9255035254653912</v>
      </c>
      <c r="AG66" s="188">
        <f t="shared" si="60"/>
        <v>8.7952137061175186</v>
      </c>
      <c r="AH66" s="188">
        <f t="shared" si="60"/>
        <v>9.7331452985061144</v>
      </c>
      <c r="AI66" s="188">
        <f t="shared" si="60"/>
        <v>10.624866696548906</v>
      </c>
      <c r="AJ66" s="188">
        <f t="shared" si="60"/>
        <v>12.275904221835862</v>
      </c>
      <c r="AK66" s="187"/>
      <c r="AL66" s="188">
        <f t="shared" si="61"/>
        <v>0.89857689017322329</v>
      </c>
      <c r="AM66" s="188">
        <f t="shared" si="61"/>
        <v>1.1167105927553487</v>
      </c>
      <c r="AN66" s="188">
        <f t="shared" si="61"/>
        <v>1.2756113261124509</v>
      </c>
      <c r="AO66" s="188">
        <f t="shared" si="61"/>
        <v>1.389594518174466</v>
      </c>
      <c r="AP66" s="188">
        <f t="shared" si="61"/>
        <v>1.5783890971428471</v>
      </c>
      <c r="AQ66" s="90" t="str">
        <f t="shared" si="62"/>
        <v>65+</v>
      </c>
      <c r="AR66" s="188">
        <f t="shared" si="63"/>
        <v>12.792178418162218</v>
      </c>
      <c r="AS66" s="188">
        <f t="shared" si="63"/>
        <v>12.19158910448219</v>
      </c>
      <c r="AT66" s="188">
        <f t="shared" si="63"/>
        <v>19.366227871555463</v>
      </c>
      <c r="AU66" s="188">
        <f t="shared" si="63"/>
        <v>23.78335542214678</v>
      </c>
      <c r="AV66" s="188">
        <f t="shared" si="63"/>
        <v>30.011287533369462</v>
      </c>
      <c r="AW66" s="187"/>
      <c r="AX66" s="188">
        <f t="shared" si="64"/>
        <v>12.010493229987055</v>
      </c>
      <c r="AY66" s="188">
        <f t="shared" si="64"/>
        <v>11.529560727743291</v>
      </c>
      <c r="AZ66" s="188">
        <f t="shared" si="64"/>
        <v>18.211272058470012</v>
      </c>
      <c r="BA66" s="188">
        <f t="shared" si="64"/>
        <v>22.381962071636803</v>
      </c>
      <c r="BB66" s="188">
        <f t="shared" si="64"/>
        <v>28.299382615392936</v>
      </c>
      <c r="BC66" s="187"/>
      <c r="BD66" s="188">
        <f t="shared" si="65"/>
        <v>0.78168518817516097</v>
      </c>
      <c r="BE66" s="188">
        <f t="shared" si="65"/>
        <v>0.66202837673890058</v>
      </c>
      <c r="BF66" s="188">
        <f t="shared" si="65"/>
        <v>1.1549558130854503</v>
      </c>
      <c r="BG66" s="188">
        <f t="shared" si="65"/>
        <v>1.4013933505099772</v>
      </c>
      <c r="BH66" s="188">
        <f t="shared" si="65"/>
        <v>1.7119049179765302</v>
      </c>
    </row>
    <row r="67" spans="1:60" x14ac:dyDescent="0.3">
      <c r="B67" s="188"/>
      <c r="C67" s="188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93"/>
      <c r="U67" s="93"/>
      <c r="V67" s="93"/>
      <c r="W67" s="93"/>
      <c r="X67" s="93"/>
      <c r="Z67" s="188"/>
      <c r="AA67" s="188"/>
      <c r="AB67" s="187"/>
      <c r="AC67" s="187"/>
      <c r="AD67" s="187"/>
      <c r="AE67" s="187"/>
      <c r="AF67" s="187"/>
      <c r="AG67" s="187"/>
      <c r="AH67" s="187"/>
      <c r="AI67" s="187"/>
      <c r="AJ67" s="187"/>
      <c r="AK67" s="187"/>
      <c r="AL67" s="187"/>
      <c r="AM67" s="187"/>
      <c r="AN67" s="187"/>
      <c r="AO67" s="187"/>
      <c r="AP67" s="187"/>
      <c r="AR67" s="188"/>
      <c r="AS67" s="188"/>
      <c r="AT67" s="187"/>
      <c r="AU67" s="187"/>
      <c r="AV67" s="187"/>
      <c r="AW67" s="187"/>
      <c r="AX67" s="187"/>
      <c r="AY67" s="187"/>
      <c r="AZ67" s="187"/>
      <c r="BA67" s="187"/>
      <c r="BB67" s="187"/>
      <c r="BC67" s="187"/>
      <c r="BD67" s="187"/>
      <c r="BE67" s="187"/>
      <c r="BF67" s="187"/>
      <c r="BG67" s="187"/>
      <c r="BH67" s="187"/>
    </row>
    <row r="68" spans="1:60" x14ac:dyDescent="0.3">
      <c r="A68" s="113" t="str">
        <f>A20</f>
        <v>Males</v>
      </c>
      <c r="B68" s="93"/>
      <c r="C68" s="93"/>
      <c r="D68" s="93"/>
      <c r="E68" s="93"/>
      <c r="F68" s="188"/>
      <c r="G68" s="188"/>
      <c r="H68" s="188"/>
      <c r="I68" s="188"/>
      <c r="J68" s="188"/>
      <c r="K68" s="188"/>
      <c r="L68" s="188"/>
      <c r="M68" s="188"/>
      <c r="N68" s="188"/>
      <c r="O68" s="188"/>
      <c r="P68" s="188"/>
      <c r="Q68" s="188"/>
      <c r="R68" s="188"/>
      <c r="S68" s="188"/>
      <c r="T68" s="93"/>
      <c r="U68" s="93"/>
      <c r="V68" s="93"/>
      <c r="W68" s="93"/>
      <c r="X68" s="93"/>
      <c r="Y68" s="113" t="str">
        <f>Y20</f>
        <v>Males</v>
      </c>
      <c r="Z68" s="93"/>
      <c r="AA68" s="93"/>
      <c r="AB68" s="93"/>
      <c r="AC68" s="93"/>
      <c r="AD68" s="188"/>
      <c r="AE68" s="188"/>
      <c r="AF68" s="188"/>
      <c r="AG68" s="188"/>
      <c r="AH68" s="188"/>
      <c r="AI68" s="188"/>
      <c r="AJ68" s="188"/>
      <c r="AK68" s="188"/>
      <c r="AL68" s="188"/>
      <c r="AM68" s="188"/>
      <c r="AN68" s="188"/>
      <c r="AO68" s="188"/>
      <c r="AP68" s="188"/>
      <c r="AQ68" s="113" t="str">
        <f>AQ20</f>
        <v>Males</v>
      </c>
      <c r="AR68" s="93"/>
      <c r="AS68" s="93"/>
      <c r="AT68" s="93"/>
      <c r="AU68" s="93"/>
      <c r="AV68" s="188"/>
      <c r="AW68" s="188"/>
      <c r="AX68" s="188"/>
      <c r="AY68" s="188"/>
      <c r="AZ68" s="188"/>
      <c r="BA68" s="188"/>
      <c r="BB68" s="188"/>
      <c r="BC68" s="188"/>
      <c r="BD68" s="188"/>
      <c r="BE68" s="188"/>
      <c r="BF68" s="188"/>
      <c r="BG68" s="188"/>
      <c r="BH68" s="188"/>
    </row>
    <row r="69" spans="1:60" x14ac:dyDescent="0.3">
      <c r="A69" s="90" t="str">
        <f>A21</f>
        <v>15+</v>
      </c>
      <c r="B69" s="188">
        <f>SUM(B70:B80)</f>
        <v>668.34829787442732</v>
      </c>
      <c r="C69" s="188">
        <f t="shared" ref="C69:F69" si="66">SUM(C70:C80)</f>
        <v>679.97434318708918</v>
      </c>
      <c r="D69" s="188">
        <f t="shared" si="66"/>
        <v>576.0987188576471</v>
      </c>
      <c r="E69" s="188">
        <f t="shared" si="66"/>
        <v>506.60924483387572</v>
      </c>
      <c r="F69" s="188">
        <f t="shared" si="66"/>
        <v>424.17079532170612</v>
      </c>
      <c r="G69" s="188"/>
      <c r="H69" s="188">
        <f>SUM(H70:H80)</f>
        <v>216.57689663424574</v>
      </c>
      <c r="I69" s="188">
        <f t="shared" ref="I69:L69" si="67">SUM(I70:I80)</f>
        <v>222.01749682244036</v>
      </c>
      <c r="J69" s="188">
        <f t="shared" si="67"/>
        <v>189.97263257060061</v>
      </c>
      <c r="K69" s="188">
        <f t="shared" si="67"/>
        <v>168.03119397716577</v>
      </c>
      <c r="L69" s="188">
        <f t="shared" si="67"/>
        <v>140.23377379308036</v>
      </c>
      <c r="M69" s="188"/>
      <c r="N69" s="188">
        <f>SUM(N70:N80)</f>
        <v>451.77140124018155</v>
      </c>
      <c r="O69" s="188">
        <f t="shared" ref="O69:R69" si="68">SUM(O70:O80)</f>
        <v>457.95684636464887</v>
      </c>
      <c r="P69" s="188">
        <f t="shared" si="68"/>
        <v>386.12608628704652</v>
      </c>
      <c r="Q69" s="188">
        <f t="shared" si="68"/>
        <v>338.57805085670992</v>
      </c>
      <c r="R69" s="188">
        <f t="shared" si="68"/>
        <v>283.93702152862579</v>
      </c>
      <c r="S69" s="188"/>
      <c r="T69" s="188">
        <f>SUM(T70:T80)</f>
        <v>0</v>
      </c>
      <c r="U69" s="188">
        <f t="shared" ref="U69:X69" si="69">SUM(U70:U80)</f>
        <v>0</v>
      </c>
      <c r="V69" s="188">
        <f t="shared" si="69"/>
        <v>0</v>
      </c>
      <c r="W69" s="188">
        <f t="shared" si="69"/>
        <v>0</v>
      </c>
      <c r="X69" s="188">
        <f t="shared" si="69"/>
        <v>0</v>
      </c>
      <c r="Y69" s="90" t="str">
        <f>Y21</f>
        <v>15+</v>
      </c>
      <c r="Z69" s="188">
        <f>SUM(Z70:Z80)</f>
        <v>1110.8221091376672</v>
      </c>
      <c r="AA69" s="188">
        <f t="shared" ref="AA69:AD69" si="70">SUM(AA70:AA80)</f>
        <v>1081.2462760791657</v>
      </c>
      <c r="AB69" s="188">
        <f t="shared" si="70"/>
        <v>1129.3696341240161</v>
      </c>
      <c r="AC69" s="188">
        <f t="shared" si="70"/>
        <v>1196.947412591609</v>
      </c>
      <c r="AD69" s="188">
        <f t="shared" si="70"/>
        <v>1263.8735341848089</v>
      </c>
      <c r="AE69" s="188"/>
      <c r="AF69" s="188">
        <f>SUM(AF70:AF80)</f>
        <v>1048.6925402059803</v>
      </c>
      <c r="AG69" s="188">
        <f t="shared" ref="AG69:AJ69" si="71">SUM(AG70:AG80)</f>
        <v>1020.9879008290815</v>
      </c>
      <c r="AH69" s="188">
        <f t="shared" si="71"/>
        <v>1066.4680897558023</v>
      </c>
      <c r="AI69" s="188">
        <f t="shared" si="71"/>
        <v>1130.4132844970143</v>
      </c>
      <c r="AJ69" s="188">
        <f t="shared" si="71"/>
        <v>1193.6123831216405</v>
      </c>
      <c r="AK69" s="188"/>
      <c r="AL69" s="188">
        <f>SUM(AL70:AL80)</f>
        <v>62.12956893168694</v>
      </c>
      <c r="AM69" s="188">
        <f t="shared" ref="AM69:AP69" si="72">SUM(AM70:AM80)</f>
        <v>60.258375250084285</v>
      </c>
      <c r="AN69" s="188">
        <f t="shared" si="72"/>
        <v>62.90154436821414</v>
      </c>
      <c r="AO69" s="188">
        <f t="shared" si="72"/>
        <v>66.534128094594536</v>
      </c>
      <c r="AP69" s="188">
        <f t="shared" si="72"/>
        <v>70.261151063168086</v>
      </c>
      <c r="AQ69" s="90" t="str">
        <f>AQ21</f>
        <v>15+</v>
      </c>
      <c r="AR69" s="188">
        <f>SUM(AR70:AR80)</f>
        <v>858.87759298790547</v>
      </c>
      <c r="AS69" s="188">
        <f t="shared" ref="AS69:AV69" si="73">SUM(AS70:AS80)</f>
        <v>924.03238073374484</v>
      </c>
      <c r="AT69" s="188">
        <f t="shared" si="73"/>
        <v>1006.6636470183364</v>
      </c>
      <c r="AU69" s="188">
        <f t="shared" si="73"/>
        <v>1087.2593425745151</v>
      </c>
      <c r="AV69" s="188">
        <f t="shared" si="73"/>
        <v>1172.5296704934854</v>
      </c>
      <c r="AW69" s="188"/>
      <c r="AX69" s="188">
        <f>SUM(AX70:AX80)</f>
        <v>837.25747303433036</v>
      </c>
      <c r="AY69" s="188">
        <f t="shared" ref="AY69:BB69" si="74">SUM(AY70:AY80)</f>
        <v>900.46119959493876</v>
      </c>
      <c r="AZ69" s="188">
        <f t="shared" si="74"/>
        <v>980.19920817165428</v>
      </c>
      <c r="BA69" s="188">
        <f t="shared" si="74"/>
        <v>1058.1193206787443</v>
      </c>
      <c r="BB69" s="188">
        <f t="shared" si="74"/>
        <v>1140.618907885826</v>
      </c>
      <c r="BC69" s="188"/>
      <c r="BD69" s="188">
        <f>SUM(BD70:BD80)</f>
        <v>21.620119953575205</v>
      </c>
      <c r="BE69" s="188">
        <f t="shared" ref="BE69:BH69" si="75">SUM(BE70:BE80)</f>
        <v>23.571181138806118</v>
      </c>
      <c r="BF69" s="188">
        <f t="shared" si="75"/>
        <v>26.464438846682153</v>
      </c>
      <c r="BG69" s="188">
        <f t="shared" si="75"/>
        <v>29.140021895771127</v>
      </c>
      <c r="BH69" s="188">
        <f t="shared" si="75"/>
        <v>31.910762607659223</v>
      </c>
    </row>
    <row r="70" spans="1:60" x14ac:dyDescent="0.3">
      <c r="A70" s="90" t="str">
        <f t="shared" ref="A70:A80" si="76">A22</f>
        <v>15-19</v>
      </c>
      <c r="B70" s="188">
        <v>21.970306906103936</v>
      </c>
      <c r="C70" s="188">
        <v>20.026076119996116</v>
      </c>
      <c r="D70" s="188">
        <v>15.121179094017016</v>
      </c>
      <c r="E70" s="188">
        <v>17.089485140563891</v>
      </c>
      <c r="F70" s="187">
        <v>20.063648634933156</v>
      </c>
      <c r="G70" s="188"/>
      <c r="H70" s="188">
        <v>5.926181505924986</v>
      </c>
      <c r="I70" s="188">
        <v>5.4017609070647374</v>
      </c>
      <c r="J70" s="188">
        <v>4.0787280675207782</v>
      </c>
      <c r="K70" s="188">
        <v>4.6096697076419106</v>
      </c>
      <c r="L70" s="187">
        <v>5.4118921208641293</v>
      </c>
      <c r="M70" s="188"/>
      <c r="N70" s="188">
        <v>16.044125400178949</v>
      </c>
      <c r="O70" s="188">
        <v>14.624315212931378</v>
      </c>
      <c r="P70" s="188">
        <v>11.04245102649624</v>
      </c>
      <c r="Q70" s="188">
        <v>12.479815432921979</v>
      </c>
      <c r="R70" s="187">
        <v>14.651756514069028</v>
      </c>
      <c r="S70" s="188"/>
      <c r="T70" s="188">
        <v>0</v>
      </c>
      <c r="U70" s="188">
        <v>0</v>
      </c>
      <c r="V70" s="188">
        <v>0</v>
      </c>
      <c r="W70" s="188">
        <v>0</v>
      </c>
      <c r="X70" s="187">
        <v>0</v>
      </c>
      <c r="Y70" s="90" t="str">
        <f t="shared" ref="Y70:Y80" si="77">Y22</f>
        <v>15-19</v>
      </c>
      <c r="Z70" s="188">
        <v>17.840683082880268</v>
      </c>
      <c r="AA70" s="188">
        <v>14.680133047335039</v>
      </c>
      <c r="AB70" s="188">
        <v>13.72560965822832</v>
      </c>
      <c r="AC70" s="188">
        <v>15.436484788467865</v>
      </c>
      <c r="AD70" s="187">
        <v>18.541508530812692</v>
      </c>
      <c r="AE70" s="188"/>
      <c r="AF70" s="188">
        <v>16.8611671563519</v>
      </c>
      <c r="AG70" s="188">
        <v>13.874168165612016</v>
      </c>
      <c r="AH70" s="188">
        <v>12.972040867641711</v>
      </c>
      <c r="AI70" s="188">
        <v>14.588974970800006</v>
      </c>
      <c r="AJ70" s="187">
        <v>17.523528875034817</v>
      </c>
      <c r="AK70" s="188"/>
      <c r="AL70" s="188">
        <v>0.9795159265283645</v>
      </c>
      <c r="AM70" s="188">
        <v>0.80596488172302239</v>
      </c>
      <c r="AN70" s="188">
        <v>0.75356879058660964</v>
      </c>
      <c r="AO70" s="188">
        <v>0.84750981766786149</v>
      </c>
      <c r="AP70" s="187">
        <v>1.0179796557778724</v>
      </c>
      <c r="AQ70" s="90" t="str">
        <f t="shared" ref="AQ70:AQ80" si="78">AQ22</f>
        <v>15-19</v>
      </c>
      <c r="AR70" s="188">
        <v>0.10001001101580378</v>
      </c>
      <c r="AS70" s="188">
        <v>0.10679083266884004</v>
      </c>
      <c r="AT70" s="188">
        <v>1.2112477546660798E-3</v>
      </c>
      <c r="AU70" s="188">
        <v>6.0300709682370914E-3</v>
      </c>
      <c r="AV70" s="187">
        <v>1.0842834254153347E-2</v>
      </c>
      <c r="AW70" s="188"/>
      <c r="AX70" s="188">
        <v>6.6192985196819223E-2</v>
      </c>
      <c r="AY70" s="188">
        <v>7.0679138418197798E-2</v>
      </c>
      <c r="AZ70" s="188">
        <v>8.014133599071727E-4</v>
      </c>
      <c r="BA70" s="188">
        <v>3.9895924082780755E-3</v>
      </c>
      <c r="BB70" s="187">
        <v>7.1745268353603188E-3</v>
      </c>
      <c r="BC70" s="188"/>
      <c r="BD70" s="188">
        <v>3.3817025818984561E-2</v>
      </c>
      <c r="BE70" s="188">
        <v>3.6111694250642229E-2</v>
      </c>
      <c r="BF70" s="188">
        <v>4.0983439475890718E-4</v>
      </c>
      <c r="BG70" s="188">
        <v>2.0404785599590159E-3</v>
      </c>
      <c r="BH70" s="187">
        <v>3.6683074187930289E-3</v>
      </c>
    </row>
    <row r="71" spans="1:60" x14ac:dyDescent="0.3">
      <c r="A71" s="90" t="str">
        <f t="shared" si="76"/>
        <v>20-24</v>
      </c>
      <c r="B71" s="188">
        <v>42.835372944962316</v>
      </c>
      <c r="C71" s="188">
        <v>48.066292311616593</v>
      </c>
      <c r="D71" s="188">
        <v>41.397068793006476</v>
      </c>
      <c r="E71" s="188">
        <v>35.270255608267561</v>
      </c>
      <c r="F71" s="187">
        <v>32.498817128536295</v>
      </c>
      <c r="G71" s="188"/>
      <c r="H71" s="188">
        <v>9.7684866793085128</v>
      </c>
      <c r="I71" s="188">
        <v>10.961327650529908</v>
      </c>
      <c r="J71" s="188">
        <v>9.4404947503411645</v>
      </c>
      <c r="K71" s="188">
        <v>8.0432844087857056</v>
      </c>
      <c r="L71" s="187">
        <v>7.4112487352797149</v>
      </c>
      <c r="M71" s="188"/>
      <c r="N71" s="188">
        <v>33.0668862656538</v>
      </c>
      <c r="O71" s="188">
        <v>37.104964661086683</v>
      </c>
      <c r="P71" s="188">
        <v>31.956574042665309</v>
      </c>
      <c r="Q71" s="188">
        <v>27.226971199481849</v>
      </c>
      <c r="R71" s="187">
        <v>25.087568393256582</v>
      </c>
      <c r="S71" s="188"/>
      <c r="T71" s="188">
        <v>0</v>
      </c>
      <c r="U71" s="188">
        <v>0</v>
      </c>
      <c r="V71" s="188">
        <v>0</v>
      </c>
      <c r="W71" s="188">
        <v>0</v>
      </c>
      <c r="X71" s="187">
        <v>0</v>
      </c>
      <c r="Y71" s="90" t="str">
        <f t="shared" si="77"/>
        <v>20-24</v>
      </c>
      <c r="Z71" s="188">
        <v>117.60066097337621</v>
      </c>
      <c r="AA71" s="188">
        <v>116.00972577437592</v>
      </c>
      <c r="AB71" s="188">
        <v>117.37387172072432</v>
      </c>
      <c r="AC71" s="188">
        <v>109.8328571099937</v>
      </c>
      <c r="AD71" s="187">
        <v>112.18324785696579</v>
      </c>
      <c r="AE71" s="188"/>
      <c r="AF71" s="188">
        <v>109.40519835653062</v>
      </c>
      <c r="AG71" s="188">
        <v>107.92518380300695</v>
      </c>
      <c r="AH71" s="188">
        <v>109.19423291573709</v>
      </c>
      <c r="AI71" s="188">
        <v>102.17877037651678</v>
      </c>
      <c r="AJ71" s="187">
        <v>104.36530258032673</v>
      </c>
      <c r="AK71" s="188"/>
      <c r="AL71" s="188">
        <v>8.1954626168455889</v>
      </c>
      <c r="AM71" s="188">
        <v>8.0845419713689743</v>
      </c>
      <c r="AN71" s="188">
        <v>8.1796388049872402</v>
      </c>
      <c r="AO71" s="188">
        <v>7.6540867334769196</v>
      </c>
      <c r="AP71" s="187">
        <v>7.8179452766390698</v>
      </c>
      <c r="AQ71" s="90" t="str">
        <f t="shared" si="78"/>
        <v>20-24</v>
      </c>
      <c r="AR71" s="188">
        <v>35.953966081661484</v>
      </c>
      <c r="AS71" s="188">
        <v>35.412981914007489</v>
      </c>
      <c r="AT71" s="188">
        <v>39.05605948626922</v>
      </c>
      <c r="AU71" s="188">
        <v>40.227887281738759</v>
      </c>
      <c r="AV71" s="187">
        <v>45.244935014497926</v>
      </c>
      <c r="AW71" s="188"/>
      <c r="AX71" s="188">
        <v>35.894388197223741</v>
      </c>
      <c r="AY71" s="188">
        <v>35.354282498596831</v>
      </c>
      <c r="AZ71" s="188">
        <v>38.991316542918099</v>
      </c>
      <c r="BA71" s="188">
        <v>40.161217830179162</v>
      </c>
      <c r="BB71" s="187">
        <v>45.169897221289091</v>
      </c>
      <c r="BC71" s="188"/>
      <c r="BD71" s="188">
        <v>5.9577884437741695E-2</v>
      </c>
      <c r="BE71" s="188">
        <v>5.8699415410650713E-2</v>
      </c>
      <c r="BF71" s="188">
        <v>6.4742943351118576E-2</v>
      </c>
      <c r="BG71" s="188">
        <v>6.6669451559595388E-2</v>
      </c>
      <c r="BH71" s="187">
        <v>7.5037793208839618E-2</v>
      </c>
    </row>
    <row r="72" spans="1:60" x14ac:dyDescent="0.3">
      <c r="A72" s="90" t="str">
        <f t="shared" si="76"/>
        <v>25-29</v>
      </c>
      <c r="B72" s="188">
        <v>54.132987761997782</v>
      </c>
      <c r="C72" s="188">
        <v>59.30277365778997</v>
      </c>
      <c r="D72" s="188">
        <v>53.119400404129237</v>
      </c>
      <c r="E72" s="188">
        <v>53.434184420591016</v>
      </c>
      <c r="F72" s="187">
        <v>46.384829749714591</v>
      </c>
      <c r="G72" s="188"/>
      <c r="H72" s="188">
        <v>15.657402965414564</v>
      </c>
      <c r="I72" s="188">
        <v>17.15271266465906</v>
      </c>
      <c r="J72" s="188">
        <v>15.364227768456015</v>
      </c>
      <c r="K72" s="188">
        <v>15.455258797856304</v>
      </c>
      <c r="L72" s="187">
        <v>13.416311066916181</v>
      </c>
      <c r="M72" s="188"/>
      <c r="N72" s="188">
        <v>38.47558479658322</v>
      </c>
      <c r="O72" s="188">
        <v>42.150060993130907</v>
      </c>
      <c r="P72" s="188">
        <v>37.755172635673226</v>
      </c>
      <c r="Q72" s="188">
        <v>37.978925622734714</v>
      </c>
      <c r="R72" s="187">
        <v>32.968518682798404</v>
      </c>
      <c r="S72" s="188"/>
      <c r="T72" s="188">
        <v>0</v>
      </c>
      <c r="U72" s="188">
        <v>0</v>
      </c>
      <c r="V72" s="188">
        <v>0</v>
      </c>
      <c r="W72" s="188">
        <v>0</v>
      </c>
      <c r="X72" s="187">
        <v>0</v>
      </c>
      <c r="Y72" s="90" t="str">
        <f t="shared" si="77"/>
        <v>25-29</v>
      </c>
      <c r="Z72" s="188">
        <v>149.16941523155822</v>
      </c>
      <c r="AA72" s="188">
        <v>137.65111832560171</v>
      </c>
      <c r="AB72" s="188">
        <v>143.78119393240843</v>
      </c>
      <c r="AC72" s="188">
        <v>153.35525074005449</v>
      </c>
      <c r="AD72" s="187">
        <v>151.04532202229836</v>
      </c>
      <c r="AE72" s="188"/>
      <c r="AF72" s="188">
        <v>139.54207798178672</v>
      </c>
      <c r="AG72" s="188">
        <v>128.76718250907044</v>
      </c>
      <c r="AH72" s="188">
        <v>134.50166828917818</v>
      </c>
      <c r="AI72" s="188">
        <v>143.4577811169944</v>
      </c>
      <c r="AJ72" s="187">
        <v>141.29698663959073</v>
      </c>
      <c r="AK72" s="188"/>
      <c r="AL72" s="188">
        <v>9.6273372497715179</v>
      </c>
      <c r="AM72" s="188">
        <v>8.8839358165312774</v>
      </c>
      <c r="AN72" s="188">
        <v>9.2795256432302509</v>
      </c>
      <c r="AO72" s="188">
        <v>9.8974696230601076</v>
      </c>
      <c r="AP72" s="187">
        <v>9.7483353827076193</v>
      </c>
      <c r="AQ72" s="90" t="str">
        <f t="shared" si="78"/>
        <v>25-29</v>
      </c>
      <c r="AR72" s="188">
        <v>114.08059700644398</v>
      </c>
      <c r="AS72" s="188">
        <v>119.54710801660832</v>
      </c>
      <c r="AT72" s="188">
        <v>121.54440566346231</v>
      </c>
      <c r="AU72" s="188">
        <v>131.36556483935448</v>
      </c>
      <c r="AV72" s="187">
        <v>131.1628482279871</v>
      </c>
      <c r="AW72" s="188"/>
      <c r="AX72" s="188">
        <v>112.96810261144897</v>
      </c>
      <c r="AY72" s="188">
        <v>118.38128469844733</v>
      </c>
      <c r="AZ72" s="188">
        <v>120.35910614116368</v>
      </c>
      <c r="BA72" s="188">
        <v>130.08456385999412</v>
      </c>
      <c r="BB72" s="187">
        <v>129.88383705598</v>
      </c>
      <c r="BC72" s="188"/>
      <c r="BD72" s="188">
        <v>1.1124943949950061</v>
      </c>
      <c r="BE72" s="188">
        <v>1.1658233181609874</v>
      </c>
      <c r="BF72" s="188">
        <v>1.1852995222986344</v>
      </c>
      <c r="BG72" s="188">
        <v>1.2810009793603585</v>
      </c>
      <c r="BH72" s="187">
        <v>1.2790111720071109</v>
      </c>
    </row>
    <row r="73" spans="1:60" x14ac:dyDescent="0.3">
      <c r="A73" s="90" t="str">
        <f t="shared" si="76"/>
        <v>30-34</v>
      </c>
      <c r="B73" s="188">
        <v>59.746194470013975</v>
      </c>
      <c r="C73" s="188">
        <v>55.826048413105191</v>
      </c>
      <c r="D73" s="188">
        <v>52.687517039427384</v>
      </c>
      <c r="E73" s="188">
        <v>49.043992638223799</v>
      </c>
      <c r="F73" s="187">
        <v>42.215560181056873</v>
      </c>
      <c r="G73" s="188"/>
      <c r="H73" s="188">
        <v>19.460449413601172</v>
      </c>
      <c r="I73" s="188">
        <v>18.183578385321248</v>
      </c>
      <c r="J73" s="188">
        <v>17.161250414897957</v>
      </c>
      <c r="K73" s="188">
        <v>15.974514770585094</v>
      </c>
      <c r="L73" s="187">
        <v>13.750439228926275</v>
      </c>
      <c r="M73" s="188"/>
      <c r="N73" s="188">
        <v>40.285745056412807</v>
      </c>
      <c r="O73" s="188">
        <v>37.642470027783951</v>
      </c>
      <c r="P73" s="188">
        <v>35.526266624529427</v>
      </c>
      <c r="Q73" s="188">
        <v>33.069477867638696</v>
      </c>
      <c r="R73" s="187">
        <v>28.465120952130594</v>
      </c>
      <c r="S73" s="188"/>
      <c r="T73" s="188">
        <v>0</v>
      </c>
      <c r="U73" s="188">
        <v>0</v>
      </c>
      <c r="V73" s="188">
        <v>0</v>
      </c>
      <c r="W73" s="188">
        <v>0</v>
      </c>
      <c r="X73" s="187">
        <v>0</v>
      </c>
      <c r="Y73" s="90" t="str">
        <f t="shared" si="77"/>
        <v>30-34</v>
      </c>
      <c r="Z73" s="188">
        <v>143.97550755975615</v>
      </c>
      <c r="AA73" s="188">
        <v>143.04692062923695</v>
      </c>
      <c r="AB73" s="188">
        <v>150.54112992034914</v>
      </c>
      <c r="AC73" s="188">
        <v>160.10889854017847</v>
      </c>
      <c r="AD73" s="187">
        <v>177.21576862141688</v>
      </c>
      <c r="AE73" s="188"/>
      <c r="AF73" s="188">
        <v>134.51151244341474</v>
      </c>
      <c r="AG73" s="188">
        <v>133.6439199496856</v>
      </c>
      <c r="AH73" s="188">
        <v>140.64555798795368</v>
      </c>
      <c r="AI73" s="188">
        <v>149.58441151968711</v>
      </c>
      <c r="AJ73" s="187">
        <v>165.5667550636862</v>
      </c>
      <c r="AK73" s="188"/>
      <c r="AL73" s="188">
        <v>9.4639951163413958</v>
      </c>
      <c r="AM73" s="188">
        <v>9.4030006795513597</v>
      </c>
      <c r="AN73" s="188">
        <v>9.8955719323954607</v>
      </c>
      <c r="AO73" s="188">
        <v>10.524487020491364</v>
      </c>
      <c r="AP73" s="187">
        <v>11.649013557730687</v>
      </c>
      <c r="AQ73" s="90" t="str">
        <f t="shared" si="78"/>
        <v>30-34</v>
      </c>
      <c r="AR73" s="188">
        <v>126.29229797022987</v>
      </c>
      <c r="AS73" s="188">
        <v>134.62703095765789</v>
      </c>
      <c r="AT73" s="188">
        <v>139.10335304022348</v>
      </c>
      <c r="AU73" s="188">
        <v>148.01810882159774</v>
      </c>
      <c r="AV73" s="187">
        <v>167.58267119752625</v>
      </c>
      <c r="AW73" s="188"/>
      <c r="AX73" s="188">
        <v>122.95073277336256</v>
      </c>
      <c r="AY73" s="188">
        <v>131.06497700319039</v>
      </c>
      <c r="AZ73" s="188">
        <v>135.42281890028266</v>
      </c>
      <c r="BA73" s="188">
        <v>144.10171770063747</v>
      </c>
      <c r="BB73" s="187">
        <v>163.14861509949301</v>
      </c>
      <c r="BC73" s="188"/>
      <c r="BD73" s="188">
        <v>3.3415651968673079</v>
      </c>
      <c r="BE73" s="188">
        <v>3.5620539544675016</v>
      </c>
      <c r="BF73" s="188">
        <v>3.6805341399408</v>
      </c>
      <c r="BG73" s="188">
        <v>3.9163911209602649</v>
      </c>
      <c r="BH73" s="187">
        <v>4.434056098033226</v>
      </c>
    </row>
    <row r="74" spans="1:60" x14ac:dyDescent="0.3">
      <c r="A74" s="90" t="str">
        <f t="shared" si="76"/>
        <v>35-39</v>
      </c>
      <c r="B74" s="188">
        <v>72.389274390689224</v>
      </c>
      <c r="C74" s="188">
        <v>71.644104598988108</v>
      </c>
      <c r="D74" s="188">
        <v>56.546565915153813</v>
      </c>
      <c r="E74" s="188">
        <v>46.727112769454443</v>
      </c>
      <c r="F74" s="187">
        <v>36.765389039064232</v>
      </c>
      <c r="G74" s="188"/>
      <c r="H74" s="188">
        <v>22.092351099930109</v>
      </c>
      <c r="I74" s="188">
        <v>21.864916566985048</v>
      </c>
      <c r="J74" s="188">
        <v>17.257326348768249</v>
      </c>
      <c r="K74" s="188">
        <v>14.26057413503738</v>
      </c>
      <c r="L74" s="187">
        <v>11.220343143702051</v>
      </c>
      <c r="M74" s="188"/>
      <c r="N74" s="188">
        <v>50.296923290759125</v>
      </c>
      <c r="O74" s="188">
        <v>49.779188032003056</v>
      </c>
      <c r="P74" s="188">
        <v>39.289239566385561</v>
      </c>
      <c r="Q74" s="188">
        <v>32.466538634417063</v>
      </c>
      <c r="R74" s="187">
        <v>25.545045895362183</v>
      </c>
      <c r="S74" s="188"/>
      <c r="T74" s="188">
        <v>0</v>
      </c>
      <c r="U74" s="188">
        <v>0</v>
      </c>
      <c r="V74" s="188">
        <v>0</v>
      </c>
      <c r="W74" s="188">
        <v>0</v>
      </c>
      <c r="X74" s="187">
        <v>0</v>
      </c>
      <c r="Y74" s="90" t="str">
        <f t="shared" si="77"/>
        <v>35-39</v>
      </c>
      <c r="Z74" s="188">
        <v>168.36341500024318</v>
      </c>
      <c r="AA74" s="188">
        <v>149.22804572146893</v>
      </c>
      <c r="AB74" s="188">
        <v>145.3653492467291</v>
      </c>
      <c r="AC74" s="188">
        <v>157.84177384899948</v>
      </c>
      <c r="AD74" s="187">
        <v>170.08164787734725</v>
      </c>
      <c r="AE74" s="188"/>
      <c r="AF74" s="188">
        <v>158.73056855159768</v>
      </c>
      <c r="AG74" s="188">
        <v>140.68998106739087</v>
      </c>
      <c r="AH74" s="188">
        <v>137.0482794654304</v>
      </c>
      <c r="AI74" s="188">
        <v>148.81088905475639</v>
      </c>
      <c r="AJ74" s="187">
        <v>160.35047022072709</v>
      </c>
      <c r="AK74" s="188"/>
      <c r="AL74" s="188">
        <v>9.632846448645493</v>
      </c>
      <c r="AM74" s="188">
        <v>8.53806465407804</v>
      </c>
      <c r="AN74" s="188">
        <v>8.3170697812987289</v>
      </c>
      <c r="AO74" s="188">
        <v>9.0308847942430752</v>
      </c>
      <c r="AP74" s="187">
        <v>9.7311776566201527</v>
      </c>
      <c r="AQ74" s="90" t="str">
        <f t="shared" si="78"/>
        <v>35-39</v>
      </c>
      <c r="AR74" s="188">
        <v>130.00931060906763</v>
      </c>
      <c r="AS74" s="188">
        <v>141.63984967954292</v>
      </c>
      <c r="AT74" s="188">
        <v>140.96708483811705</v>
      </c>
      <c r="AU74" s="188">
        <v>156.05411338154607</v>
      </c>
      <c r="AV74" s="187">
        <v>171.1889630835885</v>
      </c>
      <c r="AW74" s="188"/>
      <c r="AX74" s="188">
        <v>126.80367098267918</v>
      </c>
      <c r="AY74" s="188">
        <v>138.14739398786907</v>
      </c>
      <c r="AZ74" s="188">
        <v>137.49128574990962</v>
      </c>
      <c r="BA74" s="188">
        <v>152.20632202622306</v>
      </c>
      <c r="BB74" s="187">
        <v>166.96792004521947</v>
      </c>
      <c r="BC74" s="188"/>
      <c r="BD74" s="188">
        <v>3.2056396263884279</v>
      </c>
      <c r="BE74" s="188">
        <v>3.4924556916738441</v>
      </c>
      <c r="BF74" s="188">
        <v>3.4757990882074257</v>
      </c>
      <c r="BG74" s="188">
        <v>3.8477913553230336</v>
      </c>
      <c r="BH74" s="187">
        <v>4.2210430383690394</v>
      </c>
    </row>
    <row r="75" spans="1:60" x14ac:dyDescent="0.3">
      <c r="A75" s="90" t="str">
        <f t="shared" si="76"/>
        <v>40-44</v>
      </c>
      <c r="B75" s="188">
        <v>93.704921018490225</v>
      </c>
      <c r="C75" s="188">
        <v>86.025081460274208</v>
      </c>
      <c r="D75" s="188">
        <v>64.749495706932109</v>
      </c>
      <c r="E75" s="188">
        <v>46.877352399091471</v>
      </c>
      <c r="F75" s="187">
        <v>36.022235674570041</v>
      </c>
      <c r="G75" s="188"/>
      <c r="H75" s="188">
        <v>28.726825295106707</v>
      </c>
      <c r="I75" s="188">
        <v>26.372500122799597</v>
      </c>
      <c r="J75" s="188">
        <v>19.850090685545279</v>
      </c>
      <c r="K75" s="188">
        <v>14.37105615293013</v>
      </c>
      <c r="L75" s="187">
        <v>11.043233820019529</v>
      </c>
      <c r="M75" s="188"/>
      <c r="N75" s="188">
        <v>64.978095723383518</v>
      </c>
      <c r="O75" s="188">
        <v>59.652581337474615</v>
      </c>
      <c r="P75" s="188">
        <v>44.899405021386841</v>
      </c>
      <c r="Q75" s="188">
        <v>32.506296246161341</v>
      </c>
      <c r="R75" s="187">
        <v>24.979001854550507</v>
      </c>
      <c r="S75" s="188"/>
      <c r="T75" s="188">
        <v>0</v>
      </c>
      <c r="U75" s="188">
        <v>0</v>
      </c>
      <c r="V75" s="188">
        <v>0</v>
      </c>
      <c r="W75" s="188">
        <v>0</v>
      </c>
      <c r="X75" s="187">
        <v>0</v>
      </c>
      <c r="Y75" s="90" t="str">
        <f t="shared" si="77"/>
        <v>40-44</v>
      </c>
      <c r="Z75" s="188">
        <v>164.09838718909504</v>
      </c>
      <c r="AA75" s="188">
        <v>154.9023270474899</v>
      </c>
      <c r="AB75" s="188">
        <v>149.73668224901951</v>
      </c>
      <c r="AC75" s="188">
        <v>152.17875641282711</v>
      </c>
      <c r="AD75" s="187">
        <v>165.42214209784782</v>
      </c>
      <c r="AE75" s="188"/>
      <c r="AF75" s="188">
        <v>156.03959735584664</v>
      </c>
      <c r="AG75" s="188">
        <v>147.29512638226808</v>
      </c>
      <c r="AH75" s="188">
        <v>142.38323098553826</v>
      </c>
      <c r="AI75" s="188">
        <v>144.70535111932526</v>
      </c>
      <c r="AJ75" s="187">
        <v>157.29833296840684</v>
      </c>
      <c r="AK75" s="188"/>
      <c r="AL75" s="188">
        <v>8.0587898332483814</v>
      </c>
      <c r="AM75" s="188">
        <v>7.6072006652217956</v>
      </c>
      <c r="AN75" s="188">
        <v>7.3534512634812508</v>
      </c>
      <c r="AO75" s="188">
        <v>7.4734052935018527</v>
      </c>
      <c r="AP75" s="187">
        <v>8.1238091294409802</v>
      </c>
      <c r="AQ75" s="90" t="str">
        <f t="shared" si="78"/>
        <v>40-44</v>
      </c>
      <c r="AR75" s="188">
        <v>126.01269179241478</v>
      </c>
      <c r="AS75" s="188">
        <v>132.67959149223591</v>
      </c>
      <c r="AT75" s="188">
        <v>143.37582204404833</v>
      </c>
      <c r="AU75" s="188">
        <v>148.33089118808141</v>
      </c>
      <c r="AV75" s="187">
        <v>163.98362222758209</v>
      </c>
      <c r="AW75" s="188"/>
      <c r="AX75" s="188">
        <v>123.30009020573293</v>
      </c>
      <c r="AY75" s="188">
        <v>129.8235193902282</v>
      </c>
      <c r="AZ75" s="188">
        <v>140.28954114726304</v>
      </c>
      <c r="BA75" s="188">
        <v>145.13792831010065</v>
      </c>
      <c r="BB75" s="187">
        <v>160.4537346018306</v>
      </c>
      <c r="BC75" s="188"/>
      <c r="BD75" s="188">
        <v>2.7126015866818696</v>
      </c>
      <c r="BE75" s="188">
        <v>2.85607210200773</v>
      </c>
      <c r="BF75" s="188">
        <v>3.0862808967852815</v>
      </c>
      <c r="BG75" s="188">
        <v>3.1929628779807668</v>
      </c>
      <c r="BH75" s="187">
        <v>3.5298876257514915</v>
      </c>
    </row>
    <row r="76" spans="1:60" x14ac:dyDescent="0.3">
      <c r="A76" s="90" t="str">
        <f t="shared" si="76"/>
        <v>45-49</v>
      </c>
      <c r="B76" s="188">
        <v>115.30181592604359</v>
      </c>
      <c r="C76" s="188">
        <v>109.33182845391168</v>
      </c>
      <c r="D76" s="188">
        <v>79.086091683348073</v>
      </c>
      <c r="E76" s="188">
        <v>61.499061829076247</v>
      </c>
      <c r="F76" s="187">
        <v>46.838498328679577</v>
      </c>
      <c r="G76" s="188"/>
      <c r="H76" s="188">
        <v>35.170555457916208</v>
      </c>
      <c r="I76" s="188">
        <v>33.349530919839154</v>
      </c>
      <c r="J76" s="188">
        <v>24.123666078720824</v>
      </c>
      <c r="K76" s="188">
        <v>18.759060670682956</v>
      </c>
      <c r="L76" s="187">
        <v>14.287158175019892</v>
      </c>
      <c r="M76" s="188"/>
      <c r="N76" s="188">
        <v>80.131260468127394</v>
      </c>
      <c r="O76" s="188">
        <v>75.982297534072529</v>
      </c>
      <c r="P76" s="188">
        <v>54.962425604627256</v>
      </c>
      <c r="Q76" s="188">
        <v>42.740001158393298</v>
      </c>
      <c r="R76" s="187">
        <v>32.55134015365968</v>
      </c>
      <c r="S76" s="188"/>
      <c r="T76" s="188">
        <v>0</v>
      </c>
      <c r="U76" s="188">
        <v>0</v>
      </c>
      <c r="V76" s="188">
        <v>0</v>
      </c>
      <c r="W76" s="188">
        <v>0</v>
      </c>
      <c r="X76" s="187">
        <v>0</v>
      </c>
      <c r="Y76" s="90" t="str">
        <f t="shared" si="77"/>
        <v>45-49</v>
      </c>
      <c r="Z76" s="188">
        <v>139.47645471921948</v>
      </c>
      <c r="AA76" s="188">
        <v>142.31555594986082</v>
      </c>
      <c r="AB76" s="188">
        <v>150.05821621827403</v>
      </c>
      <c r="AC76" s="188">
        <v>153.64746661870106</v>
      </c>
      <c r="AD76" s="187">
        <v>155.27997647346041</v>
      </c>
      <c r="AE76" s="188"/>
      <c r="AF76" s="188">
        <v>133.76971424566429</v>
      </c>
      <c r="AG76" s="188">
        <v>136.49269012868396</v>
      </c>
      <c r="AH76" s="188">
        <v>143.91849594775999</v>
      </c>
      <c r="AI76" s="188">
        <v>147.36094259416896</v>
      </c>
      <c r="AJ76" s="187">
        <v>148.92665752037087</v>
      </c>
      <c r="AK76" s="188"/>
      <c r="AL76" s="188">
        <v>5.7067404735551852</v>
      </c>
      <c r="AM76" s="188">
        <v>5.8228658211768556</v>
      </c>
      <c r="AN76" s="188">
        <v>6.1397202705140401</v>
      </c>
      <c r="AO76" s="188">
        <v>6.2865240245320777</v>
      </c>
      <c r="AP76" s="187">
        <v>6.3533189530895484</v>
      </c>
      <c r="AQ76" s="90" t="str">
        <f t="shared" si="78"/>
        <v>45-49</v>
      </c>
      <c r="AR76" s="188">
        <v>120.1197293547369</v>
      </c>
      <c r="AS76" s="188">
        <v>129.44461559622746</v>
      </c>
      <c r="AT76" s="188">
        <v>136.0726920983779</v>
      </c>
      <c r="AU76" s="188">
        <v>140.49347155222273</v>
      </c>
      <c r="AV76" s="187">
        <v>143.29652519786003</v>
      </c>
      <c r="AW76" s="188"/>
      <c r="AX76" s="188">
        <v>117.05294273548799</v>
      </c>
      <c r="AY76" s="188">
        <v>126.13980543389869</v>
      </c>
      <c r="AZ76" s="188">
        <v>132.59867152271417</v>
      </c>
      <c r="BA76" s="188">
        <v>136.90652744386634</v>
      </c>
      <c r="BB76" s="187">
        <v>139.63803926200524</v>
      </c>
      <c r="BC76" s="188"/>
      <c r="BD76" s="188">
        <v>3.0667866192489188</v>
      </c>
      <c r="BE76" s="188">
        <v>3.3048101623287747</v>
      </c>
      <c r="BF76" s="188">
        <v>3.4740205756637477</v>
      </c>
      <c r="BG76" s="188">
        <v>3.5869441083564158</v>
      </c>
      <c r="BH76" s="187">
        <v>3.6584859358547694</v>
      </c>
    </row>
    <row r="77" spans="1:60" x14ac:dyDescent="0.3">
      <c r="A77" s="90" t="str">
        <f t="shared" si="76"/>
        <v>50-54</v>
      </c>
      <c r="B77" s="188">
        <v>111.27520275605481</v>
      </c>
      <c r="C77" s="188">
        <v>116.43002391638842</v>
      </c>
      <c r="D77" s="188">
        <v>99.298446084176007</v>
      </c>
      <c r="E77" s="188">
        <v>84.486604991419114</v>
      </c>
      <c r="F77" s="187">
        <v>69.243878653988489</v>
      </c>
      <c r="G77" s="188"/>
      <c r="H77" s="188">
        <v>39.173130960659876</v>
      </c>
      <c r="I77" s="188">
        <v>40.987832117041947</v>
      </c>
      <c r="J77" s="188">
        <v>34.956838880438383</v>
      </c>
      <c r="K77" s="188">
        <v>29.742505447101941</v>
      </c>
      <c r="L77" s="187">
        <v>24.376494465649984</v>
      </c>
      <c r="M77" s="188"/>
      <c r="N77" s="188">
        <v>72.102071795394934</v>
      </c>
      <c r="O77" s="188">
        <v>75.442191799346489</v>
      </c>
      <c r="P77" s="188">
        <v>64.34160720373761</v>
      </c>
      <c r="Q77" s="188">
        <v>54.74409954431718</v>
      </c>
      <c r="R77" s="187">
        <v>44.867384188338512</v>
      </c>
      <c r="S77" s="188"/>
      <c r="T77" s="188">
        <v>0</v>
      </c>
      <c r="U77" s="188">
        <v>0</v>
      </c>
      <c r="V77" s="188">
        <v>0</v>
      </c>
      <c r="W77" s="188">
        <v>0</v>
      </c>
      <c r="X77" s="187">
        <v>0</v>
      </c>
      <c r="Y77" s="90" t="str">
        <f t="shared" si="77"/>
        <v>50-54</v>
      </c>
      <c r="Z77" s="188">
        <v>113.3960574955765</v>
      </c>
      <c r="AA77" s="188">
        <v>121.59249637417638</v>
      </c>
      <c r="AB77" s="188">
        <v>133.48105449911949</v>
      </c>
      <c r="AC77" s="188">
        <v>141.58741797337134</v>
      </c>
      <c r="AD77" s="187">
        <v>145.63112009368126</v>
      </c>
      <c r="AE77" s="188"/>
      <c r="AF77" s="188">
        <v>108.44421929852143</v>
      </c>
      <c r="AG77" s="188">
        <v>116.28270261170104</v>
      </c>
      <c r="AH77" s="188">
        <v>127.65209448250005</v>
      </c>
      <c r="AI77" s="188">
        <v>135.40448983032255</v>
      </c>
      <c r="AJ77" s="187">
        <v>139.27159339268175</v>
      </c>
      <c r="AK77" s="188"/>
      <c r="AL77" s="188">
        <v>4.9518381970550793</v>
      </c>
      <c r="AM77" s="188">
        <v>5.3097937624753415</v>
      </c>
      <c r="AN77" s="188">
        <v>5.828960016619444</v>
      </c>
      <c r="AO77" s="188">
        <v>6.1829281430488319</v>
      </c>
      <c r="AP77" s="187">
        <v>6.3595267009995187</v>
      </c>
      <c r="AQ77" s="90" t="str">
        <f t="shared" si="78"/>
        <v>50-54</v>
      </c>
      <c r="AR77" s="188">
        <v>95.512739748368674</v>
      </c>
      <c r="AS77" s="188">
        <v>104.88647970943516</v>
      </c>
      <c r="AT77" s="188">
        <v>127.31949941670452</v>
      </c>
      <c r="AU77" s="188">
        <v>134.10597703520958</v>
      </c>
      <c r="AV77" s="187">
        <v>137.3260012523302</v>
      </c>
      <c r="AW77" s="188"/>
      <c r="AX77" s="188">
        <v>92.592908798161787</v>
      </c>
      <c r="AY77" s="188">
        <v>101.68009864647333</v>
      </c>
      <c r="AZ77" s="188">
        <v>123.42737975287275</v>
      </c>
      <c r="BA77" s="188">
        <v>130.00642315954263</v>
      </c>
      <c r="BB77" s="187">
        <v>133.12800670973192</v>
      </c>
      <c r="BC77" s="188"/>
      <c r="BD77" s="188">
        <v>2.9198309502068871</v>
      </c>
      <c r="BE77" s="188">
        <v>3.2063810629618299</v>
      </c>
      <c r="BF77" s="188">
        <v>3.892119663831775</v>
      </c>
      <c r="BG77" s="188">
        <v>4.0995538756669365</v>
      </c>
      <c r="BH77" s="187">
        <v>4.1979945425982796</v>
      </c>
    </row>
    <row r="78" spans="1:60" x14ac:dyDescent="0.3">
      <c r="A78" s="90" t="str">
        <f t="shared" si="76"/>
        <v>55-59</v>
      </c>
      <c r="B78" s="188">
        <v>68.012091171952278</v>
      </c>
      <c r="C78" s="188">
        <v>76.192899119068656</v>
      </c>
      <c r="D78" s="188">
        <v>80.959107437946358</v>
      </c>
      <c r="E78" s="188">
        <v>80.741803905128123</v>
      </c>
      <c r="F78" s="187">
        <v>67.11887912992232</v>
      </c>
      <c r="G78" s="188"/>
      <c r="H78" s="188">
        <v>26.951872424022827</v>
      </c>
      <c r="I78" s="188">
        <v>30.193746005149503</v>
      </c>
      <c r="J78" s="188">
        <v>32.082502271621657</v>
      </c>
      <c r="K78" s="188">
        <v>31.996398811217055</v>
      </c>
      <c r="L78" s="187">
        <v>26.597935178999514</v>
      </c>
      <c r="M78" s="188"/>
      <c r="N78" s="188">
        <v>41.060218747929468</v>
      </c>
      <c r="O78" s="188">
        <v>45.999153113919157</v>
      </c>
      <c r="P78" s="188">
        <v>48.876605166324701</v>
      </c>
      <c r="Q78" s="188">
        <v>48.74540509391106</v>
      </c>
      <c r="R78" s="187">
        <v>40.520943950922806</v>
      </c>
      <c r="S78" s="188"/>
      <c r="T78" s="188">
        <v>0</v>
      </c>
      <c r="U78" s="188">
        <v>0</v>
      </c>
      <c r="V78" s="188">
        <v>0</v>
      </c>
      <c r="W78" s="188">
        <v>0</v>
      </c>
      <c r="X78" s="187">
        <v>0</v>
      </c>
      <c r="Y78" s="90" t="str">
        <f t="shared" si="77"/>
        <v>55-59</v>
      </c>
      <c r="Z78" s="188">
        <v>72.790478327088792</v>
      </c>
      <c r="AA78" s="188">
        <v>72.824377516205331</v>
      </c>
      <c r="AB78" s="188">
        <v>88.796407596616632</v>
      </c>
      <c r="AC78" s="188">
        <v>107.12135329397736</v>
      </c>
      <c r="AD78" s="187">
        <v>114.12115272286486</v>
      </c>
      <c r="AE78" s="188"/>
      <c r="AF78" s="188">
        <v>68.801294834834081</v>
      </c>
      <c r="AG78" s="188">
        <v>68.83331603311845</v>
      </c>
      <c r="AH78" s="188">
        <v>83.930009776338608</v>
      </c>
      <c r="AI78" s="188">
        <v>101.25067814642075</v>
      </c>
      <c r="AJ78" s="187">
        <v>107.86683113473264</v>
      </c>
      <c r="AK78" s="188"/>
      <c r="AL78" s="188">
        <v>3.9891834922546994</v>
      </c>
      <c r="AM78" s="188">
        <v>3.9910614830868849</v>
      </c>
      <c r="AN78" s="188">
        <v>4.8663978202780056</v>
      </c>
      <c r="AO78" s="188">
        <v>5.8706751475565877</v>
      </c>
      <c r="AP78" s="187">
        <v>6.2543215881322256</v>
      </c>
      <c r="AQ78" s="90" t="str">
        <f t="shared" si="78"/>
        <v>55-59</v>
      </c>
      <c r="AR78" s="188">
        <v>71.997430500958913</v>
      </c>
      <c r="AS78" s="188">
        <v>80.286723364726001</v>
      </c>
      <c r="AT78" s="188">
        <v>97.623484965437029</v>
      </c>
      <c r="AU78" s="188">
        <v>111.25484280089452</v>
      </c>
      <c r="AV78" s="187">
        <v>119.13196814721282</v>
      </c>
      <c r="AW78" s="188"/>
      <c r="AX78" s="188">
        <v>69.435486947844097</v>
      </c>
      <c r="AY78" s="188">
        <v>77.429759529039274</v>
      </c>
      <c r="AZ78" s="188">
        <v>94.149691730122299</v>
      </c>
      <c r="BA78" s="188">
        <v>107.29594200979159</v>
      </c>
      <c r="BB78" s="187">
        <v>114.89276509261856</v>
      </c>
      <c r="BC78" s="188"/>
      <c r="BD78" s="188">
        <v>2.5619435531148169</v>
      </c>
      <c r="BE78" s="188">
        <v>2.8569638356867268</v>
      </c>
      <c r="BF78" s="188">
        <v>3.4737932353147438</v>
      </c>
      <c r="BG78" s="188">
        <v>3.9589007911029319</v>
      </c>
      <c r="BH78" s="187">
        <v>4.2392030545942614</v>
      </c>
    </row>
    <row r="79" spans="1:60" x14ac:dyDescent="0.3">
      <c r="A79" s="90" t="str">
        <f t="shared" si="76"/>
        <v>60-64</v>
      </c>
      <c r="B79" s="188">
        <v>22.058986538549966</v>
      </c>
      <c r="C79" s="188">
        <v>25.725899636040516</v>
      </c>
      <c r="D79" s="188">
        <v>23.105090180247199</v>
      </c>
      <c r="E79" s="188">
        <v>23.482130526076944</v>
      </c>
      <c r="F79" s="187">
        <v>20.863456754363423</v>
      </c>
      <c r="G79" s="188"/>
      <c r="H79" s="188">
        <v>10.261625462059436</v>
      </c>
      <c r="I79" s="188">
        <v>11.967431555445883</v>
      </c>
      <c r="J79" s="188">
        <v>10.748274288790256</v>
      </c>
      <c r="K79" s="188">
        <v>10.923637169620605</v>
      </c>
      <c r="L79" s="187">
        <v>9.7054628731438477</v>
      </c>
      <c r="M79" s="188"/>
      <c r="N79" s="188">
        <v>11.797361076490528</v>
      </c>
      <c r="O79" s="188">
        <v>13.758468080594636</v>
      </c>
      <c r="P79" s="188">
        <v>12.356815891456941</v>
      </c>
      <c r="Q79" s="188">
        <v>12.558493356456339</v>
      </c>
      <c r="R79" s="187">
        <v>11.157993881219575</v>
      </c>
      <c r="S79" s="188"/>
      <c r="T79" s="188">
        <v>0</v>
      </c>
      <c r="U79" s="188">
        <v>0</v>
      </c>
      <c r="V79" s="188">
        <v>0</v>
      </c>
      <c r="W79" s="188">
        <v>0</v>
      </c>
      <c r="X79" s="187">
        <v>0</v>
      </c>
      <c r="Y79" s="90" t="str">
        <f t="shared" si="77"/>
        <v>60-64</v>
      </c>
      <c r="Z79" s="188">
        <v>19.033134372987352</v>
      </c>
      <c r="AA79" s="188">
        <v>23.139563185511207</v>
      </c>
      <c r="AB79" s="188">
        <v>29.062611970564706</v>
      </c>
      <c r="AC79" s="188">
        <v>37.775985439184019</v>
      </c>
      <c r="AD79" s="187">
        <v>45.699503561805081</v>
      </c>
      <c r="AE79" s="188"/>
      <c r="AF79" s="188">
        <v>18.159098770843201</v>
      </c>
      <c r="AG79" s="188">
        <v>22.076986233291766</v>
      </c>
      <c r="AH79" s="188">
        <v>27.728037414140051</v>
      </c>
      <c r="AI79" s="188">
        <v>36.041367319946715</v>
      </c>
      <c r="AJ79" s="187">
        <v>43.600996459396789</v>
      </c>
      <c r="AK79" s="188"/>
      <c r="AL79" s="188">
        <v>0.87403560214415288</v>
      </c>
      <c r="AM79" s="188">
        <v>1.0625769522194444</v>
      </c>
      <c r="AN79" s="188">
        <v>1.3345745564246547</v>
      </c>
      <c r="AO79" s="188">
        <v>1.7346181192372983</v>
      </c>
      <c r="AP79" s="187">
        <v>2.0985071024082935</v>
      </c>
      <c r="AQ79" s="90" t="str">
        <f t="shared" si="78"/>
        <v>60-64</v>
      </c>
      <c r="AR79" s="188">
        <v>28.502879088462684</v>
      </c>
      <c r="AS79" s="188">
        <v>37.330537178448267</v>
      </c>
      <c r="AT79" s="188">
        <v>46.611297849188091</v>
      </c>
      <c r="AU79" s="188">
        <v>59.348884034739037</v>
      </c>
      <c r="AV79" s="187">
        <v>72.006039683831503</v>
      </c>
      <c r="AW79" s="188"/>
      <c r="AX79" s="188">
        <v>26.621847428232694</v>
      </c>
      <c r="AY79" s="188">
        <v>34.866929781336395</v>
      </c>
      <c r="AZ79" s="188">
        <v>43.535121181596431</v>
      </c>
      <c r="BA79" s="188">
        <v>55.432075117845166</v>
      </c>
      <c r="BB79" s="187">
        <v>67.253939495670267</v>
      </c>
      <c r="BC79" s="188"/>
      <c r="BD79" s="188">
        <v>1.881031660229987</v>
      </c>
      <c r="BE79" s="188">
        <v>2.463607397111879</v>
      </c>
      <c r="BF79" s="188">
        <v>3.0761766675916631</v>
      </c>
      <c r="BG79" s="188">
        <v>3.9168089168938671</v>
      </c>
      <c r="BH79" s="187">
        <v>4.7521001881612417</v>
      </c>
    </row>
    <row r="80" spans="1:60" x14ac:dyDescent="0.3">
      <c r="A80" s="90" t="str">
        <f t="shared" si="76"/>
        <v>65+</v>
      </c>
      <c r="B80" s="188">
        <v>6.9211439895691509</v>
      </c>
      <c r="C80" s="188">
        <v>11.403315499909841</v>
      </c>
      <c r="D80" s="188">
        <v>10.028756519263442</v>
      </c>
      <c r="E80" s="188">
        <v>7.9572606059831097</v>
      </c>
      <c r="F80" s="187">
        <v>6.1556020468771537</v>
      </c>
      <c r="G80" s="188"/>
      <c r="H80" s="188">
        <v>3.3880153703013169</v>
      </c>
      <c r="I80" s="188">
        <v>5.5821599276043257</v>
      </c>
      <c r="J80" s="188">
        <v>4.9092330155000692</v>
      </c>
      <c r="K80" s="188">
        <v>3.8952339057066752</v>
      </c>
      <c r="L80" s="187">
        <v>3.0132549845592425</v>
      </c>
      <c r="M80" s="188"/>
      <c r="N80" s="188">
        <v>3.5331286192678335</v>
      </c>
      <c r="O80" s="188">
        <v>5.8211555723055133</v>
      </c>
      <c r="P80" s="188">
        <v>5.1195235037633742</v>
      </c>
      <c r="Q80" s="188">
        <v>4.0620267002764345</v>
      </c>
      <c r="R80" s="187">
        <v>3.1423470623179108</v>
      </c>
      <c r="S80" s="188"/>
      <c r="T80" s="188">
        <v>0</v>
      </c>
      <c r="U80" s="188">
        <v>0</v>
      </c>
      <c r="V80" s="188">
        <v>0</v>
      </c>
      <c r="W80" s="188">
        <v>0</v>
      </c>
      <c r="X80" s="187">
        <v>0</v>
      </c>
      <c r="Y80" s="90" t="str">
        <f t="shared" si="77"/>
        <v>65+</v>
      </c>
      <c r="Z80" s="188">
        <v>5.0779151858860399</v>
      </c>
      <c r="AA80" s="188">
        <v>5.8560125079035359</v>
      </c>
      <c r="AB80" s="188">
        <v>7.4475071119826133</v>
      </c>
      <c r="AC80" s="188">
        <v>8.0611678258540653</v>
      </c>
      <c r="AD80" s="187">
        <v>8.6521443263082798</v>
      </c>
      <c r="AE80" s="188"/>
      <c r="AF80" s="188">
        <v>4.4280912105889678</v>
      </c>
      <c r="AG80" s="188">
        <v>5.1066439452522596</v>
      </c>
      <c r="AH80" s="188">
        <v>6.4944416235841498</v>
      </c>
      <c r="AI80" s="188">
        <v>7.0296284480755258</v>
      </c>
      <c r="AJ80" s="187">
        <v>7.5449282666861546</v>
      </c>
      <c r="AK80" s="188"/>
      <c r="AL80" s="188">
        <v>0.64982397529707225</v>
      </c>
      <c r="AM80" s="188">
        <v>0.74936856265127538</v>
      </c>
      <c r="AN80" s="188">
        <v>0.95306548839846261</v>
      </c>
      <c r="AO80" s="188">
        <v>1.03153937777854</v>
      </c>
      <c r="AP80" s="187">
        <v>1.1072160596221259</v>
      </c>
      <c r="AQ80" s="90" t="str">
        <f t="shared" si="78"/>
        <v>65+</v>
      </c>
      <c r="AR80" s="188">
        <v>10.295940824544813</v>
      </c>
      <c r="AS80" s="188">
        <v>8.0706719921866217</v>
      </c>
      <c r="AT80" s="188">
        <v>14.988736368753946</v>
      </c>
      <c r="AU80" s="188">
        <v>18.053571568162823</v>
      </c>
      <c r="AV80" s="187">
        <v>21.595253626814571</v>
      </c>
      <c r="AW80" s="188"/>
      <c r="AX80" s="188">
        <v>9.5711093689595526</v>
      </c>
      <c r="AY80" s="188">
        <v>7.5024694874410747</v>
      </c>
      <c r="AZ80" s="188">
        <v>13.933474089451744</v>
      </c>
      <c r="BA80" s="188">
        <v>16.782613628155822</v>
      </c>
      <c r="BB80" s="187">
        <v>20.07497877515241</v>
      </c>
      <c r="BC80" s="188"/>
      <c r="BD80" s="188">
        <v>0.72483145558525974</v>
      </c>
      <c r="BE80" s="188">
        <v>0.5682025047455489</v>
      </c>
      <c r="BF80" s="188">
        <v>1.0552622793022017</v>
      </c>
      <c r="BG80" s="188">
        <v>1.2709579400070001</v>
      </c>
      <c r="BH80" s="187">
        <v>1.5202748516621645</v>
      </c>
    </row>
    <row r="81" spans="1:60" x14ac:dyDescent="0.3"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7"/>
      <c r="P81" s="187"/>
      <c r="Q81" s="187"/>
      <c r="R81" s="187"/>
      <c r="S81" s="187"/>
      <c r="T81" s="93"/>
      <c r="U81" s="93"/>
      <c r="V81" s="93"/>
      <c r="W81" s="93"/>
      <c r="X81" s="93"/>
      <c r="Z81" s="187"/>
      <c r="AA81" s="187"/>
      <c r="AB81" s="187"/>
      <c r="AC81" s="187"/>
      <c r="AD81" s="187"/>
      <c r="AE81" s="187"/>
      <c r="AF81" s="187"/>
      <c r="AG81" s="187"/>
      <c r="AH81" s="187"/>
      <c r="AI81" s="187"/>
      <c r="AJ81" s="187"/>
      <c r="AK81" s="187"/>
      <c r="AL81" s="187"/>
      <c r="AM81" s="187"/>
      <c r="AN81" s="187"/>
      <c r="AO81" s="187"/>
      <c r="AP81" s="187"/>
      <c r="AR81" s="188"/>
      <c r="AS81" s="188"/>
      <c r="AT81" s="188"/>
      <c r="AU81" s="188"/>
      <c r="AV81" s="187"/>
      <c r="AW81" s="187"/>
      <c r="AX81" s="187"/>
      <c r="AY81" s="187"/>
      <c r="AZ81" s="187"/>
      <c r="BA81" s="187"/>
      <c r="BB81" s="187"/>
      <c r="BC81" s="187"/>
      <c r="BD81" s="187"/>
      <c r="BE81" s="187"/>
      <c r="BF81" s="187"/>
      <c r="BG81" s="187"/>
      <c r="BH81" s="187"/>
    </row>
    <row r="82" spans="1:60" x14ac:dyDescent="0.3">
      <c r="A82" s="113" t="str">
        <f>A34</f>
        <v>Females</v>
      </c>
      <c r="B82" s="187"/>
      <c r="C82" s="187"/>
      <c r="D82" s="187"/>
      <c r="E82" s="187"/>
      <c r="F82" s="187"/>
      <c r="G82" s="187"/>
      <c r="H82" s="187"/>
      <c r="I82" s="187"/>
      <c r="J82" s="187"/>
      <c r="K82" s="187"/>
      <c r="L82" s="187"/>
      <c r="M82" s="187"/>
      <c r="N82" s="187"/>
      <c r="O82" s="187"/>
      <c r="P82" s="187"/>
      <c r="Q82" s="187"/>
      <c r="R82" s="187"/>
      <c r="S82" s="187"/>
      <c r="T82" s="93"/>
      <c r="U82" s="93"/>
      <c r="V82" s="93"/>
      <c r="W82" s="93"/>
      <c r="X82" s="93"/>
      <c r="Y82" s="113" t="str">
        <f>Y34</f>
        <v>Females</v>
      </c>
      <c r="Z82" s="187"/>
      <c r="AA82" s="187"/>
      <c r="AB82" s="187"/>
      <c r="AC82" s="187"/>
      <c r="AD82" s="187"/>
      <c r="AE82" s="187"/>
      <c r="AF82" s="187"/>
      <c r="AG82" s="187"/>
      <c r="AH82" s="187"/>
      <c r="AI82" s="187"/>
      <c r="AJ82" s="187"/>
      <c r="AK82" s="187"/>
      <c r="AL82" s="187"/>
      <c r="AM82" s="187"/>
      <c r="AN82" s="187"/>
      <c r="AO82" s="187"/>
      <c r="AP82" s="187"/>
      <c r="AQ82" s="113" t="str">
        <f>AQ34</f>
        <v>Females</v>
      </c>
      <c r="AR82" s="93"/>
      <c r="AS82" s="93"/>
      <c r="AT82" s="93"/>
      <c r="AU82" s="93"/>
      <c r="AV82" s="187"/>
      <c r="AW82" s="187"/>
      <c r="AX82" s="187"/>
      <c r="AY82" s="187"/>
      <c r="AZ82" s="187"/>
      <c r="BA82" s="187"/>
      <c r="BB82" s="187"/>
      <c r="BC82" s="187"/>
      <c r="BD82" s="187"/>
      <c r="BE82" s="187"/>
      <c r="BF82" s="187"/>
      <c r="BG82" s="187"/>
      <c r="BH82" s="187"/>
    </row>
    <row r="83" spans="1:60" x14ac:dyDescent="0.3">
      <c r="A83" s="90" t="str">
        <f>A35</f>
        <v>15+</v>
      </c>
      <c r="B83" s="188">
        <f>SUM(B84:B94)</f>
        <v>423.06360139942507</v>
      </c>
      <c r="C83" s="188">
        <f t="shared" ref="C83:F83" si="79">SUM(C84:C94)</f>
        <v>420.02944292320001</v>
      </c>
      <c r="D83" s="188">
        <f t="shared" si="79"/>
        <v>340.32430055838188</v>
      </c>
      <c r="E83" s="188">
        <f t="shared" si="79"/>
        <v>280.86469102706656</v>
      </c>
      <c r="F83" s="188">
        <f t="shared" si="79"/>
        <v>223.76680386266278</v>
      </c>
      <c r="G83" s="188"/>
      <c r="H83" s="188">
        <f>SUM(H84:H94)</f>
        <v>145.89694047973552</v>
      </c>
      <c r="I83" s="188">
        <f t="shared" ref="I83:L83" si="80">SUM(I84:I94)</f>
        <v>145.07481013301967</v>
      </c>
      <c r="J83" s="188">
        <f t="shared" si="80"/>
        <v>119.0698940829858</v>
      </c>
      <c r="K83" s="188">
        <f t="shared" si="80"/>
        <v>97.685423606672089</v>
      </c>
      <c r="L83" s="188">
        <f t="shared" si="80"/>
        <v>77.126697351246889</v>
      </c>
      <c r="M83" s="188"/>
      <c r="N83" s="188">
        <f>SUM(N84:N94)</f>
        <v>277.16666091968955</v>
      </c>
      <c r="O83" s="188">
        <f t="shared" ref="O83:R83" si="81">SUM(O84:O94)</f>
        <v>274.95463279018031</v>
      </c>
      <c r="P83" s="188">
        <f t="shared" si="81"/>
        <v>221.25440647539608</v>
      </c>
      <c r="Q83" s="188">
        <f t="shared" si="81"/>
        <v>183.17926742039447</v>
      </c>
      <c r="R83" s="188">
        <f t="shared" si="81"/>
        <v>146.64010651141589</v>
      </c>
      <c r="S83" s="188"/>
      <c r="T83" s="188">
        <f>SUM(T84:T94)</f>
        <v>0</v>
      </c>
      <c r="U83" s="188">
        <f t="shared" ref="U83:X83" si="82">SUM(U84:U94)</f>
        <v>0</v>
      </c>
      <c r="V83" s="188">
        <f t="shared" si="82"/>
        <v>0</v>
      </c>
      <c r="W83" s="188">
        <f t="shared" si="82"/>
        <v>0</v>
      </c>
      <c r="X83" s="188">
        <f t="shared" si="82"/>
        <v>0</v>
      </c>
      <c r="Y83" s="90" t="str">
        <f>Y35</f>
        <v>15+</v>
      </c>
      <c r="Z83" s="188">
        <f>SUM(Z84:Z94)</f>
        <v>835.78959562739158</v>
      </c>
      <c r="AA83" s="188">
        <f t="shared" ref="AA83:AD83" si="83">SUM(AA84:AA94)</f>
        <v>817.71951299037789</v>
      </c>
      <c r="AB83" s="188">
        <f t="shared" si="83"/>
        <v>833.46122225056911</v>
      </c>
      <c r="AC83" s="188">
        <f t="shared" si="83"/>
        <v>872.7568149707464</v>
      </c>
      <c r="AD83" s="188">
        <f t="shared" si="83"/>
        <v>906.76405425389191</v>
      </c>
      <c r="AE83" s="188"/>
      <c r="AF83" s="188">
        <f>SUM(AF84:AF94)</f>
        <v>775.49874803920272</v>
      </c>
      <c r="AG83" s="188">
        <f t="shared" ref="AG83:AJ83" si="84">SUM(AG84:AG94)</f>
        <v>758.80872601036992</v>
      </c>
      <c r="AH83" s="188">
        <f t="shared" si="84"/>
        <v>773.5162619397023</v>
      </c>
      <c r="AI83" s="188">
        <f t="shared" si="84"/>
        <v>810.06846896436525</v>
      </c>
      <c r="AJ83" s="188">
        <f t="shared" si="84"/>
        <v>841.89337685638475</v>
      </c>
      <c r="AK83" s="188"/>
      <c r="AL83" s="188">
        <f>SUM(AL84:AL94)</f>
        <v>60.29084758818869</v>
      </c>
      <c r="AM83" s="188">
        <f t="shared" ref="AM83:AP83" si="85">SUM(AM84:AM94)</f>
        <v>58.910786980008034</v>
      </c>
      <c r="AN83" s="188">
        <f t="shared" si="85"/>
        <v>59.944960310866939</v>
      </c>
      <c r="AO83" s="188">
        <f t="shared" si="85"/>
        <v>62.688346006381188</v>
      </c>
      <c r="AP83" s="188">
        <f t="shared" si="85"/>
        <v>64.870677397506995</v>
      </c>
      <c r="AQ83" s="90" t="str">
        <f>AQ35</f>
        <v>15+</v>
      </c>
      <c r="AR83" s="188">
        <f>SUM(AR84:AR94)</f>
        <v>889.40880297318358</v>
      </c>
      <c r="AS83" s="188">
        <f t="shared" ref="AS83:AV83" si="86">SUM(AS84:AS94)</f>
        <v>982.33504408642204</v>
      </c>
      <c r="AT83" s="188">
        <f t="shared" si="86"/>
        <v>1108.5044771910491</v>
      </c>
      <c r="AU83" s="188">
        <f t="shared" si="86"/>
        <v>1230.8314940021869</v>
      </c>
      <c r="AV83" s="188">
        <f t="shared" si="86"/>
        <v>1348.9681418834455</v>
      </c>
      <c r="AW83" s="188"/>
      <c r="AX83" s="188">
        <f>SUM(AX84:AX94)</f>
        <v>879.74824720033962</v>
      </c>
      <c r="AY83" s="188">
        <f t="shared" ref="AY83:BB83" si="87">SUM(AY84:AY94)</f>
        <v>971.10421223711137</v>
      </c>
      <c r="AZ83" s="188">
        <f t="shared" si="87"/>
        <v>1095.1677547026629</v>
      </c>
      <c r="BA83" s="188">
        <f t="shared" si="87"/>
        <v>1216.0188704547381</v>
      </c>
      <c r="BB83" s="188">
        <f t="shared" si="87"/>
        <v>1332.3320678155631</v>
      </c>
      <c r="BC83" s="188"/>
      <c r="BD83" s="188">
        <f>SUM(BD84:BD94)</f>
        <v>9.6605557728437574</v>
      </c>
      <c r="BE83" s="188">
        <f t="shared" ref="BE83:BH83" si="88">SUM(BE84:BE94)</f>
        <v>11.105764362713181</v>
      </c>
      <c r="BF83" s="188">
        <f t="shared" si="88"/>
        <v>13.018684577213577</v>
      </c>
      <c r="BG83" s="188">
        <f t="shared" si="88"/>
        <v>14.812623547448824</v>
      </c>
      <c r="BH83" s="188">
        <f t="shared" si="88"/>
        <v>16.636074067882518</v>
      </c>
    </row>
    <row r="84" spans="1:60" x14ac:dyDescent="0.3">
      <c r="A84" s="90" t="str">
        <f t="shared" ref="A84:A94" si="89">A36</f>
        <v>15-19</v>
      </c>
      <c r="B84" s="188">
        <v>11.952178011992856</v>
      </c>
      <c r="C84" s="188">
        <v>13.402887260222242</v>
      </c>
      <c r="D84" s="188">
        <v>10.497400074288828</v>
      </c>
      <c r="E84" s="188">
        <v>10.487079759394881</v>
      </c>
      <c r="F84" s="187">
        <v>11.380731286753464</v>
      </c>
      <c r="G84" s="187"/>
      <c r="H84" s="188">
        <v>1.9311383476471966</v>
      </c>
      <c r="I84" s="188">
        <v>2.1654425866600273</v>
      </c>
      <c r="J84" s="188">
        <v>1.6960330233653167</v>
      </c>
      <c r="K84" s="188">
        <v>1.6944183086206663</v>
      </c>
      <c r="L84" s="187">
        <v>1.8387489146198699</v>
      </c>
      <c r="M84" s="187"/>
      <c r="N84" s="188">
        <v>10.021039664345659</v>
      </c>
      <c r="O84" s="188">
        <v>11.237444673562216</v>
      </c>
      <c r="P84" s="188">
        <v>8.8013670509235116</v>
      </c>
      <c r="Q84" s="188">
        <v>8.7926614507742151</v>
      </c>
      <c r="R84" s="187">
        <v>9.5419823721335941</v>
      </c>
      <c r="S84" s="187"/>
      <c r="T84" s="188">
        <v>0</v>
      </c>
      <c r="U84" s="188">
        <v>0</v>
      </c>
      <c r="V84" s="188">
        <v>0</v>
      </c>
      <c r="W84" s="188">
        <v>0</v>
      </c>
      <c r="X84" s="187">
        <v>0</v>
      </c>
      <c r="Y84" s="90" t="str">
        <f t="shared" ref="Y84:Y94" si="90">Y36</f>
        <v>15-19</v>
      </c>
      <c r="Z84" s="188">
        <v>10.828592838586953</v>
      </c>
      <c r="AA84" s="188">
        <v>10.260045253180333</v>
      </c>
      <c r="AB84" s="188">
        <v>8.3705620145386224</v>
      </c>
      <c r="AC84" s="188">
        <v>8.9334389435199988</v>
      </c>
      <c r="AD84" s="187">
        <v>10.306241587925554</v>
      </c>
      <c r="AE84" s="187"/>
      <c r="AF84" s="188">
        <v>10.269940466538486</v>
      </c>
      <c r="AG84" s="188">
        <v>9.7306883630573378</v>
      </c>
      <c r="AH84" s="188">
        <v>7.9386523921141237</v>
      </c>
      <c r="AI84" s="188">
        <v>8.4725263317021824</v>
      </c>
      <c r="AJ84" s="187">
        <v>9.7745223494256592</v>
      </c>
      <c r="AK84" s="187"/>
      <c r="AL84" s="188">
        <v>0.55865237204846663</v>
      </c>
      <c r="AM84" s="188">
        <v>0.52935689012299614</v>
      </c>
      <c r="AN84" s="188">
        <v>0.43190962242449843</v>
      </c>
      <c r="AO84" s="188">
        <v>0.46091261181781773</v>
      </c>
      <c r="AP84" s="187">
        <v>0.53171923849989433</v>
      </c>
      <c r="AQ84" s="90" t="str">
        <f t="shared" ref="AQ84:AQ94" si="91">AQ36</f>
        <v>15-19</v>
      </c>
      <c r="AR84" s="188">
        <v>0.12322914942019014</v>
      </c>
      <c r="AS84" s="188">
        <v>0.12506748659742103</v>
      </c>
      <c r="AT84" s="188">
        <v>0.31803791117255348</v>
      </c>
      <c r="AU84" s="188">
        <v>0.32248129708511647</v>
      </c>
      <c r="AV84" s="187">
        <v>0.3530271253209819</v>
      </c>
      <c r="AW84" s="187"/>
      <c r="AX84" s="188">
        <v>0.12322914942019014</v>
      </c>
      <c r="AY84" s="188">
        <v>0</v>
      </c>
      <c r="AZ84" s="188">
        <v>0</v>
      </c>
      <c r="BA84" s="188">
        <v>0.32248129708511647</v>
      </c>
      <c r="BB84" s="187">
        <v>0.3530271253209819</v>
      </c>
      <c r="BC84" s="187"/>
      <c r="BD84" s="188">
        <v>0</v>
      </c>
      <c r="BE84" s="188">
        <v>0</v>
      </c>
      <c r="BF84" s="188">
        <v>0</v>
      </c>
      <c r="BG84" s="188">
        <v>0</v>
      </c>
      <c r="BH84" s="187">
        <v>0</v>
      </c>
    </row>
    <row r="85" spans="1:60" x14ac:dyDescent="0.3">
      <c r="A85" s="90" t="str">
        <f t="shared" si="89"/>
        <v>20-24</v>
      </c>
      <c r="B85" s="188">
        <v>27.162073940488085</v>
      </c>
      <c r="C85" s="188">
        <v>25.818959473458939</v>
      </c>
      <c r="D85" s="188">
        <v>19.430418992506574</v>
      </c>
      <c r="E85" s="188">
        <v>17.065770140454763</v>
      </c>
      <c r="F85" s="187">
        <v>15.339491201948526</v>
      </c>
      <c r="G85" s="187"/>
      <c r="H85" s="188">
        <v>7.738175779416105</v>
      </c>
      <c r="I85" s="188">
        <v>7.3555159173417479</v>
      </c>
      <c r="J85" s="188">
        <v>5.5355294417133862</v>
      </c>
      <c r="K85" s="188">
        <v>4.8618655592881783</v>
      </c>
      <c r="L85" s="187">
        <v>4.370057954996903</v>
      </c>
      <c r="M85" s="187"/>
      <c r="N85" s="188">
        <v>19.423898161071982</v>
      </c>
      <c r="O85" s="188">
        <v>18.463443556117188</v>
      </c>
      <c r="P85" s="188">
        <v>13.894889550793188</v>
      </c>
      <c r="Q85" s="188">
        <v>12.203904581166585</v>
      </c>
      <c r="R85" s="187">
        <v>10.96943324695162</v>
      </c>
      <c r="S85" s="187"/>
      <c r="T85" s="188">
        <v>0</v>
      </c>
      <c r="U85" s="188">
        <v>0</v>
      </c>
      <c r="V85" s="188">
        <v>0</v>
      </c>
      <c r="W85" s="188">
        <v>0</v>
      </c>
      <c r="X85" s="187">
        <v>0</v>
      </c>
      <c r="Y85" s="90" t="str">
        <f t="shared" si="90"/>
        <v>20-24</v>
      </c>
      <c r="Z85" s="188">
        <v>83.029902962100564</v>
      </c>
      <c r="AA85" s="188">
        <v>84.099064086151856</v>
      </c>
      <c r="AB85" s="188">
        <v>75.456016390238844</v>
      </c>
      <c r="AC85" s="188">
        <v>72.409581167242635</v>
      </c>
      <c r="AD85" s="187">
        <v>70.925077672432323</v>
      </c>
      <c r="AE85" s="187"/>
      <c r="AF85" s="188">
        <v>74.996139409236491</v>
      </c>
      <c r="AG85" s="188">
        <v>75.961913287114783</v>
      </c>
      <c r="AH85" s="188">
        <v>68.155149094152151</v>
      </c>
      <c r="AI85" s="188">
        <v>65.403445863093296</v>
      </c>
      <c r="AJ85" s="187">
        <v>64.062544551136526</v>
      </c>
      <c r="AK85" s="187"/>
      <c r="AL85" s="188">
        <v>8.0337635528640625</v>
      </c>
      <c r="AM85" s="188">
        <v>8.1371507990370748</v>
      </c>
      <c r="AN85" s="188">
        <v>7.3008672960866994</v>
      </c>
      <c r="AO85" s="188">
        <v>7.0061353041493399</v>
      </c>
      <c r="AP85" s="187">
        <v>6.8625331212957974</v>
      </c>
      <c r="AQ85" s="90" t="str">
        <f t="shared" si="91"/>
        <v>20-24</v>
      </c>
      <c r="AR85" s="188">
        <v>64.096023097411347</v>
      </c>
      <c r="AS85" s="188">
        <v>59.5749764403892</v>
      </c>
      <c r="AT85" s="188">
        <v>64.928564617254594</v>
      </c>
      <c r="AU85" s="188">
        <v>69.876648692302624</v>
      </c>
      <c r="AV85" s="187">
        <v>76.967431125619157</v>
      </c>
      <c r="AW85" s="187"/>
      <c r="AX85" s="188">
        <v>63.936315058758787</v>
      </c>
      <c r="AY85" s="188">
        <v>59.426553735923072</v>
      </c>
      <c r="AZ85" s="188">
        <v>64.766758302259873</v>
      </c>
      <c r="BA85" s="188">
        <v>69.702519316956455</v>
      </c>
      <c r="BB85" s="187">
        <v>76.775653915926199</v>
      </c>
      <c r="BC85" s="187"/>
      <c r="BD85" s="188">
        <v>0.1597080386525653</v>
      </c>
      <c r="BE85" s="188">
        <v>0.14842270446612335</v>
      </c>
      <c r="BF85" s="188">
        <v>0.16180631499472672</v>
      </c>
      <c r="BG85" s="188">
        <v>0.17412937534616696</v>
      </c>
      <c r="BH85" s="187">
        <v>0.19177720969295214</v>
      </c>
    </row>
    <row r="86" spans="1:60" x14ac:dyDescent="0.3">
      <c r="A86" s="90" t="str">
        <f t="shared" si="89"/>
        <v>25-29</v>
      </c>
      <c r="B86" s="188">
        <v>28.972672566594831</v>
      </c>
      <c r="C86" s="188">
        <v>33.619340539542968</v>
      </c>
      <c r="D86" s="188">
        <v>28.636722146171739</v>
      </c>
      <c r="E86" s="188">
        <v>27.654766165607402</v>
      </c>
      <c r="F86" s="187">
        <v>24.701036177168444</v>
      </c>
      <c r="G86" s="187"/>
      <c r="H86" s="188">
        <v>7.950704122039733</v>
      </c>
      <c r="I86" s="188">
        <v>9.2258401283768823</v>
      </c>
      <c r="J86" s="188">
        <v>7.8585514263485647</v>
      </c>
      <c r="K86" s="188">
        <v>7.589044948115105</v>
      </c>
      <c r="L86" s="187">
        <v>6.778482350960795</v>
      </c>
      <c r="M86" s="187"/>
      <c r="N86" s="188">
        <v>21.021968444555103</v>
      </c>
      <c r="O86" s="188">
        <v>24.393500411166084</v>
      </c>
      <c r="P86" s="188">
        <v>20.778170719823173</v>
      </c>
      <c r="Q86" s="188">
        <v>20.065721217492296</v>
      </c>
      <c r="R86" s="187">
        <v>17.922553826207647</v>
      </c>
      <c r="S86" s="187"/>
      <c r="T86" s="188">
        <v>0</v>
      </c>
      <c r="U86" s="188">
        <v>0</v>
      </c>
      <c r="V86" s="188">
        <v>0</v>
      </c>
      <c r="W86" s="188">
        <v>0</v>
      </c>
      <c r="X86" s="187">
        <v>0</v>
      </c>
      <c r="Y86" s="90" t="str">
        <f t="shared" si="90"/>
        <v>25-29</v>
      </c>
      <c r="Z86" s="188">
        <v>104.35741449365315</v>
      </c>
      <c r="AA86" s="188">
        <v>97.185337610544352</v>
      </c>
      <c r="AB86" s="188">
        <v>95.599811894115447</v>
      </c>
      <c r="AC86" s="188">
        <v>97.118545376405621</v>
      </c>
      <c r="AD86" s="187">
        <v>91.712418531394292</v>
      </c>
      <c r="AE86" s="187"/>
      <c r="AF86" s="188">
        <v>94.421539979508964</v>
      </c>
      <c r="AG86" s="188">
        <v>87.932329636056579</v>
      </c>
      <c r="AH86" s="188">
        <v>86.497719374499709</v>
      </c>
      <c r="AI86" s="188">
        <v>87.87184276496231</v>
      </c>
      <c r="AJ86" s="187">
        <v>82.980425552523215</v>
      </c>
      <c r="AK86" s="187"/>
      <c r="AL86" s="188">
        <v>9.9358745141441993</v>
      </c>
      <c r="AM86" s="188">
        <v>9.2530079744877742</v>
      </c>
      <c r="AN86" s="188">
        <v>9.1020925196157414</v>
      </c>
      <c r="AO86" s="188">
        <v>9.2467026114433057</v>
      </c>
      <c r="AP86" s="187">
        <v>8.7319929788710677</v>
      </c>
      <c r="AQ86" s="90" t="str">
        <f t="shared" si="91"/>
        <v>25-29</v>
      </c>
      <c r="AR86" s="188">
        <v>154.57691293975205</v>
      </c>
      <c r="AS86" s="188">
        <v>158.68732184991271</v>
      </c>
      <c r="AT86" s="188">
        <v>170.7534659597128</v>
      </c>
      <c r="AU86" s="188">
        <v>191.50468845798702</v>
      </c>
      <c r="AV86" s="187">
        <v>199.18454529143727</v>
      </c>
      <c r="AW86" s="187"/>
      <c r="AX86" s="188">
        <v>153.36078875627214</v>
      </c>
      <c r="AY86" s="188">
        <v>157.4389010397588</v>
      </c>
      <c r="AZ86" s="188">
        <v>169.41011412348425</v>
      </c>
      <c r="BA86" s="188">
        <v>189.99801160263456</v>
      </c>
      <c r="BB86" s="187">
        <v>197.61746925057139</v>
      </c>
      <c r="BC86" s="187"/>
      <c r="BD86" s="188">
        <v>1.216124183479921</v>
      </c>
      <c r="BE86" s="188">
        <v>1.2484208101538898</v>
      </c>
      <c r="BF86" s="188">
        <v>1.3433518362285748</v>
      </c>
      <c r="BG86" s="188">
        <v>1.5066768553524434</v>
      </c>
      <c r="BH86" s="187">
        <v>1.5670760408658764</v>
      </c>
    </row>
    <row r="87" spans="1:60" x14ac:dyDescent="0.3">
      <c r="A87" s="90" t="str">
        <f t="shared" si="89"/>
        <v>30-34</v>
      </c>
      <c r="B87" s="188">
        <v>28.548429106302432</v>
      </c>
      <c r="C87" s="188">
        <v>33.358134400600257</v>
      </c>
      <c r="D87" s="188">
        <v>26.133347885177166</v>
      </c>
      <c r="E87" s="188">
        <v>24.365255828037625</v>
      </c>
      <c r="F87" s="187">
        <v>20.217650831183683</v>
      </c>
      <c r="G87" s="187"/>
      <c r="H87" s="188">
        <v>8.8494100941278067</v>
      </c>
      <c r="I87" s="188">
        <v>10.340333649356303</v>
      </c>
      <c r="J87" s="188">
        <v>8.1007469331818331</v>
      </c>
      <c r="K87" s="188">
        <v>7.5527322076666525</v>
      </c>
      <c r="L87" s="187">
        <v>6.2670936294528277</v>
      </c>
      <c r="M87" s="187"/>
      <c r="N87" s="188">
        <v>19.699019012174627</v>
      </c>
      <c r="O87" s="188">
        <v>23.017800751243954</v>
      </c>
      <c r="P87" s="188">
        <v>18.032600951995331</v>
      </c>
      <c r="Q87" s="188">
        <v>16.812523620370971</v>
      </c>
      <c r="R87" s="187">
        <v>13.950557201730856</v>
      </c>
      <c r="S87" s="187"/>
      <c r="T87" s="188">
        <v>0</v>
      </c>
      <c r="U87" s="188">
        <v>0</v>
      </c>
      <c r="V87" s="188">
        <v>0</v>
      </c>
      <c r="W87" s="188">
        <v>0</v>
      </c>
      <c r="X87" s="187">
        <v>0</v>
      </c>
      <c r="Y87" s="90" t="str">
        <f t="shared" si="90"/>
        <v>30-34</v>
      </c>
      <c r="Z87" s="188">
        <v>108.05302506717383</v>
      </c>
      <c r="AA87" s="188">
        <v>98.910651662683122</v>
      </c>
      <c r="AB87" s="188">
        <v>99.823038706554627</v>
      </c>
      <c r="AC87" s="188">
        <v>99.91027324420439</v>
      </c>
      <c r="AD87" s="187">
        <v>100.65577680822747</v>
      </c>
      <c r="AE87" s="187"/>
      <c r="AF87" s="188">
        <v>98.864662354008289</v>
      </c>
      <c r="AG87" s="188">
        <v>90.499770716250708</v>
      </c>
      <c r="AH87" s="188">
        <v>91.334572918369915</v>
      </c>
      <c r="AI87" s="188">
        <v>91.414386042419594</v>
      </c>
      <c r="AJ87" s="187">
        <v>92.096473466363605</v>
      </c>
      <c r="AK87" s="187"/>
      <c r="AL87" s="188">
        <v>9.1883627131655423</v>
      </c>
      <c r="AM87" s="188">
        <v>8.4108809464324228</v>
      </c>
      <c r="AN87" s="188">
        <v>8.4884657881847136</v>
      </c>
      <c r="AO87" s="188">
        <v>8.4958872017847948</v>
      </c>
      <c r="AP87" s="187">
        <v>8.5593033418638793</v>
      </c>
      <c r="AQ87" s="90" t="str">
        <f t="shared" si="91"/>
        <v>30-34</v>
      </c>
      <c r="AR87" s="188">
        <v>154.40154582652374</v>
      </c>
      <c r="AS87" s="188">
        <v>164.11921393671662</v>
      </c>
      <c r="AT87" s="188">
        <v>176.72761340826818</v>
      </c>
      <c r="AU87" s="188">
        <v>194.300470927758</v>
      </c>
      <c r="AV87" s="187">
        <v>216.50257236058886</v>
      </c>
      <c r="AW87" s="187"/>
      <c r="AX87" s="188">
        <v>152.67917871565837</v>
      </c>
      <c r="AY87" s="188">
        <v>162.28847354227025</v>
      </c>
      <c r="AZ87" s="188">
        <v>174.75627406499731</v>
      </c>
      <c r="BA87" s="188">
        <v>192.1331101550017</v>
      </c>
      <c r="BB87" s="187">
        <v>214.08754627952416</v>
      </c>
      <c r="BC87" s="187"/>
      <c r="BD87" s="188">
        <v>1.7223671108653775</v>
      </c>
      <c r="BE87" s="188">
        <v>1.8307403944463407</v>
      </c>
      <c r="BF87" s="188">
        <v>1.9713393432708828</v>
      </c>
      <c r="BG87" s="188">
        <v>2.1673607727562971</v>
      </c>
      <c r="BH87" s="187">
        <v>2.415026081064688</v>
      </c>
    </row>
    <row r="88" spans="1:60" x14ac:dyDescent="0.3">
      <c r="A88" s="90" t="str">
        <f t="shared" si="89"/>
        <v>35-39</v>
      </c>
      <c r="B88" s="188">
        <v>44.016457260235349</v>
      </c>
      <c r="C88" s="188">
        <v>39.976771904202742</v>
      </c>
      <c r="D88" s="188">
        <v>30.464108582682162</v>
      </c>
      <c r="E88" s="188">
        <v>25.442342869618368</v>
      </c>
      <c r="F88" s="187">
        <v>19.313398032930589</v>
      </c>
      <c r="G88" s="187"/>
      <c r="H88" s="188">
        <v>13.170766467977897</v>
      </c>
      <c r="I88" s="188">
        <v>11.962019761666104</v>
      </c>
      <c r="J88" s="188">
        <v>9.1155623116308764</v>
      </c>
      <c r="K88" s="188">
        <v>7.6129848602255867</v>
      </c>
      <c r="L88" s="187">
        <v>5.7790036533667513</v>
      </c>
      <c r="M88" s="187"/>
      <c r="N88" s="188">
        <v>30.845690792257454</v>
      </c>
      <c r="O88" s="188">
        <v>28.014752142536643</v>
      </c>
      <c r="P88" s="188">
        <v>21.348546271051283</v>
      </c>
      <c r="Q88" s="188">
        <v>17.829358009392781</v>
      </c>
      <c r="R88" s="187">
        <v>13.534394379563837</v>
      </c>
      <c r="S88" s="187"/>
      <c r="T88" s="188">
        <v>0</v>
      </c>
      <c r="U88" s="188">
        <v>0</v>
      </c>
      <c r="V88" s="188">
        <v>0</v>
      </c>
      <c r="W88" s="188">
        <v>0</v>
      </c>
      <c r="X88" s="187">
        <v>0</v>
      </c>
      <c r="Y88" s="90" t="str">
        <f t="shared" si="90"/>
        <v>35-39</v>
      </c>
      <c r="Z88" s="188">
        <v>124.3317548459237</v>
      </c>
      <c r="AA88" s="188">
        <v>115.20319439668521</v>
      </c>
      <c r="AB88" s="188">
        <v>103.99848531956397</v>
      </c>
      <c r="AC88" s="188">
        <v>107.78515736503378</v>
      </c>
      <c r="AD88" s="187">
        <v>110.93136167790429</v>
      </c>
      <c r="AE88" s="187"/>
      <c r="AF88" s="188">
        <v>116.17651410584847</v>
      </c>
      <c r="AG88" s="188">
        <v>107.64676072030048</v>
      </c>
      <c r="AH88" s="188">
        <v>97.176962171565435</v>
      </c>
      <c r="AI88" s="188">
        <v>100.71524913353808</v>
      </c>
      <c r="AJ88" s="187">
        <v>103.65514843528025</v>
      </c>
      <c r="AK88" s="187"/>
      <c r="AL88" s="188">
        <v>8.1552407400752234</v>
      </c>
      <c r="AM88" s="188">
        <v>7.5564336763847377</v>
      </c>
      <c r="AN88" s="188">
        <v>6.821523147998537</v>
      </c>
      <c r="AO88" s="188">
        <v>7.06990823149569</v>
      </c>
      <c r="AP88" s="187">
        <v>7.2762132426240571</v>
      </c>
      <c r="AQ88" s="90" t="str">
        <f t="shared" si="91"/>
        <v>35-39</v>
      </c>
      <c r="AR88" s="188">
        <v>141.16078789384099</v>
      </c>
      <c r="AS88" s="188">
        <v>157.71103369911205</v>
      </c>
      <c r="AT88" s="188">
        <v>168.57540609775387</v>
      </c>
      <c r="AU88" s="188">
        <v>191.25249976534786</v>
      </c>
      <c r="AV88" s="187">
        <v>212.66724028916508</v>
      </c>
      <c r="AW88" s="187"/>
      <c r="AX88" s="188">
        <v>139.58664839223439</v>
      </c>
      <c r="AY88" s="188">
        <v>155.9523133601179</v>
      </c>
      <c r="AZ88" s="188">
        <v>166.69556733261371</v>
      </c>
      <c r="BA88" s="188">
        <v>189.11981088672707</v>
      </c>
      <c r="BB88" s="187">
        <v>210.29565301075678</v>
      </c>
      <c r="BC88" s="187"/>
      <c r="BD88" s="188">
        <v>1.5741395016066007</v>
      </c>
      <c r="BE88" s="188">
        <v>1.758720338994133</v>
      </c>
      <c r="BF88" s="188">
        <v>1.8798387651401465</v>
      </c>
      <c r="BG88" s="188">
        <v>2.1326888786208036</v>
      </c>
      <c r="BH88" s="187">
        <v>2.3715872784083478</v>
      </c>
    </row>
    <row r="89" spans="1:60" x14ac:dyDescent="0.3">
      <c r="A89" s="90" t="str">
        <f t="shared" si="89"/>
        <v>40-44</v>
      </c>
      <c r="B89" s="188">
        <v>62.562497845796578</v>
      </c>
      <c r="C89" s="188">
        <v>52.041253862300799</v>
      </c>
      <c r="D89" s="188">
        <v>37.292808343338905</v>
      </c>
      <c r="E89" s="188">
        <v>25.730317953372698</v>
      </c>
      <c r="F89" s="187">
        <v>17.848161884307732</v>
      </c>
      <c r="G89" s="187"/>
      <c r="H89" s="188">
        <v>21.068964130305993</v>
      </c>
      <c r="I89" s="188">
        <v>17.525770127794758</v>
      </c>
      <c r="J89" s="188">
        <v>12.558954308409454</v>
      </c>
      <c r="K89" s="188">
        <v>8.6650962158735219</v>
      </c>
      <c r="L89" s="187">
        <v>6.0106773270790361</v>
      </c>
      <c r="M89" s="187"/>
      <c r="N89" s="188">
        <v>41.493533715490578</v>
      </c>
      <c r="O89" s="188">
        <v>34.515483734506034</v>
      </c>
      <c r="P89" s="188">
        <v>24.73385403492945</v>
      </c>
      <c r="Q89" s="188">
        <v>17.065221737499176</v>
      </c>
      <c r="R89" s="187">
        <v>11.837484557228693</v>
      </c>
      <c r="S89" s="187"/>
      <c r="T89" s="188">
        <v>0</v>
      </c>
      <c r="U89" s="188">
        <v>0</v>
      </c>
      <c r="V89" s="188">
        <v>0</v>
      </c>
      <c r="W89" s="188">
        <v>0</v>
      </c>
      <c r="X89" s="187">
        <v>0</v>
      </c>
      <c r="Y89" s="90" t="str">
        <f t="shared" si="90"/>
        <v>40-44</v>
      </c>
      <c r="Z89" s="188">
        <v>133.43211125882925</v>
      </c>
      <c r="AA89" s="188">
        <v>124.30920077827601</v>
      </c>
      <c r="AB89" s="188">
        <v>114.42328927804037</v>
      </c>
      <c r="AC89" s="188">
        <v>113.59093257500689</v>
      </c>
      <c r="AD89" s="187">
        <v>119.96086291422256</v>
      </c>
      <c r="AE89" s="187"/>
      <c r="AF89" s="188">
        <v>125.56555151187415</v>
      </c>
      <c r="AG89" s="188">
        <v>116.9805269711083</v>
      </c>
      <c r="AH89" s="188">
        <v>107.6774160354275</v>
      </c>
      <c r="AI89" s="188">
        <v>106.89413288813921</v>
      </c>
      <c r="AJ89" s="187">
        <v>112.88853405200165</v>
      </c>
      <c r="AK89" s="187"/>
      <c r="AL89" s="188">
        <v>7.8665597469551063</v>
      </c>
      <c r="AM89" s="188">
        <v>7.3286738071676902</v>
      </c>
      <c r="AN89" s="188">
        <v>6.7458732426128867</v>
      </c>
      <c r="AO89" s="188">
        <v>6.6967996868676751</v>
      </c>
      <c r="AP89" s="187">
        <v>7.0723288622208971</v>
      </c>
      <c r="AQ89" s="90" t="str">
        <f t="shared" si="91"/>
        <v>40-44</v>
      </c>
      <c r="AR89" s="188">
        <v>128.51739089537415</v>
      </c>
      <c r="AS89" s="188">
        <v>144.36154535942319</v>
      </c>
      <c r="AT89" s="188">
        <v>158.66390237862072</v>
      </c>
      <c r="AU89" s="188">
        <v>166.99874947162044</v>
      </c>
      <c r="AV89" s="187">
        <v>185.07097520146974</v>
      </c>
      <c r="AW89" s="187"/>
      <c r="AX89" s="188">
        <v>126.94819387148412</v>
      </c>
      <c r="AY89" s="188">
        <v>142.59892905662338</v>
      </c>
      <c r="AZ89" s="188">
        <v>156.72664379404665</v>
      </c>
      <c r="BA89" s="188">
        <v>164.95975684612029</v>
      </c>
      <c r="BB89" s="187">
        <v>182.81128024141026</v>
      </c>
      <c r="BC89" s="187"/>
      <c r="BD89" s="188">
        <v>1.5691970238900339</v>
      </c>
      <c r="BE89" s="188">
        <v>1.7626163027998376</v>
      </c>
      <c r="BF89" s="188">
        <v>1.937258584574042</v>
      </c>
      <c r="BG89" s="188">
        <v>2.0389926255001587</v>
      </c>
      <c r="BH89" s="187">
        <v>2.2596949600594747</v>
      </c>
    </row>
    <row r="90" spans="1:60" x14ac:dyDescent="0.3">
      <c r="A90" s="90" t="str">
        <f t="shared" si="89"/>
        <v>45-49</v>
      </c>
      <c r="B90" s="188">
        <v>76.803506450596231</v>
      </c>
      <c r="C90" s="188">
        <v>72.369670614720619</v>
      </c>
      <c r="D90" s="188">
        <v>46.757578011014346</v>
      </c>
      <c r="E90" s="188">
        <v>32.914709981477799</v>
      </c>
      <c r="F90" s="187">
        <v>22.643570627464889</v>
      </c>
      <c r="G90" s="187"/>
      <c r="H90" s="188">
        <v>27.94396864638491</v>
      </c>
      <c r="I90" s="188">
        <v>26.330826958934129</v>
      </c>
      <c r="J90" s="188">
        <v>17.012164489510464</v>
      </c>
      <c r="K90" s="188">
        <v>11.975614453855373</v>
      </c>
      <c r="L90" s="187">
        <v>8.2386021908984706</v>
      </c>
      <c r="M90" s="187"/>
      <c r="N90" s="188">
        <v>48.859537804211321</v>
      </c>
      <c r="O90" s="188">
        <v>46.038843655786486</v>
      </c>
      <c r="P90" s="188">
        <v>29.745413521503881</v>
      </c>
      <c r="Q90" s="188">
        <v>20.939095527622428</v>
      </c>
      <c r="R90" s="187">
        <v>14.404968436566421</v>
      </c>
      <c r="S90" s="187"/>
      <c r="T90" s="188">
        <v>0</v>
      </c>
      <c r="U90" s="188">
        <v>0</v>
      </c>
      <c r="V90" s="188">
        <v>0</v>
      </c>
      <c r="W90" s="188">
        <v>0</v>
      </c>
      <c r="X90" s="187">
        <v>0</v>
      </c>
      <c r="Y90" s="90" t="str">
        <f t="shared" si="90"/>
        <v>45-49</v>
      </c>
      <c r="Z90" s="188">
        <v>119.91671183726781</v>
      </c>
      <c r="AA90" s="188">
        <v>117.54013515583459</v>
      </c>
      <c r="AB90" s="188">
        <v>126.00211978783305</v>
      </c>
      <c r="AC90" s="188">
        <v>129.89925725652535</v>
      </c>
      <c r="AD90" s="187">
        <v>132.56976051535059</v>
      </c>
      <c r="AE90" s="187"/>
      <c r="AF90" s="188">
        <v>113.53631898468487</v>
      </c>
      <c r="AG90" s="188">
        <v>111.28619702022586</v>
      </c>
      <c r="AH90" s="188">
        <v>119.29796634507618</v>
      </c>
      <c r="AI90" s="188">
        <v>122.98778022947444</v>
      </c>
      <c r="AJ90" s="187">
        <v>125.51614028502338</v>
      </c>
      <c r="AK90" s="187"/>
      <c r="AL90" s="188">
        <v>6.3803928525829319</v>
      </c>
      <c r="AM90" s="188">
        <v>6.2539381356087462</v>
      </c>
      <c r="AN90" s="188">
        <v>6.7041534427568807</v>
      </c>
      <c r="AO90" s="188">
        <v>6.9114770270509069</v>
      </c>
      <c r="AP90" s="187">
        <v>7.0536202303272111</v>
      </c>
      <c r="AQ90" s="90" t="str">
        <f t="shared" si="91"/>
        <v>45-49</v>
      </c>
      <c r="AR90" s="188">
        <v>113.07878171213598</v>
      </c>
      <c r="AS90" s="188">
        <v>125.98319422944476</v>
      </c>
      <c r="AT90" s="188">
        <v>142.77630220115262</v>
      </c>
      <c r="AU90" s="188">
        <v>151.84003276199684</v>
      </c>
      <c r="AV90" s="187">
        <v>159.15166885718455</v>
      </c>
      <c r="AW90" s="187"/>
      <c r="AX90" s="188">
        <v>111.76159647140302</v>
      </c>
      <c r="AY90" s="188">
        <v>124.51577593370071</v>
      </c>
      <c r="AZ90" s="188">
        <v>141.11320504624786</v>
      </c>
      <c r="BA90" s="188">
        <v>150.07143093938149</v>
      </c>
      <c r="BB90" s="187">
        <v>157.29788066457172</v>
      </c>
      <c r="BC90" s="187"/>
      <c r="BD90" s="188">
        <v>1.3171852407329641</v>
      </c>
      <c r="BE90" s="188">
        <v>1.4674182957440471</v>
      </c>
      <c r="BF90" s="188">
        <v>1.663097154904764</v>
      </c>
      <c r="BG90" s="188">
        <v>1.7686018226153735</v>
      </c>
      <c r="BH90" s="187">
        <v>1.8537881926128472</v>
      </c>
    </row>
    <row r="91" spans="1:60" x14ac:dyDescent="0.3">
      <c r="A91" s="90" t="str">
        <f t="shared" si="89"/>
        <v>50-54</v>
      </c>
      <c r="B91" s="188">
        <v>74.130845817172315</v>
      </c>
      <c r="C91" s="188">
        <v>76.292901659215687</v>
      </c>
      <c r="D91" s="188">
        <v>62.868745854171486</v>
      </c>
      <c r="E91" s="188">
        <v>48.927498060783627</v>
      </c>
      <c r="F91" s="187">
        <v>37.108932956215206</v>
      </c>
      <c r="G91" s="187"/>
      <c r="H91" s="188">
        <v>27.517951911427684</v>
      </c>
      <c r="I91" s="188">
        <v>28.320507284713951</v>
      </c>
      <c r="J91" s="188">
        <v>23.337364458948031</v>
      </c>
      <c r="K91" s="188">
        <v>18.162254416964728</v>
      </c>
      <c r="L91" s="187">
        <v>13.775148267079187</v>
      </c>
      <c r="M91" s="187"/>
      <c r="N91" s="188">
        <v>46.612893905744635</v>
      </c>
      <c r="O91" s="188">
        <v>47.972394374501732</v>
      </c>
      <c r="P91" s="188">
        <v>39.531381395223455</v>
      </c>
      <c r="Q91" s="188">
        <v>30.765243643818895</v>
      </c>
      <c r="R91" s="187">
        <v>23.333784689136024</v>
      </c>
      <c r="S91" s="187"/>
      <c r="T91" s="188">
        <v>0</v>
      </c>
      <c r="U91" s="188">
        <v>0</v>
      </c>
      <c r="V91" s="188">
        <v>0</v>
      </c>
      <c r="W91" s="188">
        <v>0</v>
      </c>
      <c r="X91" s="187">
        <v>0</v>
      </c>
      <c r="Y91" s="90" t="str">
        <f t="shared" si="90"/>
        <v>50-54</v>
      </c>
      <c r="Z91" s="188">
        <v>86.760993384439232</v>
      </c>
      <c r="AA91" s="188">
        <v>96.953240370929649</v>
      </c>
      <c r="AB91" s="188">
        <v>105.73855197584399</v>
      </c>
      <c r="AC91" s="188">
        <v>116.22864044167615</v>
      </c>
      <c r="AD91" s="187">
        <v>126.02469049917889</v>
      </c>
      <c r="AE91" s="187"/>
      <c r="AF91" s="188">
        <v>81.596570349738855</v>
      </c>
      <c r="AG91" s="188">
        <v>91.182181714094824</v>
      </c>
      <c r="AH91" s="188">
        <v>99.444551689154906</v>
      </c>
      <c r="AI91" s="188">
        <v>109.31026683421746</v>
      </c>
      <c r="AJ91" s="187">
        <v>118.52317446256983</v>
      </c>
      <c r="AK91" s="187"/>
      <c r="AL91" s="188">
        <v>5.1644230347003779</v>
      </c>
      <c r="AM91" s="188">
        <v>5.7710586568348159</v>
      </c>
      <c r="AN91" s="188">
        <v>6.2940002866890863</v>
      </c>
      <c r="AO91" s="188">
        <v>6.9183736074586868</v>
      </c>
      <c r="AP91" s="187">
        <v>7.5015160366090656</v>
      </c>
      <c r="AQ91" s="90" t="str">
        <f t="shared" si="91"/>
        <v>50-54</v>
      </c>
      <c r="AR91" s="188">
        <v>76.999160798388473</v>
      </c>
      <c r="AS91" s="188">
        <v>96.560857969854624</v>
      </c>
      <c r="AT91" s="188">
        <v>116.57270216998455</v>
      </c>
      <c r="AU91" s="188">
        <v>128.98986149754023</v>
      </c>
      <c r="AV91" s="187">
        <v>140.9583765446059</v>
      </c>
      <c r="AW91" s="187"/>
      <c r="AX91" s="188">
        <v>76.294968712849709</v>
      </c>
      <c r="AY91" s="188">
        <v>95.677849729956222</v>
      </c>
      <c r="AZ91" s="188">
        <v>115.50670905420014</v>
      </c>
      <c r="BA91" s="188">
        <v>127.81028960948962</v>
      </c>
      <c r="BB91" s="187">
        <v>139.6692906114707</v>
      </c>
      <c r="BC91" s="187"/>
      <c r="BD91" s="188">
        <v>0.70419208553877055</v>
      </c>
      <c r="BE91" s="188">
        <v>0.88300823989842003</v>
      </c>
      <c r="BF91" s="188">
        <v>1.0659931157844085</v>
      </c>
      <c r="BG91" s="188">
        <v>1.1795718880506243</v>
      </c>
      <c r="BH91" s="187">
        <v>1.2890859331351963</v>
      </c>
    </row>
    <row r="92" spans="1:60" x14ac:dyDescent="0.3">
      <c r="A92" s="90" t="str">
        <f t="shared" si="89"/>
        <v>55-59</v>
      </c>
      <c r="B92" s="188">
        <v>50.123111298551322</v>
      </c>
      <c r="C92" s="188">
        <v>49.323988494669976</v>
      </c>
      <c r="D92" s="188">
        <v>54.734368903773372</v>
      </c>
      <c r="E92" s="188">
        <v>46.878192366194043</v>
      </c>
      <c r="F92" s="187">
        <v>36.717928947865651</v>
      </c>
      <c r="G92" s="187"/>
      <c r="H92" s="188">
        <v>20.068212623946785</v>
      </c>
      <c r="I92" s="188">
        <v>19.748271942588062</v>
      </c>
      <c r="J92" s="188">
        <v>21.914478270879478</v>
      </c>
      <c r="K92" s="188">
        <v>18.76897099596793</v>
      </c>
      <c r="L92" s="187">
        <v>14.701046063760439</v>
      </c>
      <c r="M92" s="187"/>
      <c r="N92" s="188">
        <v>30.054898674604537</v>
      </c>
      <c r="O92" s="188">
        <v>29.575716552081918</v>
      </c>
      <c r="P92" s="188">
        <v>32.819890632893888</v>
      </c>
      <c r="Q92" s="188">
        <v>28.109221370226116</v>
      </c>
      <c r="R92" s="187">
        <v>22.016882884105211</v>
      </c>
      <c r="S92" s="187"/>
      <c r="T92" s="188">
        <v>0</v>
      </c>
      <c r="U92" s="188">
        <v>0</v>
      </c>
      <c r="V92" s="188">
        <v>0</v>
      </c>
      <c r="W92" s="188">
        <v>0</v>
      </c>
      <c r="X92" s="187">
        <v>0</v>
      </c>
      <c r="Y92" s="90" t="str">
        <f t="shared" si="90"/>
        <v>55-59</v>
      </c>
      <c r="Z92" s="188">
        <v>50.022718415568512</v>
      </c>
      <c r="AA92" s="188">
        <v>54.941387327680005</v>
      </c>
      <c r="AB92" s="188">
        <v>78.772938863638728</v>
      </c>
      <c r="AC92" s="188">
        <v>94.437586570976393</v>
      </c>
      <c r="AD92" s="187">
        <v>103.91445213238326</v>
      </c>
      <c r="AE92" s="187"/>
      <c r="AF92" s="188">
        <v>46.530169779779939</v>
      </c>
      <c r="AG92" s="188">
        <v>51.105378605023787</v>
      </c>
      <c r="AH92" s="188">
        <v>73.273049746677671</v>
      </c>
      <c r="AI92" s="188">
        <v>87.843993736619538</v>
      </c>
      <c r="AJ92" s="187">
        <v>96.659206845843883</v>
      </c>
      <c r="AK92" s="187"/>
      <c r="AL92" s="188">
        <v>3.4925486357885691</v>
      </c>
      <c r="AM92" s="188">
        <v>3.8360087226562167</v>
      </c>
      <c r="AN92" s="188">
        <v>5.4998891169610493</v>
      </c>
      <c r="AO92" s="188">
        <v>6.5935928343568344</v>
      </c>
      <c r="AP92" s="187">
        <v>7.2552452865393828</v>
      </c>
      <c r="AQ92" s="90" t="str">
        <f t="shared" si="91"/>
        <v>55-59</v>
      </c>
      <c r="AR92" s="188">
        <v>43.944170285880162</v>
      </c>
      <c r="AS92" s="188">
        <v>55.229624177650017</v>
      </c>
      <c r="AT92" s="188">
        <v>80.0286922325879</v>
      </c>
      <c r="AU92" s="188">
        <v>97.06122106282956</v>
      </c>
      <c r="AV92" s="187">
        <v>107.73061891975107</v>
      </c>
      <c r="AW92" s="187"/>
      <c r="AX92" s="188">
        <v>43.298834557519996</v>
      </c>
      <c r="AY92" s="188">
        <v>54.418522326695687</v>
      </c>
      <c r="AZ92" s="188">
        <v>78.853443932668</v>
      </c>
      <c r="BA92" s="188">
        <v>95.635738085376531</v>
      </c>
      <c r="BB92" s="187">
        <v>106.14856157242835</v>
      </c>
      <c r="BC92" s="187"/>
      <c r="BD92" s="188">
        <v>0.64533572836017361</v>
      </c>
      <c r="BE92" s="188">
        <v>0.81110185095432563</v>
      </c>
      <c r="BF92" s="188">
        <v>1.1752482999198919</v>
      </c>
      <c r="BG92" s="188">
        <v>1.4254829774530267</v>
      </c>
      <c r="BH92" s="187">
        <v>1.5820573473227093</v>
      </c>
    </row>
    <row r="93" spans="1:60" x14ac:dyDescent="0.3">
      <c r="A93" s="90" t="str">
        <f t="shared" si="89"/>
        <v>60-64</v>
      </c>
      <c r="B93" s="188">
        <v>13.764231925065078</v>
      </c>
      <c r="C93" s="188">
        <v>18.76836361753071</v>
      </c>
      <c r="D93" s="188">
        <v>18.508542780694757</v>
      </c>
      <c r="E93" s="188">
        <v>17.452835144978611</v>
      </c>
      <c r="F93" s="187">
        <v>14.804084816049919</v>
      </c>
      <c r="G93" s="187"/>
      <c r="H93" s="188">
        <v>6.6702307458031802</v>
      </c>
      <c r="I93" s="188">
        <v>9.0952856087735459</v>
      </c>
      <c r="J93" s="188">
        <v>8.9693500547268563</v>
      </c>
      <c r="K93" s="188">
        <v>8.4577572298816346</v>
      </c>
      <c r="L93" s="187">
        <v>7.1741516654067379</v>
      </c>
      <c r="M93" s="187"/>
      <c r="N93" s="188">
        <v>7.0940011792618973</v>
      </c>
      <c r="O93" s="188">
        <v>9.6730780087571677</v>
      </c>
      <c r="P93" s="188">
        <v>9.5391927259679008</v>
      </c>
      <c r="Q93" s="188">
        <v>8.9950779150969762</v>
      </c>
      <c r="R93" s="187">
        <v>7.62993315064318</v>
      </c>
      <c r="S93" s="187"/>
      <c r="T93" s="188">
        <v>0</v>
      </c>
      <c r="U93" s="188">
        <v>0</v>
      </c>
      <c r="V93" s="188">
        <v>0</v>
      </c>
      <c r="W93" s="188">
        <v>0</v>
      </c>
      <c r="X93" s="187">
        <v>0</v>
      </c>
      <c r="Y93" s="90" t="str">
        <f t="shared" si="90"/>
        <v>60-64</v>
      </c>
      <c r="Z93" s="188">
        <v>12.31020529409596</v>
      </c>
      <c r="AA93" s="188">
        <v>14.261344557443534</v>
      </c>
      <c r="AB93" s="188">
        <v>21.71515850756559</v>
      </c>
      <c r="AC93" s="188">
        <v>28.490108641285989</v>
      </c>
      <c r="AD93" s="187">
        <v>34.561262922202097</v>
      </c>
      <c r="AE93" s="187"/>
      <c r="AF93" s="188">
        <v>11.043928783107889</v>
      </c>
      <c r="AG93" s="188">
        <v>12.794409216272046</v>
      </c>
      <c r="AH93" s="188">
        <v>19.481518497742734</v>
      </c>
      <c r="AI93" s="188">
        <v>25.559606891725771</v>
      </c>
      <c r="AJ93" s="187">
        <v>31.006230901067084</v>
      </c>
      <c r="AK93" s="187"/>
      <c r="AL93" s="188">
        <v>1.2662765109880707</v>
      </c>
      <c r="AM93" s="188">
        <v>1.4669353411714883</v>
      </c>
      <c r="AN93" s="188">
        <v>2.233640009822857</v>
      </c>
      <c r="AO93" s="188">
        <v>2.9305017495602126</v>
      </c>
      <c r="AP93" s="187">
        <v>3.5550320211350139</v>
      </c>
      <c r="AQ93" s="90" t="str">
        <f t="shared" si="91"/>
        <v>60-64</v>
      </c>
      <c r="AR93" s="188">
        <v>10.014562780838963</v>
      </c>
      <c r="AS93" s="188">
        <v>15.861291825025759</v>
      </c>
      <c r="AT93" s="188">
        <v>24.782298711739656</v>
      </c>
      <c r="AU93" s="188">
        <v>32.955056213735411</v>
      </c>
      <c r="AV93" s="187">
        <v>41.965652261747991</v>
      </c>
      <c r="AW93" s="187"/>
      <c r="AX93" s="188">
        <v>9.3191096537115143</v>
      </c>
      <c r="AY93" s="188">
        <v>14.759802271763046</v>
      </c>
      <c r="AZ93" s="188">
        <v>23.061241083126763</v>
      </c>
      <c r="BA93" s="188">
        <v>30.666373272484456</v>
      </c>
      <c r="BB93" s="187">
        <v>39.05130130334193</v>
      </c>
      <c r="BC93" s="187"/>
      <c r="BD93" s="188">
        <v>0.69545312712745089</v>
      </c>
      <c r="BE93" s="188">
        <v>1.1014895532627123</v>
      </c>
      <c r="BF93" s="188">
        <v>1.721057628612892</v>
      </c>
      <c r="BG93" s="188">
        <v>2.2886829412509542</v>
      </c>
      <c r="BH93" s="187">
        <v>2.9143509584060596</v>
      </c>
    </row>
    <row r="94" spans="1:60" x14ac:dyDescent="0.3">
      <c r="A94" s="91" t="str">
        <f t="shared" si="89"/>
        <v>65+</v>
      </c>
      <c r="B94" s="188">
        <v>5.0275971766300218</v>
      </c>
      <c r="C94" s="188">
        <v>5.0571710967350976</v>
      </c>
      <c r="D94" s="188">
        <v>5.0002589845625298</v>
      </c>
      <c r="E94" s="188">
        <v>3.9459227571467377</v>
      </c>
      <c r="F94" s="187">
        <v>3.6918171007746805</v>
      </c>
      <c r="G94" s="189"/>
      <c r="H94" s="188">
        <v>2.987417610658246</v>
      </c>
      <c r="I94" s="188">
        <v>3.0049961668141885</v>
      </c>
      <c r="J94" s="188">
        <v>2.9711593642715379</v>
      </c>
      <c r="K94" s="188">
        <v>2.3446844102127109</v>
      </c>
      <c r="L94" s="187">
        <v>2.1936853336258615</v>
      </c>
      <c r="M94" s="189"/>
      <c r="N94" s="188">
        <v>2.0401795659717767</v>
      </c>
      <c r="O94" s="188">
        <v>2.0521749299209091</v>
      </c>
      <c r="P94" s="188">
        <v>2.0290996202909919</v>
      </c>
      <c r="Q94" s="188">
        <v>1.6012383469340266</v>
      </c>
      <c r="R94" s="187">
        <v>1.4981317671488188</v>
      </c>
      <c r="S94" s="189"/>
      <c r="T94" s="189">
        <v>0</v>
      </c>
      <c r="U94" s="189">
        <v>0</v>
      </c>
      <c r="V94" s="189">
        <v>0</v>
      </c>
      <c r="W94" s="189">
        <v>0</v>
      </c>
      <c r="X94" s="189">
        <v>0</v>
      </c>
      <c r="Y94" s="91" t="str">
        <f t="shared" si="90"/>
        <v>65+</v>
      </c>
      <c r="Z94" s="188">
        <v>2.7461652297525743</v>
      </c>
      <c r="AA94" s="188">
        <v>4.055911790969331</v>
      </c>
      <c r="AB94" s="188">
        <v>3.5612495126359529</v>
      </c>
      <c r="AC94" s="188">
        <v>3.9532933888693056</v>
      </c>
      <c r="AD94" s="187">
        <v>5.2021489926704287</v>
      </c>
      <c r="AE94" s="189"/>
      <c r="AF94" s="188">
        <v>2.4974123148764233</v>
      </c>
      <c r="AG94" s="188">
        <v>3.6885697608652581</v>
      </c>
      <c r="AH94" s="188">
        <v>3.2387036749219651</v>
      </c>
      <c r="AI94" s="188">
        <v>3.5952382484733798</v>
      </c>
      <c r="AJ94" s="187">
        <v>4.7309759551497086</v>
      </c>
      <c r="AK94" s="189"/>
      <c r="AL94" s="188">
        <v>0.24875291487615106</v>
      </c>
      <c r="AM94" s="188">
        <v>0.3673420301040734</v>
      </c>
      <c r="AN94" s="188">
        <v>0.32254583771398837</v>
      </c>
      <c r="AO94" s="188">
        <v>0.35805514039592606</v>
      </c>
      <c r="AP94" s="187">
        <v>0.47117303752072126</v>
      </c>
      <c r="AQ94" s="91" t="str">
        <f t="shared" si="91"/>
        <v>65+</v>
      </c>
      <c r="AR94" s="188">
        <v>2.4962375936174048</v>
      </c>
      <c r="AS94" s="188">
        <v>4.1209171122955697</v>
      </c>
      <c r="AT94" s="188">
        <v>4.3774915028015169</v>
      </c>
      <c r="AU94" s="188">
        <v>5.7297838539839567</v>
      </c>
      <c r="AV94" s="187">
        <v>8.4160339065548904</v>
      </c>
      <c r="AW94" s="189"/>
      <c r="AX94" s="188">
        <v>2.4393838610275034</v>
      </c>
      <c r="AY94" s="188">
        <v>4.0270912403022177</v>
      </c>
      <c r="AZ94" s="188">
        <v>4.2777979690182679</v>
      </c>
      <c r="BA94" s="188">
        <v>5.5993484434809799</v>
      </c>
      <c r="BB94" s="187">
        <v>8.2244038402405248</v>
      </c>
      <c r="BC94" s="189"/>
      <c r="BD94" s="188">
        <v>5.6853732589901257E-2</v>
      </c>
      <c r="BE94" s="188">
        <v>9.3825871993351684E-2</v>
      </c>
      <c r="BF94" s="188">
        <v>9.9693533783248439E-2</v>
      </c>
      <c r="BG94" s="188">
        <v>0.13043541050297702</v>
      </c>
      <c r="BH94" s="187">
        <v>0.19163006631436572</v>
      </c>
    </row>
    <row r="95" spans="1:60" x14ac:dyDescent="0.3">
      <c r="A95" s="95"/>
      <c r="B95" s="190"/>
      <c r="C95" s="190"/>
      <c r="D95" s="190"/>
      <c r="E95" s="190"/>
      <c r="F95" s="190"/>
      <c r="G95" s="190"/>
      <c r="H95" s="190"/>
      <c r="I95" s="190"/>
      <c r="J95" s="190"/>
      <c r="K95" s="190"/>
      <c r="L95" s="190"/>
      <c r="M95" s="190"/>
      <c r="N95" s="190"/>
      <c r="O95" s="190"/>
      <c r="P95" s="190"/>
      <c r="Q95" s="190"/>
      <c r="R95" s="190"/>
      <c r="S95" s="190"/>
      <c r="Y95" s="95"/>
      <c r="Z95" s="190"/>
      <c r="AA95" s="190"/>
      <c r="AB95" s="190"/>
      <c r="AC95" s="190"/>
      <c r="AD95" s="190"/>
      <c r="AE95" s="190"/>
      <c r="AF95" s="190"/>
      <c r="AG95" s="190"/>
      <c r="AH95" s="190"/>
      <c r="AI95" s="190"/>
      <c r="AJ95" s="190"/>
      <c r="AK95" s="190"/>
      <c r="AL95" s="190"/>
      <c r="AM95" s="190"/>
      <c r="AN95" s="190"/>
      <c r="AO95" s="190"/>
      <c r="AP95" s="190"/>
      <c r="AQ95" s="95"/>
      <c r="AR95" s="190"/>
      <c r="AS95" s="190"/>
      <c r="AT95" s="190"/>
      <c r="AU95" s="190"/>
      <c r="AV95" s="190"/>
      <c r="AW95" s="190"/>
      <c r="AX95" s="190"/>
      <c r="AY95" s="190"/>
      <c r="AZ95" s="190"/>
      <c r="BA95" s="190"/>
      <c r="BB95" s="190"/>
      <c r="BC95" s="190"/>
      <c r="BD95" s="190"/>
      <c r="BE95" s="190"/>
      <c r="BF95" s="190"/>
      <c r="BG95" s="190"/>
      <c r="BH95" s="190"/>
    </row>
    <row r="97" spans="1:1" x14ac:dyDescent="0.3">
      <c r="A97" s="90" t="s">
        <v>106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45" x14ac:dyDescent="0.3"/>
  <cols>
    <col min="1" max="3" width="26.69140625" customWidth="1"/>
    <col min="4" max="4" width="46.53515625" customWidth="1"/>
    <col min="5" max="5" width="36.23046875" customWidth="1"/>
    <col min="6" max="7" width="34.69140625" customWidth="1"/>
    <col min="8" max="8" width="6.15234375" customWidth="1"/>
    <col min="9" max="9" width="20.23046875" customWidth="1"/>
    <col min="10" max="10" width="4.84375" customWidth="1"/>
    <col min="11" max="11" width="24.69140625" customWidth="1"/>
    <col min="12" max="12" width="9.15234375" customWidth="1"/>
  </cols>
  <sheetData>
    <row r="1" spans="1:12" x14ac:dyDescent="0.3">
      <c r="A1" s="226" t="s">
        <v>246</v>
      </c>
      <c r="B1" s="226" t="s">
        <v>306</v>
      </c>
      <c r="C1" s="226" t="s">
        <v>4</v>
      </c>
      <c r="D1" s="226" t="s">
        <v>474</v>
      </c>
      <c r="E1" s="226" t="s">
        <v>320</v>
      </c>
      <c r="F1" s="228" t="s">
        <v>326</v>
      </c>
      <c r="G1" s="228" t="s">
        <v>345</v>
      </c>
      <c r="H1" s="228" t="s">
        <v>328</v>
      </c>
      <c r="I1" s="228"/>
      <c r="J1" s="228" t="s">
        <v>329</v>
      </c>
      <c r="K1" s="125"/>
      <c r="L1" s="1"/>
    </row>
    <row r="2" spans="1:12" s="13" customFormat="1" x14ac:dyDescent="0.3">
      <c r="A2" s="227" t="s">
        <v>347</v>
      </c>
      <c r="B2" s="227" t="s">
        <v>343</v>
      </c>
      <c r="C2" s="227" t="s">
        <v>344</v>
      </c>
      <c r="D2" s="125" t="s">
        <v>319</v>
      </c>
      <c r="E2" s="125" t="s">
        <v>321</v>
      </c>
      <c r="F2" s="227" t="s">
        <v>38</v>
      </c>
      <c r="G2" s="227" t="s">
        <v>346</v>
      </c>
      <c r="H2" s="125" t="s">
        <v>330</v>
      </c>
      <c r="I2" s="125" t="s">
        <v>100</v>
      </c>
      <c r="J2" s="125" t="s">
        <v>331</v>
      </c>
      <c r="K2" s="125" t="s">
        <v>332</v>
      </c>
      <c r="L2" s="82"/>
    </row>
    <row r="3" spans="1:12" x14ac:dyDescent="0.3">
      <c r="A3" s="10" t="s">
        <v>0</v>
      </c>
      <c r="B3" s="125" t="s">
        <v>0</v>
      </c>
      <c r="C3" s="10" t="s">
        <v>0</v>
      </c>
      <c r="D3" s="125" t="s">
        <v>10</v>
      </c>
      <c r="E3" s="125" t="s">
        <v>10</v>
      </c>
      <c r="F3" s="125" t="s">
        <v>37</v>
      </c>
      <c r="G3" s="125" t="s">
        <v>37</v>
      </c>
      <c r="H3" s="125" t="s">
        <v>333</v>
      </c>
      <c r="I3" s="125" t="s">
        <v>98</v>
      </c>
      <c r="J3" s="125" t="s">
        <v>334</v>
      </c>
      <c r="K3" s="125" t="s">
        <v>335</v>
      </c>
    </row>
    <row r="4" spans="1:12" x14ac:dyDescent="0.3">
      <c r="A4" s="10" t="s">
        <v>80</v>
      </c>
      <c r="B4" s="125" t="s">
        <v>307</v>
      </c>
      <c r="C4" s="10" t="s">
        <v>243</v>
      </c>
      <c r="D4" s="125" t="s">
        <v>475</v>
      </c>
      <c r="E4" s="125" t="s">
        <v>322</v>
      </c>
      <c r="F4" s="125" t="s">
        <v>450</v>
      </c>
      <c r="G4" s="125" t="s">
        <v>458</v>
      </c>
      <c r="H4" s="125" t="s">
        <v>336</v>
      </c>
      <c r="I4" s="125" t="s">
        <v>99</v>
      </c>
      <c r="J4" s="125" t="s">
        <v>337</v>
      </c>
      <c r="K4" s="125" t="s">
        <v>338</v>
      </c>
    </row>
    <row r="5" spans="1:12" x14ac:dyDescent="0.3">
      <c r="A5" s="10" t="s">
        <v>247</v>
      </c>
      <c r="B5" s="125" t="s">
        <v>81</v>
      </c>
      <c r="C5" s="10" t="s">
        <v>8</v>
      </c>
      <c r="D5" s="125" t="s">
        <v>476</v>
      </c>
      <c r="E5" s="125" t="s">
        <v>323</v>
      </c>
      <c r="F5" s="125" t="s">
        <v>451</v>
      </c>
      <c r="G5" s="125" t="s">
        <v>459</v>
      </c>
      <c r="H5" s="125"/>
      <c r="I5" s="125"/>
      <c r="J5" s="125" t="s">
        <v>339</v>
      </c>
      <c r="K5" s="125" t="s">
        <v>340</v>
      </c>
    </row>
    <row r="6" spans="1:12" x14ac:dyDescent="0.3">
      <c r="A6" s="10" t="s">
        <v>248</v>
      </c>
      <c r="B6" s="125" t="s">
        <v>308</v>
      </c>
      <c r="C6" s="10" t="s">
        <v>2</v>
      </c>
      <c r="D6" s="125" t="s">
        <v>477</v>
      </c>
      <c r="E6" s="125" t="s">
        <v>478</v>
      </c>
      <c r="F6" s="125" t="s">
        <v>452</v>
      </c>
      <c r="G6" s="125" t="s">
        <v>455</v>
      </c>
      <c r="H6" s="125"/>
      <c r="I6" s="125"/>
      <c r="J6" s="125" t="s">
        <v>341</v>
      </c>
      <c r="K6" s="125" t="s">
        <v>342</v>
      </c>
    </row>
    <row r="7" spans="1:12" x14ac:dyDescent="0.3">
      <c r="A7" s="10" t="s">
        <v>249</v>
      </c>
      <c r="B7" s="125" t="s">
        <v>5</v>
      </c>
      <c r="C7" s="10" t="s">
        <v>244</v>
      </c>
      <c r="D7" s="125" t="s">
        <v>479</v>
      </c>
      <c r="E7" s="125" t="s">
        <v>480</v>
      </c>
      <c r="F7" s="125" t="s">
        <v>453</v>
      </c>
      <c r="G7" s="125" t="s">
        <v>456</v>
      </c>
    </row>
    <row r="8" spans="1:12" x14ac:dyDescent="0.3">
      <c r="A8" s="10" t="s">
        <v>250</v>
      </c>
      <c r="B8" s="125" t="s">
        <v>6</v>
      </c>
      <c r="C8" s="10" t="s">
        <v>245</v>
      </c>
      <c r="D8" s="125" t="s">
        <v>481</v>
      </c>
      <c r="E8" s="125" t="s">
        <v>324</v>
      </c>
      <c r="F8" s="125" t="s">
        <v>454</v>
      </c>
      <c r="G8" s="125" t="s">
        <v>457</v>
      </c>
    </row>
    <row r="9" spans="1:12" x14ac:dyDescent="0.3">
      <c r="A9" s="10" t="s">
        <v>251</v>
      </c>
      <c r="B9" s="125" t="s">
        <v>309</v>
      </c>
      <c r="C9" s="10" t="s">
        <v>462</v>
      </c>
      <c r="D9" s="125" t="s">
        <v>482</v>
      </c>
      <c r="E9" s="125" t="s">
        <v>483</v>
      </c>
      <c r="F9" s="125" t="s">
        <v>455</v>
      </c>
      <c r="G9" s="125" t="s">
        <v>327</v>
      </c>
    </row>
    <row r="10" spans="1:12" x14ac:dyDescent="0.3">
      <c r="A10" s="10" t="s">
        <v>252</v>
      </c>
      <c r="B10" s="125" t="s">
        <v>310</v>
      </c>
      <c r="C10" t="s">
        <v>11</v>
      </c>
      <c r="D10" s="125" t="s">
        <v>484</v>
      </c>
      <c r="E10" s="125" t="s">
        <v>485</v>
      </c>
      <c r="F10" s="125" t="s">
        <v>456</v>
      </c>
      <c r="G10" s="125"/>
    </row>
    <row r="11" spans="1:12" x14ac:dyDescent="0.3">
      <c r="A11" s="10" t="s">
        <v>253</v>
      </c>
      <c r="B11" s="125" t="s">
        <v>2</v>
      </c>
      <c r="C11" t="s">
        <v>11</v>
      </c>
      <c r="D11" s="125" t="s">
        <v>486</v>
      </c>
      <c r="E11" s="125" t="s">
        <v>325</v>
      </c>
      <c r="F11" s="125" t="s">
        <v>457</v>
      </c>
      <c r="G11" s="125"/>
      <c r="I11" s="82"/>
    </row>
    <row r="12" spans="1:12" x14ac:dyDescent="0.3">
      <c r="A12" s="10" t="s">
        <v>254</v>
      </c>
      <c r="B12" s="125" t="s">
        <v>83</v>
      </c>
      <c r="C12" t="s">
        <v>11</v>
      </c>
      <c r="D12" s="125" t="s">
        <v>487</v>
      </c>
      <c r="E12" s="125" t="s">
        <v>9</v>
      </c>
      <c r="F12" s="125" t="s">
        <v>327</v>
      </c>
      <c r="G12" s="125"/>
    </row>
    <row r="13" spans="1:12" x14ac:dyDescent="0.3">
      <c r="A13" s="10" t="s">
        <v>255</v>
      </c>
      <c r="B13" s="125" t="s">
        <v>311</v>
      </c>
      <c r="C13" t="s">
        <v>11</v>
      </c>
      <c r="D13" s="125" t="s">
        <v>488</v>
      </c>
    </row>
    <row r="14" spans="1:12" x14ac:dyDescent="0.3">
      <c r="A14" s="10" t="s">
        <v>1</v>
      </c>
      <c r="B14" s="125" t="s">
        <v>312</v>
      </c>
      <c r="C14" t="s">
        <v>11</v>
      </c>
      <c r="D14" s="125" t="s">
        <v>489</v>
      </c>
      <c r="E14" t="s">
        <v>11</v>
      </c>
    </row>
    <row r="15" spans="1:12" x14ac:dyDescent="0.3">
      <c r="A15" s="10" t="s">
        <v>256</v>
      </c>
      <c r="B15" s="125" t="s">
        <v>84</v>
      </c>
      <c r="C15" t="s">
        <v>11</v>
      </c>
      <c r="D15" s="125" t="s">
        <v>490</v>
      </c>
      <c r="E15" t="s">
        <v>11</v>
      </c>
      <c r="I15" s="82"/>
    </row>
    <row r="16" spans="1:12" x14ac:dyDescent="0.3">
      <c r="A16" s="10" t="s">
        <v>257</v>
      </c>
      <c r="B16" s="125" t="s">
        <v>313</v>
      </c>
      <c r="C16" t="s">
        <v>11</v>
      </c>
      <c r="D16" s="125" t="s">
        <v>491</v>
      </c>
      <c r="E16" t="s">
        <v>11</v>
      </c>
    </row>
    <row r="17" spans="1:9" x14ac:dyDescent="0.3">
      <c r="A17" s="10" t="s">
        <v>258</v>
      </c>
      <c r="B17" s="125" t="s">
        <v>314</v>
      </c>
      <c r="C17" t="s">
        <v>11</v>
      </c>
      <c r="D17" s="125" t="s">
        <v>492</v>
      </c>
      <c r="E17" t="s">
        <v>11</v>
      </c>
      <c r="I17" s="82"/>
    </row>
    <row r="18" spans="1:9" x14ac:dyDescent="0.3">
      <c r="A18" s="10" t="s">
        <v>259</v>
      </c>
      <c r="B18" s="125" t="s">
        <v>284</v>
      </c>
      <c r="C18" t="s">
        <v>11</v>
      </c>
      <c r="D18" s="125" t="s">
        <v>493</v>
      </c>
      <c r="E18" t="s">
        <v>11</v>
      </c>
    </row>
    <row r="19" spans="1:9" x14ac:dyDescent="0.3">
      <c r="A19" s="10" t="s">
        <v>260</v>
      </c>
      <c r="B19" s="125" t="s">
        <v>315</v>
      </c>
      <c r="C19" t="s">
        <v>11</v>
      </c>
      <c r="D19" s="125" t="s">
        <v>494</v>
      </c>
      <c r="E19" t="s">
        <v>11</v>
      </c>
    </row>
    <row r="20" spans="1:9" x14ac:dyDescent="0.3">
      <c r="A20" s="10" t="s">
        <v>82</v>
      </c>
      <c r="B20" s="125" t="s">
        <v>316</v>
      </c>
      <c r="C20" t="s">
        <v>11</v>
      </c>
      <c r="D20" s="125" t="s">
        <v>495</v>
      </c>
      <c r="E20" t="s">
        <v>11</v>
      </c>
    </row>
    <row r="21" spans="1:9" x14ac:dyDescent="0.3">
      <c r="A21" s="10" t="s">
        <v>261</v>
      </c>
      <c r="B21" s="125" t="s">
        <v>317</v>
      </c>
      <c r="C21" t="s">
        <v>11</v>
      </c>
      <c r="D21" s="125" t="s">
        <v>496</v>
      </c>
    </row>
    <row r="22" spans="1:9" x14ac:dyDescent="0.3">
      <c r="A22" s="10" t="s">
        <v>262</v>
      </c>
      <c r="B22" s="125" t="s">
        <v>3</v>
      </c>
      <c r="C22" t="s">
        <v>11</v>
      </c>
      <c r="D22" s="125" t="s">
        <v>497</v>
      </c>
      <c r="E22" t="s">
        <v>11</v>
      </c>
      <c r="I22" s="82"/>
    </row>
    <row r="23" spans="1:9" x14ac:dyDescent="0.3">
      <c r="A23" s="10" t="s">
        <v>263</v>
      </c>
      <c r="B23" s="125" t="s">
        <v>7</v>
      </c>
      <c r="C23" t="s">
        <v>11</v>
      </c>
      <c r="D23" s="125" t="s">
        <v>498</v>
      </c>
      <c r="E23" t="s">
        <v>11</v>
      </c>
    </row>
    <row r="24" spans="1:9" x14ac:dyDescent="0.3">
      <c r="A24" s="10" t="s">
        <v>264</v>
      </c>
      <c r="B24" s="125" t="s">
        <v>87</v>
      </c>
      <c r="C24" t="s">
        <v>11</v>
      </c>
      <c r="D24" s="125" t="s">
        <v>499</v>
      </c>
      <c r="E24" t="s">
        <v>11</v>
      </c>
    </row>
    <row r="25" spans="1:9" x14ac:dyDescent="0.3">
      <c r="A25" s="10" t="s">
        <v>128</v>
      </c>
      <c r="B25" s="125" t="s">
        <v>318</v>
      </c>
      <c r="C25" t="s">
        <v>11</v>
      </c>
      <c r="D25" s="125" t="s">
        <v>500</v>
      </c>
      <c r="E25" t="s">
        <v>11</v>
      </c>
    </row>
    <row r="26" spans="1:9" x14ac:dyDescent="0.3">
      <c r="A26" s="10" t="s">
        <v>265</v>
      </c>
      <c r="C26" t="s">
        <v>11</v>
      </c>
      <c r="D26" s="125" t="s">
        <v>501</v>
      </c>
      <c r="E26" t="s">
        <v>11</v>
      </c>
      <c r="I26" s="82"/>
    </row>
    <row r="27" spans="1:9" x14ac:dyDescent="0.3">
      <c r="A27" s="10" t="s">
        <v>266</v>
      </c>
      <c r="C27" t="s">
        <v>11</v>
      </c>
      <c r="D27" s="125" t="s">
        <v>502</v>
      </c>
      <c r="E27" t="s">
        <v>11</v>
      </c>
    </row>
    <row r="28" spans="1:9" x14ac:dyDescent="0.3">
      <c r="A28" s="10" t="s">
        <v>267</v>
      </c>
      <c r="C28" t="s">
        <v>11</v>
      </c>
      <c r="D28" s="125" t="s">
        <v>503</v>
      </c>
      <c r="E28" t="s">
        <v>11</v>
      </c>
    </row>
    <row r="29" spans="1:9" x14ac:dyDescent="0.3">
      <c r="A29" s="10" t="s">
        <v>129</v>
      </c>
      <c r="C29" t="s">
        <v>11</v>
      </c>
      <c r="D29" t="s">
        <v>504</v>
      </c>
      <c r="E29" t="s">
        <v>11</v>
      </c>
    </row>
    <row r="30" spans="1:9" x14ac:dyDescent="0.3">
      <c r="A30" s="10" t="s">
        <v>268</v>
      </c>
      <c r="C30" t="s">
        <v>11</v>
      </c>
      <c r="E30" t="s">
        <v>11</v>
      </c>
    </row>
    <row r="31" spans="1:9" x14ac:dyDescent="0.3">
      <c r="A31" s="10" t="s">
        <v>2</v>
      </c>
      <c r="C31" t="s">
        <v>11</v>
      </c>
      <c r="D31" t="s">
        <v>11</v>
      </c>
      <c r="E31" t="s">
        <v>11</v>
      </c>
    </row>
    <row r="32" spans="1:9" x14ac:dyDescent="0.3">
      <c r="A32" s="10" t="s">
        <v>130</v>
      </c>
      <c r="C32" t="s">
        <v>11</v>
      </c>
      <c r="D32" t="s">
        <v>11</v>
      </c>
      <c r="E32" t="s">
        <v>11</v>
      </c>
      <c r="I32" s="82"/>
    </row>
    <row r="33" spans="1:9" x14ac:dyDescent="0.3">
      <c r="A33" s="10" t="s">
        <v>269</v>
      </c>
      <c r="C33" t="s">
        <v>11</v>
      </c>
      <c r="D33" t="s">
        <v>11</v>
      </c>
      <c r="E33" t="s">
        <v>11</v>
      </c>
    </row>
    <row r="34" spans="1:9" x14ac:dyDescent="0.3">
      <c r="A34" s="10" t="s">
        <v>270</v>
      </c>
      <c r="C34" t="s">
        <v>11</v>
      </c>
      <c r="D34" t="s">
        <v>11</v>
      </c>
      <c r="E34" t="s">
        <v>11</v>
      </c>
    </row>
    <row r="35" spans="1:9" x14ac:dyDescent="0.3">
      <c r="A35" s="10" t="s">
        <v>271</v>
      </c>
      <c r="C35" t="s">
        <v>11</v>
      </c>
      <c r="D35" t="s">
        <v>11</v>
      </c>
      <c r="E35" t="s">
        <v>11</v>
      </c>
    </row>
    <row r="36" spans="1:9" x14ac:dyDescent="0.3">
      <c r="A36" s="10" t="s">
        <v>272</v>
      </c>
      <c r="C36" t="s">
        <v>11</v>
      </c>
      <c r="D36" t="s">
        <v>11</v>
      </c>
      <c r="E36" t="s">
        <v>11</v>
      </c>
    </row>
    <row r="37" spans="1:9" x14ac:dyDescent="0.3">
      <c r="A37" s="10" t="s">
        <v>273</v>
      </c>
      <c r="C37" t="s">
        <v>11</v>
      </c>
      <c r="D37" t="s">
        <v>11</v>
      </c>
      <c r="E37" t="s">
        <v>11</v>
      </c>
    </row>
    <row r="38" spans="1:9" x14ac:dyDescent="0.3">
      <c r="A38" s="10" t="s">
        <v>131</v>
      </c>
      <c r="C38" t="s">
        <v>11</v>
      </c>
      <c r="D38" t="s">
        <v>11</v>
      </c>
      <c r="E38" t="s">
        <v>11</v>
      </c>
    </row>
    <row r="39" spans="1:9" x14ac:dyDescent="0.3">
      <c r="A39" s="10" t="s">
        <v>132</v>
      </c>
      <c r="C39" t="s">
        <v>11</v>
      </c>
      <c r="D39" t="s">
        <v>11</v>
      </c>
      <c r="E39" t="s">
        <v>11</v>
      </c>
      <c r="I39" s="123"/>
    </row>
    <row r="40" spans="1:9" x14ac:dyDescent="0.3">
      <c r="A40" s="10" t="s">
        <v>274</v>
      </c>
      <c r="C40" t="s">
        <v>11</v>
      </c>
      <c r="D40" t="s">
        <v>11</v>
      </c>
      <c r="E40" t="s">
        <v>11</v>
      </c>
      <c r="I40" s="82"/>
    </row>
    <row r="41" spans="1:9" x14ac:dyDescent="0.3">
      <c r="A41" s="10" t="s">
        <v>275</v>
      </c>
      <c r="C41" t="s">
        <v>11</v>
      </c>
      <c r="D41" t="s">
        <v>11</v>
      </c>
      <c r="E41" t="s">
        <v>11</v>
      </c>
    </row>
    <row r="42" spans="1:9" x14ac:dyDescent="0.3">
      <c r="A42" s="10" t="s">
        <v>133</v>
      </c>
      <c r="C42" t="s">
        <v>11</v>
      </c>
      <c r="D42" t="s">
        <v>11</v>
      </c>
      <c r="E42" t="s">
        <v>11</v>
      </c>
    </row>
    <row r="43" spans="1:9" x14ac:dyDescent="0.3">
      <c r="A43" s="10" t="s">
        <v>276</v>
      </c>
      <c r="C43" t="s">
        <v>11</v>
      </c>
      <c r="D43" t="s">
        <v>11</v>
      </c>
      <c r="E43" t="s">
        <v>11</v>
      </c>
    </row>
    <row r="44" spans="1:9" x14ac:dyDescent="0.3">
      <c r="A44" s="10" t="s">
        <v>134</v>
      </c>
      <c r="D44" t="s">
        <v>11</v>
      </c>
      <c r="E44" t="s">
        <v>11</v>
      </c>
    </row>
    <row r="45" spans="1:9" x14ac:dyDescent="0.3">
      <c r="A45" s="10" t="s">
        <v>277</v>
      </c>
    </row>
    <row r="46" spans="1:9" x14ac:dyDescent="0.3">
      <c r="A46" s="10" t="s">
        <v>278</v>
      </c>
      <c r="I46" s="82"/>
    </row>
    <row r="47" spans="1:9" x14ac:dyDescent="0.3">
      <c r="A47" s="10" t="s">
        <v>85</v>
      </c>
    </row>
    <row r="48" spans="1:9" x14ac:dyDescent="0.3">
      <c r="A48" s="10" t="s">
        <v>279</v>
      </c>
    </row>
    <row r="49" spans="1:9" x14ac:dyDescent="0.3">
      <c r="A49" s="10" t="s">
        <v>280</v>
      </c>
    </row>
    <row r="50" spans="1:9" x14ac:dyDescent="0.3">
      <c r="A50" s="10" t="s">
        <v>281</v>
      </c>
    </row>
    <row r="51" spans="1:9" x14ac:dyDescent="0.3">
      <c r="A51" s="10" t="s">
        <v>282</v>
      </c>
      <c r="I51" s="82"/>
    </row>
    <row r="52" spans="1:9" x14ac:dyDescent="0.3">
      <c r="A52" s="10" t="s">
        <v>283</v>
      </c>
    </row>
    <row r="53" spans="1:9" x14ac:dyDescent="0.3">
      <c r="A53" s="10" t="s">
        <v>284</v>
      </c>
    </row>
    <row r="54" spans="1:9" x14ac:dyDescent="0.3">
      <c r="A54" s="10" t="s">
        <v>285</v>
      </c>
    </row>
    <row r="55" spans="1:9" x14ac:dyDescent="0.3">
      <c r="A55" s="10" t="s">
        <v>286</v>
      </c>
    </row>
    <row r="56" spans="1:9" x14ac:dyDescent="0.3">
      <c r="A56" s="10" t="s">
        <v>287</v>
      </c>
      <c r="I56" s="82"/>
    </row>
    <row r="57" spans="1:9" x14ac:dyDescent="0.3">
      <c r="A57" s="10" t="s">
        <v>135</v>
      </c>
    </row>
    <row r="58" spans="1:9" x14ac:dyDescent="0.3">
      <c r="A58" s="10" t="s">
        <v>288</v>
      </c>
    </row>
    <row r="59" spans="1:9" x14ac:dyDescent="0.3">
      <c r="A59" s="10" t="s">
        <v>289</v>
      </c>
    </row>
    <row r="60" spans="1:9" x14ac:dyDescent="0.3">
      <c r="A60" s="10" t="s">
        <v>290</v>
      </c>
    </row>
    <row r="61" spans="1:9" x14ac:dyDescent="0.3">
      <c r="A61" s="10" t="s">
        <v>291</v>
      </c>
    </row>
    <row r="62" spans="1:9" x14ac:dyDescent="0.3">
      <c r="A62" s="10" t="s">
        <v>136</v>
      </c>
    </row>
    <row r="63" spans="1:9" x14ac:dyDescent="0.3">
      <c r="A63" s="10" t="s">
        <v>292</v>
      </c>
    </row>
    <row r="64" spans="1:9" x14ac:dyDescent="0.3">
      <c r="A64" s="10" t="s">
        <v>293</v>
      </c>
    </row>
    <row r="65" spans="1:9" x14ac:dyDescent="0.3">
      <c r="A65" s="10" t="s">
        <v>294</v>
      </c>
      <c r="I65" s="82"/>
    </row>
    <row r="66" spans="1:9" x14ac:dyDescent="0.3">
      <c r="A66" s="10" t="s">
        <v>295</v>
      </c>
    </row>
    <row r="67" spans="1:9" x14ac:dyDescent="0.3">
      <c r="A67" s="10" t="s">
        <v>296</v>
      </c>
    </row>
    <row r="68" spans="1:9" x14ac:dyDescent="0.3">
      <c r="A68" s="10" t="s">
        <v>297</v>
      </c>
    </row>
    <row r="69" spans="1:9" x14ac:dyDescent="0.3">
      <c r="A69" s="10" t="s">
        <v>86</v>
      </c>
    </row>
    <row r="70" spans="1:9" x14ac:dyDescent="0.3">
      <c r="A70" s="10" t="s">
        <v>298</v>
      </c>
    </row>
    <row r="71" spans="1:9" x14ac:dyDescent="0.3">
      <c r="A71" s="10" t="s">
        <v>299</v>
      </c>
      <c r="I71" s="82"/>
    </row>
    <row r="72" spans="1:9" x14ac:dyDescent="0.3">
      <c r="A72" s="10" t="s">
        <v>87</v>
      </c>
    </row>
    <row r="73" spans="1:9" x14ac:dyDescent="0.3">
      <c r="A73" s="10" t="s">
        <v>300</v>
      </c>
    </row>
    <row r="74" spans="1:9" x14ac:dyDescent="0.3">
      <c r="A74" s="10" t="s">
        <v>301</v>
      </c>
      <c r="I74" s="82"/>
    </row>
    <row r="75" spans="1:9" x14ac:dyDescent="0.3">
      <c r="A75" s="10" t="s">
        <v>302</v>
      </c>
    </row>
    <row r="76" spans="1:9" x14ac:dyDescent="0.3">
      <c r="A76" s="10" t="s">
        <v>303</v>
      </c>
    </row>
    <row r="77" spans="1:9" x14ac:dyDescent="0.3">
      <c r="A77" s="10" t="s">
        <v>304</v>
      </c>
    </row>
    <row r="78" spans="1:9" x14ac:dyDescent="0.3">
      <c r="A78" s="10" t="s">
        <v>305</v>
      </c>
    </row>
    <row r="81" spans="9:9" x14ac:dyDescent="0.3">
      <c r="I81" s="82"/>
    </row>
    <row r="85" spans="9:9" x14ac:dyDescent="0.3">
      <c r="I85" s="82"/>
    </row>
    <row r="91" spans="9:9" x14ac:dyDescent="0.3">
      <c r="I91" s="82"/>
    </row>
    <row r="96" spans="9:9" x14ac:dyDescent="0.3">
      <c r="I96" s="82"/>
    </row>
    <row r="101" spans="9:9" x14ac:dyDescent="0.3">
      <c r="I101" s="82"/>
    </row>
    <row r="106" spans="9:9" x14ac:dyDescent="0.3">
      <c r="I106" s="82"/>
    </row>
    <row r="111" spans="9:9" x14ac:dyDescent="0.3">
      <c r="I111" s="82"/>
    </row>
    <row r="119" spans="9:9" x14ac:dyDescent="0.3">
      <c r="I119" s="82"/>
    </row>
    <row r="129" spans="9:9" x14ac:dyDescent="0.3">
      <c r="I129" s="82"/>
    </row>
    <row r="134" spans="9:9" x14ac:dyDescent="0.3">
      <c r="I134" s="82"/>
    </row>
    <row r="141" spans="9:9" x14ac:dyDescent="0.3">
      <c r="I141" s="82"/>
    </row>
    <row r="143" spans="9:9" x14ac:dyDescent="0.3">
      <c r="I143" s="82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"/>
  <dimension ref="A1:CD59"/>
  <sheetViews>
    <sheetView zoomScale="85" zoomScaleNormal="85" workbookViewId="0"/>
  </sheetViews>
  <sheetFormatPr defaultRowHeight="12.45" x14ac:dyDescent="0.3"/>
  <cols>
    <col min="1" max="1" width="27.53515625" customWidth="1"/>
    <col min="2" max="145" width="3" customWidth="1"/>
  </cols>
  <sheetData>
    <row r="1" spans="1:82" x14ac:dyDescent="0.3">
      <c r="A1" s="1" t="str">
        <f>CONCATENATE("Aggregation 75 industries to 22 ",name!$B$2)</f>
        <v>Aggregation 75 industries to 22 Industry groups</v>
      </c>
    </row>
    <row r="2" spans="1:82" ht="164.25" customHeight="1" thickBot="1" x14ac:dyDescent="0.35">
      <c r="B2" s="124" t="str">
        <f t="array" ref="B2:BX2">TRANSPOSE(name!$A$4:$A$78)</f>
        <v>Agriculture, etc</v>
      </c>
      <c r="C2" s="124" t="str">
        <v>Coal, oil &amp; gas; Mining &amp; related</v>
      </c>
      <c r="D2" s="124" t="str">
        <v>Food products</v>
      </c>
      <c r="E2" s="124" t="str">
        <v>Beverages and tobacco</v>
      </c>
      <c r="F2" s="124" t="str">
        <v>Textiles</v>
      </c>
      <c r="G2" s="124" t="str">
        <v>Wearing apparel; Leather, etc</v>
      </c>
      <c r="H2" s="124" t="str">
        <v xml:space="preserve">Wood and cork </v>
      </c>
      <c r="I2" s="124" t="str">
        <v>Paper, etc</v>
      </c>
      <c r="J2" s="124" t="str">
        <v>Printing and recording</v>
      </c>
      <c r="K2" s="124" t="str">
        <v>Coke and petroleum; Chemicals, etc</v>
      </c>
      <c r="L2" s="124" t="str">
        <v>Pharmaceuticals</v>
      </c>
      <c r="M2" s="124" t="str">
        <v>Rubber and plastic</v>
      </c>
      <c r="N2" s="124" t="str">
        <v>Other non-metallic</v>
      </c>
      <c r="O2" s="124" t="str">
        <v>Basic metals</v>
      </c>
      <c r="P2" s="124" t="str">
        <v>Metal products</v>
      </c>
      <c r="Q2" s="124" t="str">
        <v>Computer, etc</v>
      </c>
      <c r="R2" s="124" t="str">
        <v>Electrical equipment</v>
      </c>
      <c r="S2" s="124" t="str">
        <v>Machinery n.e.c.</v>
      </c>
      <c r="T2" s="124" t="str">
        <v>Motor vehicles, etc</v>
      </c>
      <c r="U2" s="124" t="str">
        <v>Other transport equipment</v>
      </c>
      <c r="V2" s="124" t="str">
        <v>Furniture</v>
      </c>
      <c r="W2" s="124" t="str">
        <v>Other manufacturing</v>
      </c>
      <c r="X2" s="124" t="str">
        <v>Repair and installation</v>
      </c>
      <c r="Y2" s="124" t="str">
        <v>Electricity, gas, etc</v>
      </c>
      <c r="Z2" s="124" t="str">
        <v>Water</v>
      </c>
      <c r="AA2" s="124" t="str">
        <v>Sewerage</v>
      </c>
      <c r="AB2" s="124" t="str">
        <v>Waste management</v>
      </c>
      <c r="AC2" s="124" t="str">
        <v>Construction</v>
      </c>
      <c r="AD2" s="124" t="str">
        <v>Civil engineering</v>
      </c>
      <c r="AE2" s="124" t="str">
        <v>Specialised construction</v>
      </c>
      <c r="AF2" s="124" t="str">
        <v>Motor vehicle trade</v>
      </c>
      <c r="AG2" s="124" t="str">
        <v>Wholesale trade</v>
      </c>
      <c r="AH2" s="124" t="str">
        <v>Retail trade</v>
      </c>
      <c r="AI2" s="124" t="str">
        <v>Land transport, etc</v>
      </c>
      <c r="AJ2" s="124" t="str">
        <v>Water transport</v>
      </c>
      <c r="AK2" s="124" t="str">
        <v>Air transport</v>
      </c>
      <c r="AL2" s="124" t="str">
        <v>Warehousing, etc</v>
      </c>
      <c r="AM2" s="124" t="str">
        <v>Postal and courier</v>
      </c>
      <c r="AN2" s="124" t="str">
        <v>Accommodation</v>
      </c>
      <c r="AO2" s="124" t="str">
        <v>Food and beverage services</v>
      </c>
      <c r="AP2" s="124" t="str">
        <v>Publishing activities</v>
      </c>
      <c r="AQ2" s="124" t="str">
        <v>Film and music</v>
      </c>
      <c r="AR2" s="124" t="str">
        <v>Broadcasting</v>
      </c>
      <c r="AS2" s="124" t="str">
        <v>Telecommunications</v>
      </c>
      <c r="AT2" s="124" t="str">
        <v>Computing services</v>
      </c>
      <c r="AU2" s="124" t="str">
        <v>Information services</v>
      </c>
      <c r="AV2" s="124" t="str">
        <v>Financial services</v>
      </c>
      <c r="AW2" s="124" t="str">
        <v>Insurance and pensions</v>
      </c>
      <c r="AX2" s="124" t="str">
        <v>Auxiliary financial services</v>
      </c>
      <c r="AY2" s="124" t="str">
        <v>Real estate</v>
      </c>
      <c r="AZ2" s="124" t="str">
        <v>Legal and accounting</v>
      </c>
      <c r="BA2" s="124" t="str">
        <v>Head offices, etc</v>
      </c>
      <c r="BB2" s="124" t="str">
        <v>Architectural and related</v>
      </c>
      <c r="BC2" s="124" t="str">
        <v>Scientific research and development</v>
      </c>
      <c r="BD2" s="124" t="str">
        <v>Advertising, etc</v>
      </c>
      <c r="BE2" s="124" t="str">
        <v>Other professional</v>
      </c>
      <c r="BF2" s="124" t="str">
        <v>Veterinary</v>
      </c>
      <c r="BG2" s="124" t="str">
        <v>Rental and leasing</v>
      </c>
      <c r="BH2" s="124" t="str">
        <v>Employment activities</v>
      </c>
      <c r="BI2" s="124" t="str">
        <v>Travel, etc</v>
      </c>
      <c r="BJ2" s="124" t="str">
        <v>Security, etc</v>
      </c>
      <c r="BK2" s="124" t="str">
        <v>Services to buildings</v>
      </c>
      <c r="BL2" s="124" t="str">
        <v>Office administrative</v>
      </c>
      <c r="BM2" s="124" t="str">
        <v>Public administration and defence</v>
      </c>
      <c r="BN2" s="124" t="str">
        <v xml:space="preserve">Education </v>
      </c>
      <c r="BO2" s="124" t="str">
        <v>Health</v>
      </c>
      <c r="BP2" s="124" t="str">
        <v>Residential care</v>
      </c>
      <c r="BQ2" s="124" t="str">
        <v>Social work</v>
      </c>
      <c r="BR2" s="124" t="str">
        <v>Arts and entertainment</v>
      </c>
      <c r="BS2" s="124" t="str">
        <v>Libraries, etc</v>
      </c>
      <c r="BT2" s="124" t="str">
        <v>Gambling and betting</v>
      </c>
      <c r="BU2" s="124" t="str">
        <v>Sport and recreation</v>
      </c>
      <c r="BV2" s="124" t="str">
        <v>Membership organisations</v>
      </c>
      <c r="BW2" s="124" t="str">
        <v>Repair of goods</v>
      </c>
      <c r="BX2" s="124" t="str">
        <v>Other personal service</v>
      </c>
      <c r="BY2" s="124"/>
      <c r="BZ2" s="124"/>
      <c r="CA2" s="124"/>
      <c r="CB2" s="124"/>
      <c r="CC2" s="124"/>
      <c r="CD2" s="124"/>
    </row>
    <row r="3" spans="1:82" x14ac:dyDescent="0.3">
      <c r="A3" t="str">
        <f>name!B4</f>
        <v>Agriculture</v>
      </c>
      <c r="B3" s="196">
        <v>1</v>
      </c>
      <c r="C3" s="230">
        <v>0</v>
      </c>
      <c r="D3" s="230">
        <v>0</v>
      </c>
      <c r="E3" s="230">
        <v>0</v>
      </c>
      <c r="F3" s="230">
        <v>0</v>
      </c>
      <c r="G3" s="230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4">
        <v>0</v>
      </c>
      <c r="BY3">
        <v>1</v>
      </c>
    </row>
    <row r="4" spans="1:82" x14ac:dyDescent="0.3">
      <c r="A4" t="str">
        <f>name!B5</f>
        <v>Mining and quarrying</v>
      </c>
      <c r="B4" s="5">
        <v>0</v>
      </c>
      <c r="C4">
        <v>1</v>
      </c>
      <c r="D4">
        <v>0</v>
      </c>
      <c r="E4" s="82">
        <v>0</v>
      </c>
      <c r="F4" s="82">
        <v>0</v>
      </c>
      <c r="G4" s="82">
        <v>0</v>
      </c>
      <c r="H4" s="82">
        <v>0</v>
      </c>
      <c r="I4" s="82">
        <v>0</v>
      </c>
      <c r="J4" s="82">
        <v>0</v>
      </c>
      <c r="K4" s="82">
        <v>0</v>
      </c>
      <c r="L4" s="82">
        <v>0</v>
      </c>
      <c r="M4" s="82">
        <v>0</v>
      </c>
      <c r="N4" s="82">
        <v>0</v>
      </c>
      <c r="O4" s="82">
        <v>0</v>
      </c>
      <c r="P4" s="82">
        <v>0</v>
      </c>
      <c r="Q4" s="82">
        <v>0</v>
      </c>
      <c r="R4" s="82">
        <v>0</v>
      </c>
      <c r="S4" s="82">
        <v>0</v>
      </c>
      <c r="T4" s="82">
        <v>0</v>
      </c>
      <c r="U4" s="82">
        <v>0</v>
      </c>
      <c r="V4" s="82">
        <v>0</v>
      </c>
      <c r="W4" s="82">
        <v>0</v>
      </c>
      <c r="X4" s="82">
        <v>0</v>
      </c>
      <c r="Y4" s="82">
        <v>0</v>
      </c>
      <c r="Z4" s="82">
        <v>0</v>
      </c>
      <c r="AA4" s="82">
        <v>0</v>
      </c>
      <c r="AB4" s="82">
        <v>0</v>
      </c>
      <c r="AC4" s="82">
        <v>0</v>
      </c>
      <c r="AD4" s="82">
        <v>0</v>
      </c>
      <c r="AE4" s="82">
        <v>0</v>
      </c>
      <c r="AF4" s="82">
        <v>0</v>
      </c>
      <c r="AG4" s="82">
        <v>0</v>
      </c>
      <c r="AH4" s="82">
        <v>0</v>
      </c>
      <c r="AI4" s="82">
        <v>0</v>
      </c>
      <c r="AJ4" s="82">
        <v>0</v>
      </c>
      <c r="AK4" s="82">
        <v>0</v>
      </c>
      <c r="AL4" s="82">
        <v>0</v>
      </c>
      <c r="AM4" s="82">
        <v>0</v>
      </c>
      <c r="AN4" s="82">
        <v>0</v>
      </c>
      <c r="AO4" s="82">
        <v>0</v>
      </c>
      <c r="AP4" s="82">
        <v>0</v>
      </c>
      <c r="AQ4" s="82">
        <v>0</v>
      </c>
      <c r="AR4" s="82">
        <v>0</v>
      </c>
      <c r="AS4" s="82">
        <v>0</v>
      </c>
      <c r="AT4" s="82">
        <v>0</v>
      </c>
      <c r="AU4" s="82">
        <v>0</v>
      </c>
      <c r="AV4" s="82">
        <v>0</v>
      </c>
      <c r="AW4" s="82">
        <v>0</v>
      </c>
      <c r="AX4" s="82">
        <v>0</v>
      </c>
      <c r="AY4" s="82">
        <v>0</v>
      </c>
      <c r="AZ4" s="82">
        <v>0</v>
      </c>
      <c r="BA4" s="82">
        <v>0</v>
      </c>
      <c r="BB4" s="82">
        <v>0</v>
      </c>
      <c r="BC4" s="82">
        <v>0</v>
      </c>
      <c r="BD4" s="82">
        <v>0</v>
      </c>
      <c r="BE4" s="82">
        <v>0</v>
      </c>
      <c r="BF4" s="82">
        <v>0</v>
      </c>
      <c r="BG4" s="82">
        <v>0</v>
      </c>
      <c r="BH4" s="82">
        <v>0</v>
      </c>
      <c r="BI4" s="82">
        <v>0</v>
      </c>
      <c r="BJ4" s="82">
        <v>0</v>
      </c>
      <c r="BK4" s="82">
        <v>0</v>
      </c>
      <c r="BL4" s="82">
        <v>0</v>
      </c>
      <c r="BM4" s="82">
        <v>0</v>
      </c>
      <c r="BN4" s="82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 s="6">
        <v>0</v>
      </c>
      <c r="BY4">
        <v>2</v>
      </c>
    </row>
    <row r="5" spans="1:82" x14ac:dyDescent="0.3">
      <c r="A5" t="str">
        <f>name!B6</f>
        <v>Food drink and tobacco</v>
      </c>
      <c r="B5" s="5">
        <v>0</v>
      </c>
      <c r="C5">
        <v>0</v>
      </c>
      <c r="D5">
        <v>1</v>
      </c>
      <c r="E5">
        <v>1</v>
      </c>
      <c r="F5">
        <v>0</v>
      </c>
      <c r="G5">
        <v>0</v>
      </c>
      <c r="H5" s="82">
        <v>0</v>
      </c>
      <c r="I5" s="82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 s="6">
        <v>0</v>
      </c>
      <c r="BY5">
        <v>3</v>
      </c>
    </row>
    <row r="6" spans="1:82" x14ac:dyDescent="0.3">
      <c r="A6" t="str">
        <f>name!B7</f>
        <v>Engineering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 s="82">
        <v>0</v>
      </c>
      <c r="I6" s="82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1</v>
      </c>
      <c r="S6">
        <v>1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 s="6">
        <v>0</v>
      </c>
      <c r="BY6">
        <v>4</v>
      </c>
    </row>
    <row r="7" spans="1:82" x14ac:dyDescent="0.3">
      <c r="A7" t="str">
        <f>name!B8</f>
        <v>Rest of manufacturing</v>
      </c>
      <c r="B7" s="5">
        <v>0</v>
      </c>
      <c r="C7">
        <v>0</v>
      </c>
      <c r="D7">
        <v>0</v>
      </c>
      <c r="E7">
        <v>0</v>
      </c>
      <c r="F7">
        <v>1</v>
      </c>
      <c r="G7">
        <v>1</v>
      </c>
      <c r="H7">
        <v>1</v>
      </c>
      <c r="I7">
        <v>1</v>
      </c>
      <c r="J7" s="1">
        <v>1</v>
      </c>
      <c r="K7" s="1">
        <v>1</v>
      </c>
      <c r="L7" s="1">
        <v>1</v>
      </c>
      <c r="M7" s="82">
        <v>1</v>
      </c>
      <c r="N7" s="82">
        <v>1</v>
      </c>
      <c r="O7" s="82">
        <v>1</v>
      </c>
      <c r="P7" s="82">
        <v>1</v>
      </c>
      <c r="Q7">
        <v>0</v>
      </c>
      <c r="R7">
        <v>0</v>
      </c>
      <c r="S7">
        <v>0</v>
      </c>
      <c r="T7">
        <v>1</v>
      </c>
      <c r="U7">
        <v>1</v>
      </c>
      <c r="V7">
        <v>1</v>
      </c>
      <c r="W7">
        <v>1</v>
      </c>
      <c r="X7">
        <v>1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 s="6">
        <v>0</v>
      </c>
      <c r="BY7">
        <v>5</v>
      </c>
    </row>
    <row r="8" spans="1:82" x14ac:dyDescent="0.3">
      <c r="A8" t="str">
        <f>name!B9</f>
        <v>Electricity and gas</v>
      </c>
      <c r="B8" s="5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s="82">
        <v>0</v>
      </c>
      <c r="M8" s="82">
        <v>0</v>
      </c>
      <c r="N8" s="82">
        <v>0</v>
      </c>
      <c r="O8" s="82">
        <v>0</v>
      </c>
      <c r="P8" s="82">
        <v>0</v>
      </c>
      <c r="Q8" s="82">
        <v>0</v>
      </c>
      <c r="R8" s="82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1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 s="6">
        <v>0</v>
      </c>
      <c r="BY8">
        <v>6</v>
      </c>
    </row>
    <row r="9" spans="1:82" x14ac:dyDescent="0.3">
      <c r="A9" t="str">
        <f>name!B10</f>
        <v>Water and sewerage</v>
      </c>
      <c r="B9" s="5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82">
        <v>0</v>
      </c>
      <c r="M9" s="82">
        <v>0</v>
      </c>
      <c r="N9" s="82">
        <v>0</v>
      </c>
      <c r="O9" s="82">
        <v>0</v>
      </c>
      <c r="P9" s="82">
        <v>0</v>
      </c>
      <c r="Q9" s="82">
        <v>0</v>
      </c>
      <c r="R9" s="82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1</v>
      </c>
      <c r="AB9">
        <v>1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 s="6">
        <v>0</v>
      </c>
      <c r="BY9">
        <v>7</v>
      </c>
    </row>
    <row r="10" spans="1:82" x14ac:dyDescent="0.3">
      <c r="A10" t="str">
        <f>name!B11</f>
        <v>Construction</v>
      </c>
      <c r="B10" s="5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82">
        <v>0</v>
      </c>
      <c r="M10" s="82">
        <v>0</v>
      </c>
      <c r="N10" s="82">
        <v>0</v>
      </c>
      <c r="O10" s="82">
        <v>0</v>
      </c>
      <c r="P10" s="82">
        <v>0</v>
      </c>
      <c r="Q10" s="82">
        <v>0</v>
      </c>
      <c r="R10" s="82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1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 s="6">
        <v>0</v>
      </c>
      <c r="BY10">
        <v>8</v>
      </c>
    </row>
    <row r="11" spans="1:82" x14ac:dyDescent="0.3">
      <c r="A11" t="str">
        <f>name!B12</f>
        <v>Wholesale and retail trade</v>
      </c>
      <c r="B11" s="5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82">
        <v>0</v>
      </c>
      <c r="M11" s="82">
        <v>0</v>
      </c>
      <c r="N11" s="82">
        <v>0</v>
      </c>
      <c r="O11" s="82">
        <v>0</v>
      </c>
      <c r="P11" s="82">
        <v>0</v>
      </c>
      <c r="Q11" s="82">
        <v>0</v>
      </c>
      <c r="R11" s="82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 s="6">
        <v>0</v>
      </c>
      <c r="BY11">
        <v>9</v>
      </c>
    </row>
    <row r="12" spans="1:82" x14ac:dyDescent="0.3">
      <c r="A12" t="str">
        <f>name!B13</f>
        <v>Transport and storage</v>
      </c>
      <c r="B12" s="5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82">
        <v>0</v>
      </c>
      <c r="M12" s="82">
        <v>0</v>
      </c>
      <c r="N12" s="82">
        <v>0</v>
      </c>
      <c r="O12" s="82">
        <v>0</v>
      </c>
      <c r="P12" s="82">
        <v>0</v>
      </c>
      <c r="Q12" s="82">
        <v>0</v>
      </c>
      <c r="R12" s="8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 s="6">
        <v>0</v>
      </c>
      <c r="BY12">
        <v>10</v>
      </c>
    </row>
    <row r="13" spans="1:82" x14ac:dyDescent="0.3">
      <c r="A13" t="str">
        <f>name!B14</f>
        <v>Accommodation and food</v>
      </c>
      <c r="B13" s="5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82">
        <v>0</v>
      </c>
      <c r="M13" s="82">
        <v>0</v>
      </c>
      <c r="N13" s="82">
        <v>0</v>
      </c>
      <c r="O13" s="82">
        <v>0</v>
      </c>
      <c r="P13" s="82">
        <v>0</v>
      </c>
      <c r="Q13" s="82">
        <v>0</v>
      </c>
      <c r="R13" s="82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1</v>
      </c>
      <c r="AO13">
        <v>1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 s="6">
        <v>0</v>
      </c>
      <c r="BY13">
        <v>11</v>
      </c>
    </row>
    <row r="14" spans="1:82" x14ac:dyDescent="0.3">
      <c r="A14" t="str">
        <f>name!B15</f>
        <v>Media</v>
      </c>
      <c r="B14" s="5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82">
        <v>0</v>
      </c>
      <c r="M14" s="82">
        <v>0</v>
      </c>
      <c r="N14" s="82">
        <v>0</v>
      </c>
      <c r="O14" s="82">
        <v>0</v>
      </c>
      <c r="P14" s="82">
        <v>0</v>
      </c>
      <c r="Q14" s="82">
        <v>0</v>
      </c>
      <c r="R14" s="82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1</v>
      </c>
      <c r="AQ14">
        <v>1</v>
      </c>
      <c r="AR14">
        <v>1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 s="6">
        <v>0</v>
      </c>
      <c r="BY14">
        <v>12</v>
      </c>
    </row>
    <row r="15" spans="1:82" x14ac:dyDescent="0.3">
      <c r="A15" t="str">
        <f>name!B16</f>
        <v>Information technology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 s="82">
        <v>0</v>
      </c>
      <c r="M15" s="82">
        <v>0</v>
      </c>
      <c r="N15" s="82">
        <v>0</v>
      </c>
      <c r="O15" s="82">
        <v>0</v>
      </c>
      <c r="P15" s="82">
        <v>0</v>
      </c>
      <c r="Q15" s="82">
        <v>0</v>
      </c>
      <c r="R15" s="82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 s="6">
        <v>0</v>
      </c>
      <c r="BY15">
        <v>13</v>
      </c>
    </row>
    <row r="16" spans="1:82" x14ac:dyDescent="0.3">
      <c r="A16" t="str">
        <f>name!B17</f>
        <v>Finance and insurance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 s="82">
        <v>0</v>
      </c>
      <c r="M16" s="82">
        <v>0</v>
      </c>
      <c r="N16" s="82">
        <v>0</v>
      </c>
      <c r="O16" s="82">
        <v>0</v>
      </c>
      <c r="P16" s="82">
        <v>0</v>
      </c>
      <c r="Q16" s="82">
        <v>0</v>
      </c>
      <c r="R16" s="82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1</v>
      </c>
      <c r="AW16">
        <v>1</v>
      </c>
      <c r="AX16">
        <v>1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 s="6">
        <v>0</v>
      </c>
      <c r="BY16">
        <v>14</v>
      </c>
    </row>
    <row r="17" spans="1:77" x14ac:dyDescent="0.3">
      <c r="A17" t="str">
        <f>name!B18</f>
        <v>Real estate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 s="82">
        <v>0</v>
      </c>
      <c r="M17" s="82">
        <v>0</v>
      </c>
      <c r="N17" s="82">
        <v>0</v>
      </c>
      <c r="O17" s="82">
        <v>0</v>
      </c>
      <c r="P17" s="82">
        <v>0</v>
      </c>
      <c r="Q17" s="82">
        <v>0</v>
      </c>
      <c r="R17" s="82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 s="6">
        <v>0</v>
      </c>
      <c r="BY17">
        <v>15</v>
      </c>
    </row>
    <row r="18" spans="1:77" x14ac:dyDescent="0.3">
      <c r="A18" t="str">
        <f>name!B19</f>
        <v>Professional services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 s="82">
        <v>0</v>
      </c>
      <c r="M18" s="82">
        <v>0</v>
      </c>
      <c r="N18" s="82">
        <v>0</v>
      </c>
      <c r="O18" s="82">
        <v>0</v>
      </c>
      <c r="P18" s="82">
        <v>0</v>
      </c>
      <c r="Q18" s="82">
        <v>0</v>
      </c>
      <c r="R18" s="82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 s="6">
        <v>0</v>
      </c>
      <c r="BY18">
        <v>16</v>
      </c>
    </row>
    <row r="19" spans="1:77" x14ac:dyDescent="0.3">
      <c r="A19" t="str">
        <f>name!B20</f>
        <v>Support services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 s="82">
        <v>0</v>
      </c>
      <c r="M19" s="82">
        <v>0</v>
      </c>
      <c r="N19" s="82">
        <v>0</v>
      </c>
      <c r="O19" s="82">
        <v>0</v>
      </c>
      <c r="P19" s="82">
        <v>0</v>
      </c>
      <c r="Q19" s="82">
        <v>0</v>
      </c>
      <c r="R19" s="82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 s="6">
        <v>0</v>
      </c>
      <c r="BY19">
        <v>17</v>
      </c>
    </row>
    <row r="20" spans="1:77" x14ac:dyDescent="0.3">
      <c r="A20" t="str">
        <f>name!B21</f>
        <v>Public admin. and defence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 s="82">
        <v>0</v>
      </c>
      <c r="M20" s="82">
        <v>0</v>
      </c>
      <c r="N20" s="82">
        <v>0</v>
      </c>
      <c r="O20" s="82">
        <v>0</v>
      </c>
      <c r="P20" s="82">
        <v>0</v>
      </c>
      <c r="Q20" s="82">
        <v>0</v>
      </c>
      <c r="R20" s="82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 s="6">
        <v>0</v>
      </c>
      <c r="BY20">
        <v>18</v>
      </c>
    </row>
    <row r="21" spans="1:77" x14ac:dyDescent="0.3">
      <c r="A21" t="str">
        <f>name!B22</f>
        <v>Education</v>
      </c>
      <c r="B21" s="5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82">
        <v>0</v>
      </c>
      <c r="M21" s="82">
        <v>0</v>
      </c>
      <c r="N21" s="82">
        <v>0</v>
      </c>
      <c r="O21" s="82">
        <v>0</v>
      </c>
      <c r="P21" s="82">
        <v>0</v>
      </c>
      <c r="Q21" s="82">
        <v>0</v>
      </c>
      <c r="R21" s="82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1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 s="6">
        <v>0</v>
      </c>
      <c r="BY21">
        <v>19</v>
      </c>
    </row>
    <row r="22" spans="1:77" x14ac:dyDescent="0.3">
      <c r="A22" t="str">
        <f>name!B23</f>
        <v>Health and social work</v>
      </c>
      <c r="B22" s="5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82">
        <v>0</v>
      </c>
      <c r="M22" s="82">
        <v>0</v>
      </c>
      <c r="N22" s="82">
        <v>0</v>
      </c>
      <c r="O22" s="82">
        <v>0</v>
      </c>
      <c r="P22" s="82">
        <v>0</v>
      </c>
      <c r="Q22" s="82">
        <v>0</v>
      </c>
      <c r="R22" s="8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1</v>
      </c>
      <c r="BP22">
        <v>1</v>
      </c>
      <c r="BQ22">
        <v>1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 s="6">
        <v>0</v>
      </c>
      <c r="BY22">
        <v>20</v>
      </c>
    </row>
    <row r="23" spans="1:77" x14ac:dyDescent="0.3">
      <c r="A23" t="str">
        <f>name!B24</f>
        <v>Arts and entertainment</v>
      </c>
      <c r="B23" s="5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82">
        <v>0</v>
      </c>
      <c r="M23" s="82">
        <v>0</v>
      </c>
      <c r="N23" s="82">
        <v>0</v>
      </c>
      <c r="O23" s="82">
        <v>0</v>
      </c>
      <c r="P23" s="82">
        <v>0</v>
      </c>
      <c r="Q23" s="82">
        <v>0</v>
      </c>
      <c r="R23" s="82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1</v>
      </c>
      <c r="BS23">
        <v>1</v>
      </c>
      <c r="BT23">
        <v>1</v>
      </c>
      <c r="BU23">
        <v>1</v>
      </c>
      <c r="BV23">
        <v>0</v>
      </c>
      <c r="BW23">
        <v>0</v>
      </c>
      <c r="BX23" s="6">
        <v>0</v>
      </c>
      <c r="BY23">
        <v>21</v>
      </c>
    </row>
    <row r="24" spans="1:77" ht="12.9" thickBot="1" x14ac:dyDescent="0.35">
      <c r="A24" t="str">
        <f>name!B25</f>
        <v>Other services</v>
      </c>
      <c r="B24" s="7">
        <v>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229">
        <v>0</v>
      </c>
      <c r="M24" s="229">
        <v>0</v>
      </c>
      <c r="N24" s="229">
        <v>0</v>
      </c>
      <c r="O24" s="229">
        <v>0</v>
      </c>
      <c r="P24" s="229">
        <v>0</v>
      </c>
      <c r="Q24" s="229">
        <v>0</v>
      </c>
      <c r="R24" s="229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</v>
      </c>
      <c r="BM24" s="8">
        <v>0</v>
      </c>
      <c r="BN24" s="8">
        <v>0</v>
      </c>
      <c r="BO24" s="8">
        <v>0</v>
      </c>
      <c r="BP24" s="8">
        <v>0</v>
      </c>
      <c r="BQ24" s="8">
        <v>0</v>
      </c>
      <c r="BR24" s="8">
        <v>0</v>
      </c>
      <c r="BS24" s="8">
        <v>0</v>
      </c>
      <c r="BT24" s="8">
        <v>0</v>
      </c>
      <c r="BU24" s="8">
        <v>0</v>
      </c>
      <c r="BV24" s="8">
        <v>1</v>
      </c>
      <c r="BW24" s="8">
        <v>1</v>
      </c>
      <c r="BX24" s="9">
        <v>1</v>
      </c>
      <c r="BY24">
        <v>22</v>
      </c>
    </row>
    <row r="25" spans="1:77" x14ac:dyDescent="0.3">
      <c r="B25">
        <v>1</v>
      </c>
      <c r="C25">
        <v>2</v>
      </c>
      <c r="D25">
        <v>3</v>
      </c>
      <c r="E25">
        <v>4</v>
      </c>
      <c r="F25">
        <v>5</v>
      </c>
      <c r="G25">
        <v>6</v>
      </c>
      <c r="H25">
        <v>7</v>
      </c>
      <c r="I25">
        <v>8</v>
      </c>
      <c r="J25">
        <v>9</v>
      </c>
      <c r="K25">
        <v>10</v>
      </c>
      <c r="L25">
        <v>11</v>
      </c>
      <c r="M25">
        <v>12</v>
      </c>
      <c r="N25">
        <v>13</v>
      </c>
      <c r="O25">
        <v>14</v>
      </c>
      <c r="P25">
        <v>15</v>
      </c>
      <c r="Q25">
        <v>16</v>
      </c>
      <c r="R25">
        <v>17</v>
      </c>
      <c r="S25">
        <v>18</v>
      </c>
      <c r="T25">
        <v>19</v>
      </c>
      <c r="U25">
        <v>20</v>
      </c>
      <c r="V25">
        <v>21</v>
      </c>
      <c r="W25">
        <v>22</v>
      </c>
      <c r="X25">
        <v>23</v>
      </c>
      <c r="Y25">
        <v>24</v>
      </c>
      <c r="Z25">
        <v>25</v>
      </c>
      <c r="AA25">
        <v>26</v>
      </c>
      <c r="AB25">
        <v>27</v>
      </c>
      <c r="AC25">
        <v>28</v>
      </c>
      <c r="AD25">
        <v>29</v>
      </c>
      <c r="AE25">
        <v>30</v>
      </c>
      <c r="AF25">
        <v>31</v>
      </c>
      <c r="AG25">
        <v>32</v>
      </c>
      <c r="AH25">
        <v>33</v>
      </c>
      <c r="AI25">
        <v>34</v>
      </c>
      <c r="AJ25">
        <v>35</v>
      </c>
      <c r="AK25">
        <v>36</v>
      </c>
      <c r="AL25">
        <v>37</v>
      </c>
      <c r="AM25">
        <v>38</v>
      </c>
      <c r="AN25">
        <v>39</v>
      </c>
      <c r="AO25">
        <v>40</v>
      </c>
      <c r="AP25">
        <v>41</v>
      </c>
      <c r="AQ25">
        <v>42</v>
      </c>
      <c r="AR25">
        <v>43</v>
      </c>
      <c r="AS25">
        <v>44</v>
      </c>
      <c r="AT25">
        <v>45</v>
      </c>
      <c r="AU25">
        <v>46</v>
      </c>
      <c r="AV25">
        <v>47</v>
      </c>
      <c r="AW25">
        <v>48</v>
      </c>
      <c r="AX25">
        <v>49</v>
      </c>
      <c r="AY25">
        <v>50</v>
      </c>
      <c r="AZ25">
        <v>51</v>
      </c>
      <c r="BA25">
        <v>52</v>
      </c>
      <c r="BB25">
        <v>53</v>
      </c>
      <c r="BC25">
        <v>54</v>
      </c>
      <c r="BD25">
        <v>55</v>
      </c>
      <c r="BE25">
        <v>56</v>
      </c>
      <c r="BF25">
        <v>57</v>
      </c>
      <c r="BG25">
        <v>58</v>
      </c>
      <c r="BH25">
        <v>59</v>
      </c>
      <c r="BI25">
        <v>60</v>
      </c>
      <c r="BJ25">
        <v>61</v>
      </c>
      <c r="BK25">
        <v>62</v>
      </c>
      <c r="BL25">
        <v>63</v>
      </c>
      <c r="BM25">
        <v>64</v>
      </c>
      <c r="BN25">
        <v>65</v>
      </c>
      <c r="BO25">
        <v>66</v>
      </c>
      <c r="BP25">
        <v>67</v>
      </c>
      <c r="BQ25">
        <v>68</v>
      </c>
      <c r="BR25">
        <v>69</v>
      </c>
      <c r="BS25">
        <v>70</v>
      </c>
      <c r="BT25">
        <v>71</v>
      </c>
      <c r="BU25">
        <v>72</v>
      </c>
      <c r="BV25">
        <v>73</v>
      </c>
      <c r="BW25">
        <v>74</v>
      </c>
      <c r="BX25">
        <v>75</v>
      </c>
    </row>
    <row r="27" spans="1:77" ht="12.9" thickBot="1" x14ac:dyDescent="0.35">
      <c r="A27" s="1" t="str">
        <f>CONCATENATE("Aggregation 75 industries to 6 ",name!C2)</f>
        <v>Aggregation 75 industries to 6 Industry sectors</v>
      </c>
    </row>
    <row r="28" spans="1:77" x14ac:dyDescent="0.3">
      <c r="A28" s="10" t="str">
        <f>name!C4</f>
        <v>Primary sector and utilities</v>
      </c>
      <c r="B28" s="2">
        <v>1</v>
      </c>
      <c r="C28" s="3">
        <v>1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1</v>
      </c>
      <c r="Z28" s="3">
        <v>1</v>
      </c>
      <c r="AA28" s="3">
        <v>1</v>
      </c>
      <c r="AB28" s="3">
        <v>1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</v>
      </c>
      <c r="BD28" s="3">
        <v>0</v>
      </c>
      <c r="BE28" s="3">
        <v>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</v>
      </c>
      <c r="BQ28" s="3">
        <v>0</v>
      </c>
      <c r="BR28" s="3">
        <v>0</v>
      </c>
      <c r="BS28" s="3">
        <v>0</v>
      </c>
      <c r="BT28" s="3">
        <v>0</v>
      </c>
      <c r="BU28" s="3">
        <v>0</v>
      </c>
      <c r="BV28" s="3">
        <v>0</v>
      </c>
      <c r="BW28" s="3">
        <v>0</v>
      </c>
      <c r="BX28" s="4">
        <v>0</v>
      </c>
      <c r="BY28">
        <v>1</v>
      </c>
    </row>
    <row r="29" spans="1:77" x14ac:dyDescent="0.3">
      <c r="A29" s="10" t="str">
        <f>name!C5</f>
        <v>Manufacturing</v>
      </c>
      <c r="B29" s="5">
        <v>0</v>
      </c>
      <c r="C29">
        <v>0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 s="6">
        <v>0</v>
      </c>
      <c r="BY29">
        <v>2</v>
      </c>
    </row>
    <row r="30" spans="1:77" x14ac:dyDescent="0.3">
      <c r="A30" s="10" t="str">
        <f>name!C6</f>
        <v>Construction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1</v>
      </c>
      <c r="AE30">
        <v>1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 s="6">
        <v>0</v>
      </c>
      <c r="BY30">
        <v>3</v>
      </c>
    </row>
    <row r="31" spans="1:77" x14ac:dyDescent="0.3">
      <c r="A31" s="10" t="str">
        <f>name!C7</f>
        <v>Trade, accomod. and transport</v>
      </c>
      <c r="B31" s="5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 s="6">
        <v>0</v>
      </c>
      <c r="BY31">
        <v>4</v>
      </c>
    </row>
    <row r="32" spans="1:77" x14ac:dyDescent="0.3">
      <c r="A32" s="10" t="str">
        <f>name!C8</f>
        <v>Business and other services</v>
      </c>
      <c r="B32" s="5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1</v>
      </c>
      <c r="AQ32">
        <v>1</v>
      </c>
      <c r="AR32">
        <v>1</v>
      </c>
      <c r="AS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1</v>
      </c>
      <c r="BS32">
        <v>1</v>
      </c>
      <c r="BT32">
        <v>1</v>
      </c>
      <c r="BU32">
        <v>1</v>
      </c>
      <c r="BV32">
        <v>1</v>
      </c>
      <c r="BW32">
        <v>1</v>
      </c>
      <c r="BX32" s="6">
        <v>1</v>
      </c>
      <c r="BY32">
        <v>5</v>
      </c>
    </row>
    <row r="33" spans="1:77" ht="12.9" thickBot="1" x14ac:dyDescent="0.35">
      <c r="A33" s="10" t="str">
        <f>name!C9</f>
        <v>Non-marketed services</v>
      </c>
      <c r="B33" s="7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I33" s="8">
        <v>0</v>
      </c>
      <c r="AJ33" s="8">
        <v>0</v>
      </c>
      <c r="AK33" s="8">
        <v>0</v>
      </c>
      <c r="AL33" s="8">
        <v>0</v>
      </c>
      <c r="AM33" s="8">
        <v>0</v>
      </c>
      <c r="AN33" s="8">
        <v>0</v>
      </c>
      <c r="AO33" s="8">
        <v>0</v>
      </c>
      <c r="AP33" s="8">
        <v>0</v>
      </c>
      <c r="AQ33" s="8">
        <v>0</v>
      </c>
      <c r="AR33" s="8">
        <v>0</v>
      </c>
      <c r="AS33" s="8">
        <v>0</v>
      </c>
      <c r="AT33" s="8">
        <v>0</v>
      </c>
      <c r="AU33" s="8">
        <v>0</v>
      </c>
      <c r="AV33" s="8">
        <v>0</v>
      </c>
      <c r="AW33" s="8">
        <v>0</v>
      </c>
      <c r="AX33" s="8">
        <v>0</v>
      </c>
      <c r="AY33" s="8">
        <v>0</v>
      </c>
      <c r="AZ33" s="8">
        <v>0</v>
      </c>
      <c r="BA33" s="8">
        <v>0</v>
      </c>
      <c r="BB33" s="8">
        <v>0</v>
      </c>
      <c r="BC33" s="8">
        <v>0</v>
      </c>
      <c r="BD33" s="8">
        <v>0</v>
      </c>
      <c r="BE33" s="8">
        <v>0</v>
      </c>
      <c r="BF33" s="8">
        <v>0</v>
      </c>
      <c r="BG33" s="8">
        <v>0</v>
      </c>
      <c r="BH33" s="8">
        <v>0</v>
      </c>
      <c r="BI33" s="8">
        <v>0</v>
      </c>
      <c r="BJ33" s="8">
        <v>0</v>
      </c>
      <c r="BK33" s="8">
        <v>0</v>
      </c>
      <c r="BL33" s="8">
        <v>0</v>
      </c>
      <c r="BM33" s="8">
        <v>1</v>
      </c>
      <c r="BN33" s="8">
        <v>1</v>
      </c>
      <c r="BO33" s="8">
        <v>1</v>
      </c>
      <c r="BP33" s="8">
        <v>1</v>
      </c>
      <c r="BQ33" s="8">
        <v>1</v>
      </c>
      <c r="BR33" s="8">
        <v>0</v>
      </c>
      <c r="BS33" s="8">
        <v>0</v>
      </c>
      <c r="BT33" s="8">
        <v>0</v>
      </c>
      <c r="BU33" s="8">
        <v>0</v>
      </c>
      <c r="BV33" s="8">
        <v>0</v>
      </c>
      <c r="BW33" s="8">
        <v>0</v>
      </c>
      <c r="BX33" s="9">
        <v>0</v>
      </c>
      <c r="BY33">
        <v>6</v>
      </c>
    </row>
    <row r="34" spans="1:77" x14ac:dyDescent="0.3">
      <c r="B34">
        <v>1</v>
      </c>
      <c r="C34">
        <v>2</v>
      </c>
      <c r="D34">
        <v>3</v>
      </c>
      <c r="E34">
        <v>4</v>
      </c>
      <c r="F34">
        <v>5</v>
      </c>
      <c r="G34">
        <v>6</v>
      </c>
      <c r="H34">
        <v>7</v>
      </c>
      <c r="I34">
        <v>8</v>
      </c>
      <c r="J34">
        <v>9</v>
      </c>
      <c r="K34">
        <v>10</v>
      </c>
      <c r="L34">
        <v>11</v>
      </c>
      <c r="M34">
        <v>12</v>
      </c>
      <c r="N34">
        <v>13</v>
      </c>
      <c r="O34">
        <v>14</v>
      </c>
      <c r="P34">
        <v>15</v>
      </c>
      <c r="Q34">
        <v>16</v>
      </c>
      <c r="R34">
        <v>17</v>
      </c>
      <c r="S34">
        <v>18</v>
      </c>
      <c r="T34">
        <v>19</v>
      </c>
      <c r="U34">
        <v>20</v>
      </c>
      <c r="V34">
        <v>21</v>
      </c>
      <c r="W34">
        <v>22</v>
      </c>
      <c r="X34">
        <v>23</v>
      </c>
      <c r="Y34">
        <v>24</v>
      </c>
      <c r="Z34">
        <v>25</v>
      </c>
      <c r="AA34">
        <v>26</v>
      </c>
      <c r="AB34">
        <v>27</v>
      </c>
      <c r="AC34">
        <v>28</v>
      </c>
      <c r="AD34">
        <v>29</v>
      </c>
      <c r="AE34">
        <v>30</v>
      </c>
      <c r="AF34">
        <v>31</v>
      </c>
      <c r="AG34">
        <v>32</v>
      </c>
      <c r="AH34">
        <v>33</v>
      </c>
      <c r="AI34">
        <v>34</v>
      </c>
      <c r="AJ34">
        <v>35</v>
      </c>
      <c r="AK34">
        <v>36</v>
      </c>
      <c r="AL34">
        <v>37</v>
      </c>
      <c r="AM34">
        <v>38</v>
      </c>
      <c r="AN34">
        <v>39</v>
      </c>
      <c r="AO34">
        <v>40</v>
      </c>
      <c r="AP34">
        <v>41</v>
      </c>
      <c r="AQ34">
        <v>42</v>
      </c>
      <c r="AR34">
        <v>43</v>
      </c>
      <c r="AS34">
        <v>44</v>
      </c>
      <c r="AT34">
        <v>45</v>
      </c>
      <c r="AU34">
        <v>46</v>
      </c>
      <c r="AV34">
        <v>47</v>
      </c>
      <c r="AW34">
        <v>48</v>
      </c>
      <c r="AX34">
        <v>49</v>
      </c>
      <c r="AY34">
        <v>50</v>
      </c>
      <c r="AZ34">
        <v>51</v>
      </c>
      <c r="BA34">
        <v>52</v>
      </c>
      <c r="BB34">
        <v>53</v>
      </c>
      <c r="BC34">
        <v>54</v>
      </c>
      <c r="BD34">
        <v>55</v>
      </c>
      <c r="BE34">
        <v>56</v>
      </c>
      <c r="BF34">
        <v>57</v>
      </c>
      <c r="BG34">
        <v>58</v>
      </c>
      <c r="BH34">
        <v>59</v>
      </c>
      <c r="BI34">
        <v>60</v>
      </c>
      <c r="BJ34">
        <v>61</v>
      </c>
      <c r="BK34">
        <v>62</v>
      </c>
      <c r="BL34">
        <v>63</v>
      </c>
      <c r="BM34">
        <v>64</v>
      </c>
      <c r="BN34">
        <v>65</v>
      </c>
      <c r="BO34">
        <v>66</v>
      </c>
      <c r="BP34">
        <v>67</v>
      </c>
      <c r="BQ34">
        <v>68</v>
      </c>
      <c r="BR34">
        <v>69</v>
      </c>
      <c r="BS34">
        <v>70</v>
      </c>
      <c r="BT34">
        <v>71</v>
      </c>
      <c r="BU34">
        <v>72</v>
      </c>
      <c r="BV34">
        <v>73</v>
      </c>
      <c r="BW34">
        <v>74</v>
      </c>
      <c r="BX34">
        <v>75</v>
      </c>
    </row>
    <row r="36" spans="1:77" x14ac:dyDescent="0.3">
      <c r="A36" s="1" t="s">
        <v>508</v>
      </c>
    </row>
    <row r="37" spans="1:77" ht="120" customHeight="1" thickBot="1" x14ac:dyDescent="0.35">
      <c r="B37" s="352" t="s">
        <v>475</v>
      </c>
      <c r="C37" s="352" t="s">
        <v>476</v>
      </c>
      <c r="D37" s="352" t="s">
        <v>477</v>
      </c>
      <c r="E37" s="352" t="s">
        <v>479</v>
      </c>
      <c r="F37" s="352" t="s">
        <v>481</v>
      </c>
      <c r="G37" s="352" t="s">
        <v>482</v>
      </c>
      <c r="H37" s="352" t="s">
        <v>484</v>
      </c>
      <c r="I37" s="352" t="s">
        <v>486</v>
      </c>
      <c r="J37" s="352" t="s">
        <v>487</v>
      </c>
      <c r="K37" s="352" t="s">
        <v>488</v>
      </c>
      <c r="L37" s="352" t="s">
        <v>489</v>
      </c>
      <c r="M37" s="352" t="s">
        <v>490</v>
      </c>
      <c r="N37" s="352" t="s">
        <v>491</v>
      </c>
      <c r="O37" s="352" t="s">
        <v>492</v>
      </c>
      <c r="P37" s="352" t="s">
        <v>493</v>
      </c>
      <c r="Q37" s="352" t="s">
        <v>494</v>
      </c>
      <c r="R37" s="352" t="s">
        <v>495</v>
      </c>
      <c r="S37" s="352" t="s">
        <v>496</v>
      </c>
      <c r="T37" s="352" t="s">
        <v>497</v>
      </c>
      <c r="U37" s="352" t="s">
        <v>498</v>
      </c>
      <c r="V37" s="352" t="s">
        <v>499</v>
      </c>
      <c r="W37" s="352" t="s">
        <v>500</v>
      </c>
      <c r="X37" s="352" t="s">
        <v>501</v>
      </c>
      <c r="Y37" s="352" t="s">
        <v>502</v>
      </c>
      <c r="Z37" s="352" t="s">
        <v>503</v>
      </c>
      <c r="AA37" s="124" t="s">
        <v>504</v>
      </c>
      <c r="AB37" s="12"/>
    </row>
    <row r="38" spans="1:77" x14ac:dyDescent="0.3">
      <c r="A38" t="s">
        <v>322</v>
      </c>
      <c r="B38" s="2">
        <v>1</v>
      </c>
      <c r="C38" s="3">
        <v>1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4">
        <v>0</v>
      </c>
      <c r="AB38">
        <v>1</v>
      </c>
    </row>
    <row r="39" spans="1:77" x14ac:dyDescent="0.3">
      <c r="A39" t="s">
        <v>323</v>
      </c>
      <c r="B39" s="5">
        <v>0</v>
      </c>
      <c r="C39">
        <v>0</v>
      </c>
      <c r="D39">
        <v>1</v>
      </c>
      <c r="E39">
        <v>1</v>
      </c>
      <c r="F39">
        <v>1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 s="6">
        <v>0</v>
      </c>
      <c r="AB39">
        <v>2</v>
      </c>
    </row>
    <row r="40" spans="1:77" x14ac:dyDescent="0.3">
      <c r="A40" t="s">
        <v>478</v>
      </c>
      <c r="B40" s="5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1</v>
      </c>
      <c r="I40">
        <v>1</v>
      </c>
      <c r="J40">
        <v>1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 s="6">
        <v>0</v>
      </c>
      <c r="AB40">
        <v>3</v>
      </c>
    </row>
    <row r="41" spans="1:77" x14ac:dyDescent="0.3">
      <c r="A41" t="s">
        <v>480</v>
      </c>
      <c r="B41" s="5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 s="6">
        <v>0</v>
      </c>
      <c r="AB41">
        <v>4</v>
      </c>
    </row>
    <row r="42" spans="1:77" x14ac:dyDescent="0.3">
      <c r="A42" t="s">
        <v>324</v>
      </c>
      <c r="B42" s="5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1</v>
      </c>
      <c r="Q42">
        <v>1</v>
      </c>
      <c r="R42">
        <v>1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 s="6">
        <v>0</v>
      </c>
      <c r="AB42">
        <v>5</v>
      </c>
    </row>
    <row r="43" spans="1:77" x14ac:dyDescent="0.3">
      <c r="A43" t="s">
        <v>483</v>
      </c>
      <c r="B43" s="5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0</v>
      </c>
      <c r="W43">
        <v>0</v>
      </c>
      <c r="X43">
        <v>0</v>
      </c>
      <c r="Y43">
        <v>0</v>
      </c>
      <c r="Z43">
        <v>0</v>
      </c>
      <c r="AA43" s="6">
        <v>0</v>
      </c>
      <c r="AB43">
        <v>6</v>
      </c>
    </row>
    <row r="44" spans="1:77" x14ac:dyDescent="0.3">
      <c r="A44" t="s">
        <v>485</v>
      </c>
      <c r="B44" s="5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1</v>
      </c>
      <c r="W44">
        <v>1</v>
      </c>
      <c r="X44">
        <v>0</v>
      </c>
      <c r="Y44">
        <v>0</v>
      </c>
      <c r="Z44">
        <v>0</v>
      </c>
      <c r="AA44" s="6">
        <v>0</v>
      </c>
      <c r="AB44">
        <v>7</v>
      </c>
    </row>
    <row r="45" spans="1:77" x14ac:dyDescent="0.3">
      <c r="A45" t="s">
        <v>325</v>
      </c>
      <c r="B45" s="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</v>
      </c>
      <c r="Y45">
        <v>1</v>
      </c>
      <c r="Z45">
        <v>0</v>
      </c>
      <c r="AA45" s="6">
        <v>0</v>
      </c>
      <c r="AB45">
        <v>8</v>
      </c>
    </row>
    <row r="46" spans="1:77" ht="12.9" thickBot="1" x14ac:dyDescent="0.35">
      <c r="A46" t="s">
        <v>9</v>
      </c>
      <c r="B46" s="7">
        <v>0</v>
      </c>
      <c r="C46" s="8">
        <v>0</v>
      </c>
      <c r="D46" s="8">
        <v>0</v>
      </c>
      <c r="E46" s="8">
        <v>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8">
        <v>0</v>
      </c>
      <c r="O46" s="8">
        <v>0</v>
      </c>
      <c r="P46" s="8">
        <v>0</v>
      </c>
      <c r="Q46" s="8">
        <v>0</v>
      </c>
      <c r="R46" s="8">
        <v>0</v>
      </c>
      <c r="S46" s="8">
        <v>0</v>
      </c>
      <c r="T46" s="8">
        <v>0</v>
      </c>
      <c r="U46" s="8">
        <v>0</v>
      </c>
      <c r="V46" s="8">
        <v>0</v>
      </c>
      <c r="W46" s="8">
        <v>0</v>
      </c>
      <c r="X46" s="8">
        <v>0</v>
      </c>
      <c r="Y46" s="8">
        <v>0</v>
      </c>
      <c r="Z46" s="8">
        <v>1</v>
      </c>
      <c r="AA46" s="9">
        <v>1</v>
      </c>
      <c r="AB46">
        <v>9</v>
      </c>
    </row>
    <row r="47" spans="1:77" x14ac:dyDescent="0.3">
      <c r="B47">
        <v>1</v>
      </c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>
        <v>11</v>
      </c>
      <c r="M47">
        <v>12</v>
      </c>
      <c r="N47">
        <v>13</v>
      </c>
      <c r="O47">
        <v>14</v>
      </c>
      <c r="P47">
        <v>15</v>
      </c>
      <c r="Q47">
        <v>16</v>
      </c>
      <c r="R47">
        <v>17</v>
      </c>
      <c r="S47">
        <v>18</v>
      </c>
      <c r="T47">
        <v>19</v>
      </c>
      <c r="U47">
        <v>20</v>
      </c>
      <c r="V47">
        <v>21</v>
      </c>
      <c r="W47">
        <v>22</v>
      </c>
      <c r="X47">
        <v>23</v>
      </c>
      <c r="Y47">
        <v>24</v>
      </c>
      <c r="Z47">
        <v>25</v>
      </c>
      <c r="AA47">
        <v>26</v>
      </c>
    </row>
    <row r="49" spans="1:11" x14ac:dyDescent="0.3">
      <c r="A49" s="1" t="str">
        <f>CONCATENATE("Aggregation 9 qualifications to 6 ",name!$G$2)</f>
        <v>Aggregation 9 qualifications to 6 Qualification groups</v>
      </c>
    </row>
    <row r="50" spans="1:11" ht="197.25" customHeight="1" thickBot="1" x14ac:dyDescent="0.35">
      <c r="B50" s="124" t="str">
        <f t="array" ref="B50:J50">TRANSPOSE(name!F4:F13)</f>
        <v>RQF8 Doctorate</v>
      </c>
      <c r="C50" s="124" t="str">
        <v>RQF7 Other higher degree</v>
      </c>
      <c r="D50" s="124" t="str">
        <v>RQF6 First degree</v>
      </c>
      <c r="E50" s="124" t="str">
        <v>RQF5 Foundation degree;Nursing;Teaching</v>
      </c>
      <c r="F50" s="124" t="str">
        <v>RQF4 HE below degree level</v>
      </c>
      <c r="G50" s="124" t="str">
        <v>RQF3 A level &amp; equivalent</v>
      </c>
      <c r="H50" s="124" t="str">
        <v>RQF2 GCSE(A-C) &amp; equivalent</v>
      </c>
      <c r="I50" s="124" t="str">
        <v>RQF1 GCSE(below grade C) &amp; equivalent</v>
      </c>
      <c r="J50" s="124" t="str">
        <v>No Qualification</v>
      </c>
    </row>
    <row r="51" spans="1:11" x14ac:dyDescent="0.3">
      <c r="A51" s="10" t="str">
        <f>name!G4</f>
        <v>RQF 7-8</v>
      </c>
      <c r="B51" s="2">
        <v>1</v>
      </c>
      <c r="C51" s="3">
        <v>1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4">
        <v>0</v>
      </c>
      <c r="K51">
        <v>1</v>
      </c>
    </row>
    <row r="52" spans="1:11" x14ac:dyDescent="0.3">
      <c r="A52" s="10" t="str">
        <f>name!G5</f>
        <v>RQF 4-6</v>
      </c>
      <c r="B52" s="5">
        <v>0</v>
      </c>
      <c r="C52">
        <v>0</v>
      </c>
      <c r="D52">
        <v>1</v>
      </c>
      <c r="E52">
        <v>1</v>
      </c>
      <c r="F52">
        <v>1</v>
      </c>
      <c r="G52">
        <v>0</v>
      </c>
      <c r="H52">
        <v>0</v>
      </c>
      <c r="I52">
        <v>0</v>
      </c>
      <c r="J52" s="6">
        <v>0</v>
      </c>
      <c r="K52">
        <v>2</v>
      </c>
    </row>
    <row r="53" spans="1:11" x14ac:dyDescent="0.3">
      <c r="A53" s="10" t="str">
        <f>name!G6</f>
        <v>RQF3 A level &amp; equivalent</v>
      </c>
      <c r="B53" s="5">
        <v>0</v>
      </c>
      <c r="C53">
        <v>0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 s="6">
        <v>0</v>
      </c>
      <c r="K53">
        <v>3</v>
      </c>
    </row>
    <row r="54" spans="1:11" x14ac:dyDescent="0.3">
      <c r="A54" s="10" t="str">
        <f>name!G7</f>
        <v>RQF2 GCSE(A-C) &amp; equivalent</v>
      </c>
      <c r="B54" s="5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1</v>
      </c>
      <c r="I54">
        <v>0</v>
      </c>
      <c r="J54" s="6">
        <v>0</v>
      </c>
      <c r="K54">
        <v>4</v>
      </c>
    </row>
    <row r="55" spans="1:11" x14ac:dyDescent="0.3">
      <c r="A55" s="10" t="str">
        <f>name!G8</f>
        <v>RQF1 GCSE(below grade C) &amp; equivalent</v>
      </c>
      <c r="B55" s="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1</v>
      </c>
      <c r="J55" s="6">
        <v>0</v>
      </c>
      <c r="K55">
        <v>5</v>
      </c>
    </row>
    <row r="56" spans="1:11" ht="12.9" thickBot="1" x14ac:dyDescent="0.35">
      <c r="A56" s="10" t="str">
        <f>name!G9</f>
        <v>No Qualification</v>
      </c>
      <c r="B56" s="7">
        <v>0</v>
      </c>
      <c r="C56" s="8">
        <v>0</v>
      </c>
      <c r="D56" s="8">
        <v>0</v>
      </c>
      <c r="E56" s="8">
        <v>0</v>
      </c>
      <c r="F56" s="8">
        <v>0</v>
      </c>
      <c r="G56" s="8">
        <v>0</v>
      </c>
      <c r="H56" s="8">
        <v>0</v>
      </c>
      <c r="I56" s="8">
        <v>0</v>
      </c>
      <c r="J56" s="9">
        <v>1</v>
      </c>
      <c r="K56">
        <v>6</v>
      </c>
    </row>
    <row r="57" spans="1:11" x14ac:dyDescent="0.3">
      <c r="A57" s="10"/>
      <c r="B57">
        <v>1</v>
      </c>
      <c r="C57">
        <v>2</v>
      </c>
      <c r="D57">
        <v>3</v>
      </c>
      <c r="E57">
        <v>4</v>
      </c>
      <c r="F57">
        <v>5</v>
      </c>
      <c r="G57">
        <v>6</v>
      </c>
      <c r="H57">
        <v>7</v>
      </c>
      <c r="I57">
        <v>8</v>
      </c>
      <c r="J57">
        <v>9</v>
      </c>
    </row>
    <row r="58" spans="1:11" x14ac:dyDescent="0.3">
      <c r="A58" s="10"/>
    </row>
    <row r="59" spans="1:11" x14ac:dyDescent="0.3">
      <c r="A59" s="10"/>
    </row>
  </sheetData>
  <phoneticPr fontId="4" type="noConversion"/>
  <conditionalFormatting sqref="J52:J55">
    <cfRule type="cellIs" dxfId="5" priority="3" operator="equal">
      <formula>0</formula>
    </cfRule>
    <cfRule type="cellIs" dxfId="4" priority="4" stopIfTrue="1" operator="equal">
      <formula>1</formula>
    </cfRule>
  </conditionalFormatting>
  <conditionalFormatting sqref="B3:BX24 B28:BX33 B51:J56">
    <cfRule type="cellIs" dxfId="3" priority="15" operator="equal">
      <formula>0</formula>
    </cfRule>
    <cfRule type="cellIs" dxfId="2" priority="17" stopIfTrue="1" operator="equal">
      <formula>1</formula>
    </cfRule>
  </conditionalFormatting>
  <conditionalFormatting sqref="B38:AA46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53" orientation="landscape" r:id="rId1"/>
  <headerFooter alignWithMargins="0"/>
  <rowBreaks count="1" manualBreakCount="1">
    <brk id="26" max="16383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9">
    <pageSetUpPr fitToPage="1"/>
  </sheetPr>
  <dimension ref="A1:F244"/>
  <sheetViews>
    <sheetView zoomScale="85" zoomScaleNormal="85" workbookViewId="0"/>
  </sheetViews>
  <sheetFormatPr defaultColWidth="10.23046875" defaultRowHeight="12.45" x14ac:dyDescent="0.3"/>
  <cols>
    <col min="1" max="1" width="4.15234375" style="88" customWidth="1"/>
    <col min="2" max="2" width="55.69140625" style="88" customWidth="1"/>
    <col min="3" max="3" width="5.84375" style="88" customWidth="1"/>
    <col min="4" max="4" width="65.69140625" style="88" customWidth="1"/>
    <col min="5" max="16384" width="10.23046875" style="88"/>
  </cols>
  <sheetData>
    <row r="1" spans="1:4" x14ac:dyDescent="0.3">
      <c r="A1" s="14" t="s">
        <v>160</v>
      </c>
    </row>
    <row r="3" spans="1:4" x14ac:dyDescent="0.3">
      <c r="A3" s="125"/>
      <c r="B3" s="125" t="s">
        <v>348</v>
      </c>
      <c r="C3" s="125"/>
      <c r="D3" s="125" t="s">
        <v>349</v>
      </c>
    </row>
    <row r="4" spans="1:4" x14ac:dyDescent="0.3">
      <c r="A4" s="125"/>
      <c r="B4" s="125"/>
      <c r="C4" s="125"/>
      <c r="D4" s="125"/>
    </row>
    <row r="5" spans="1:4" x14ac:dyDescent="0.3">
      <c r="A5" s="125">
        <v>1</v>
      </c>
      <c r="B5" s="125" t="s">
        <v>161</v>
      </c>
      <c r="C5" s="125">
        <v>1</v>
      </c>
      <c r="D5" s="125" t="s">
        <v>162</v>
      </c>
    </row>
    <row r="6" spans="1:4" x14ac:dyDescent="0.3">
      <c r="A6" s="125"/>
      <c r="B6" s="125"/>
      <c r="C6" s="125"/>
      <c r="D6" s="125"/>
    </row>
    <row r="7" spans="1:4" x14ac:dyDescent="0.3">
      <c r="A7" s="125">
        <v>2</v>
      </c>
      <c r="B7" s="125" t="s">
        <v>88</v>
      </c>
      <c r="C7" s="125">
        <v>2</v>
      </c>
      <c r="D7" s="125" t="s">
        <v>163</v>
      </c>
    </row>
    <row r="8" spans="1:4" x14ac:dyDescent="0.3">
      <c r="A8" s="125"/>
      <c r="B8" s="125"/>
      <c r="C8" s="125"/>
      <c r="D8" s="125"/>
    </row>
    <row r="9" spans="1:4" x14ac:dyDescent="0.3">
      <c r="A9" s="125">
        <v>3</v>
      </c>
      <c r="B9" s="125" t="s">
        <v>164</v>
      </c>
      <c r="C9" s="125">
        <v>3</v>
      </c>
      <c r="D9" s="125" t="s">
        <v>165</v>
      </c>
    </row>
    <row r="10" spans="1:4" x14ac:dyDescent="0.3">
      <c r="A10" s="125"/>
      <c r="B10" s="125"/>
      <c r="C10" s="125">
        <v>4</v>
      </c>
      <c r="D10" s="125" t="s">
        <v>166</v>
      </c>
    </row>
    <row r="11" spans="1:4" x14ac:dyDescent="0.3">
      <c r="A11" s="125"/>
      <c r="B11" s="125"/>
      <c r="C11" s="125"/>
      <c r="D11" s="125"/>
    </row>
    <row r="12" spans="1:4" x14ac:dyDescent="0.3">
      <c r="A12" s="125">
        <v>4</v>
      </c>
      <c r="B12" s="125" t="s">
        <v>63</v>
      </c>
      <c r="C12" s="125">
        <v>16</v>
      </c>
      <c r="D12" s="125" t="s">
        <v>167</v>
      </c>
    </row>
    <row r="13" spans="1:4" x14ac:dyDescent="0.3">
      <c r="A13" s="125"/>
      <c r="B13" s="125"/>
      <c r="C13" s="125">
        <v>17</v>
      </c>
      <c r="D13" s="125" t="s">
        <v>89</v>
      </c>
    </row>
    <row r="14" spans="1:4" x14ac:dyDescent="0.3">
      <c r="A14" s="125"/>
      <c r="B14" s="125"/>
      <c r="C14" s="125">
        <v>18</v>
      </c>
      <c r="D14" s="125" t="s">
        <v>168</v>
      </c>
    </row>
    <row r="15" spans="1:4" x14ac:dyDescent="0.3">
      <c r="A15" s="125"/>
      <c r="B15" s="125"/>
      <c r="C15" s="125"/>
      <c r="D15" s="125"/>
    </row>
    <row r="16" spans="1:4" x14ac:dyDescent="0.3">
      <c r="A16" s="125">
        <v>5</v>
      </c>
      <c r="B16" s="125" t="s">
        <v>90</v>
      </c>
      <c r="C16" s="125">
        <v>5</v>
      </c>
      <c r="D16" s="125" t="s">
        <v>169</v>
      </c>
    </row>
    <row r="17" spans="1:4" x14ac:dyDescent="0.3">
      <c r="A17" s="125"/>
      <c r="B17" s="125"/>
      <c r="C17" s="125">
        <v>6</v>
      </c>
      <c r="D17" s="125" t="s">
        <v>170</v>
      </c>
    </row>
    <row r="18" spans="1:4" x14ac:dyDescent="0.3">
      <c r="A18" s="125"/>
      <c r="B18" s="125"/>
      <c r="C18" s="125">
        <v>7</v>
      </c>
      <c r="D18" s="125" t="s">
        <v>171</v>
      </c>
    </row>
    <row r="19" spans="1:4" x14ac:dyDescent="0.3">
      <c r="A19" s="125"/>
      <c r="B19" s="125"/>
      <c r="C19" s="125">
        <v>8</v>
      </c>
      <c r="D19" s="125" t="s">
        <v>172</v>
      </c>
    </row>
    <row r="20" spans="1:4" x14ac:dyDescent="0.3">
      <c r="A20" s="125"/>
      <c r="B20" s="125"/>
      <c r="C20" s="125">
        <v>9</v>
      </c>
      <c r="D20" s="125" t="s">
        <v>173</v>
      </c>
    </row>
    <row r="21" spans="1:4" x14ac:dyDescent="0.3">
      <c r="A21" s="125"/>
      <c r="B21" s="125"/>
      <c r="C21" s="125">
        <v>10</v>
      </c>
      <c r="D21" s="125" t="s">
        <v>174</v>
      </c>
    </row>
    <row r="22" spans="1:4" x14ac:dyDescent="0.3">
      <c r="A22" s="125"/>
      <c r="B22" s="125"/>
      <c r="C22" s="125">
        <v>11</v>
      </c>
      <c r="D22" s="125" t="s">
        <v>64</v>
      </c>
    </row>
    <row r="23" spans="1:4" x14ac:dyDescent="0.3">
      <c r="A23" s="125"/>
      <c r="B23" s="125"/>
      <c r="C23" s="125">
        <v>12</v>
      </c>
      <c r="D23" s="125" t="s">
        <v>175</v>
      </c>
    </row>
    <row r="24" spans="1:4" x14ac:dyDescent="0.3">
      <c r="A24" s="125"/>
      <c r="B24" s="125"/>
      <c r="C24" s="125">
        <v>13</v>
      </c>
      <c r="D24" s="125" t="s">
        <v>176</v>
      </c>
    </row>
    <row r="25" spans="1:4" x14ac:dyDescent="0.3">
      <c r="A25" s="125"/>
      <c r="B25" s="125"/>
      <c r="C25" s="125">
        <v>14</v>
      </c>
      <c r="D25" s="125" t="s">
        <v>122</v>
      </c>
    </row>
    <row r="26" spans="1:4" x14ac:dyDescent="0.3">
      <c r="A26" s="125"/>
      <c r="B26" s="125"/>
      <c r="C26" s="125">
        <v>15</v>
      </c>
      <c r="D26" s="125" t="s">
        <v>123</v>
      </c>
    </row>
    <row r="27" spans="1:4" x14ac:dyDescent="0.3">
      <c r="A27" s="125"/>
      <c r="B27" s="125"/>
      <c r="C27" s="125">
        <v>19</v>
      </c>
      <c r="D27" s="125" t="s">
        <v>177</v>
      </c>
    </row>
    <row r="28" spans="1:4" x14ac:dyDescent="0.3">
      <c r="A28" s="125"/>
      <c r="B28" s="125"/>
      <c r="C28" s="125">
        <v>20</v>
      </c>
      <c r="D28" s="125" t="s">
        <v>178</v>
      </c>
    </row>
    <row r="29" spans="1:4" x14ac:dyDescent="0.3">
      <c r="A29" s="125"/>
      <c r="B29" s="125"/>
      <c r="C29" s="125">
        <v>21</v>
      </c>
      <c r="D29" s="125" t="s">
        <v>179</v>
      </c>
    </row>
    <row r="30" spans="1:4" x14ac:dyDescent="0.3">
      <c r="A30" s="125"/>
      <c r="B30" s="125"/>
      <c r="C30" s="125">
        <v>22</v>
      </c>
      <c r="D30" s="125" t="s">
        <v>180</v>
      </c>
    </row>
    <row r="31" spans="1:4" x14ac:dyDescent="0.3">
      <c r="A31" s="125"/>
      <c r="B31" s="125"/>
      <c r="C31" s="125">
        <v>23</v>
      </c>
      <c r="D31" s="125" t="s">
        <v>181</v>
      </c>
    </row>
    <row r="32" spans="1:4" x14ac:dyDescent="0.3">
      <c r="A32" s="125"/>
      <c r="B32" s="125"/>
      <c r="C32" s="125"/>
      <c r="D32" s="125"/>
    </row>
    <row r="33" spans="1:4" x14ac:dyDescent="0.3">
      <c r="A33" s="125">
        <v>6</v>
      </c>
      <c r="B33" s="125" t="s">
        <v>182</v>
      </c>
      <c r="C33" s="125">
        <v>24</v>
      </c>
      <c r="D33" s="125" t="s">
        <v>183</v>
      </c>
    </row>
    <row r="34" spans="1:4" x14ac:dyDescent="0.3">
      <c r="A34" s="125"/>
      <c r="B34" s="125"/>
      <c r="C34" s="125"/>
      <c r="D34" s="125"/>
    </row>
    <row r="35" spans="1:4" x14ac:dyDescent="0.3">
      <c r="A35" s="125">
        <v>7</v>
      </c>
      <c r="B35" s="125" t="s">
        <v>184</v>
      </c>
      <c r="C35" s="125">
        <v>25</v>
      </c>
      <c r="D35" s="125" t="s">
        <v>185</v>
      </c>
    </row>
    <row r="36" spans="1:4" x14ac:dyDescent="0.3">
      <c r="A36" s="125"/>
      <c r="B36" s="125"/>
      <c r="C36" s="125">
        <v>26</v>
      </c>
      <c r="D36" s="125" t="s">
        <v>186</v>
      </c>
    </row>
    <row r="37" spans="1:4" x14ac:dyDescent="0.3">
      <c r="A37" s="125"/>
      <c r="B37" s="125"/>
      <c r="C37" s="125">
        <v>27</v>
      </c>
      <c r="D37" s="125" t="s">
        <v>187</v>
      </c>
    </row>
    <row r="38" spans="1:4" x14ac:dyDescent="0.3">
      <c r="A38" s="125"/>
      <c r="B38" s="125"/>
      <c r="C38" s="125"/>
      <c r="D38" s="125"/>
    </row>
    <row r="39" spans="1:4" x14ac:dyDescent="0.3">
      <c r="A39" s="125">
        <v>8</v>
      </c>
      <c r="B39" s="125" t="s">
        <v>65</v>
      </c>
      <c r="C39" s="125">
        <v>28</v>
      </c>
      <c r="D39" s="125" t="s">
        <v>188</v>
      </c>
    </row>
    <row r="40" spans="1:4" x14ac:dyDescent="0.3">
      <c r="A40" s="125"/>
      <c r="B40" s="125"/>
      <c r="C40" s="125">
        <v>29</v>
      </c>
      <c r="D40" s="125" t="s">
        <v>189</v>
      </c>
    </row>
    <row r="41" spans="1:4" x14ac:dyDescent="0.3">
      <c r="A41" s="125"/>
      <c r="B41" s="125"/>
      <c r="C41" s="125">
        <v>30</v>
      </c>
      <c r="D41" s="125" t="s">
        <v>190</v>
      </c>
    </row>
    <row r="42" spans="1:4" x14ac:dyDescent="0.3">
      <c r="A42" s="125"/>
      <c r="B42" s="125"/>
      <c r="C42" s="125"/>
      <c r="D42" s="125"/>
    </row>
    <row r="43" spans="1:4" x14ac:dyDescent="0.3">
      <c r="A43" s="125">
        <v>9</v>
      </c>
      <c r="B43" s="125" t="s">
        <v>91</v>
      </c>
      <c r="C43" s="125">
        <v>31</v>
      </c>
      <c r="D43" s="125" t="s">
        <v>191</v>
      </c>
    </row>
    <row r="44" spans="1:4" x14ac:dyDescent="0.3">
      <c r="A44" s="125"/>
      <c r="B44" s="125"/>
      <c r="C44" s="125">
        <v>32</v>
      </c>
      <c r="D44" s="125" t="s">
        <v>192</v>
      </c>
    </row>
    <row r="45" spans="1:4" x14ac:dyDescent="0.3">
      <c r="A45" s="125"/>
      <c r="B45" s="125"/>
      <c r="C45" s="125">
        <v>33</v>
      </c>
      <c r="D45" s="125" t="s">
        <v>193</v>
      </c>
    </row>
    <row r="46" spans="1:4" x14ac:dyDescent="0.3">
      <c r="A46" s="125"/>
      <c r="B46" s="125"/>
      <c r="C46" s="125"/>
      <c r="D46" s="125"/>
    </row>
    <row r="47" spans="1:4" x14ac:dyDescent="0.3">
      <c r="A47" s="125">
        <v>10</v>
      </c>
      <c r="B47" s="125" t="s">
        <v>194</v>
      </c>
      <c r="C47" s="125">
        <v>34</v>
      </c>
      <c r="D47" s="125" t="s">
        <v>195</v>
      </c>
    </row>
    <row r="48" spans="1:4" x14ac:dyDescent="0.3">
      <c r="A48" s="125"/>
      <c r="B48" s="125"/>
      <c r="C48" s="125">
        <v>35</v>
      </c>
      <c r="D48" s="125" t="s">
        <v>196</v>
      </c>
    </row>
    <row r="49" spans="1:4" x14ac:dyDescent="0.3">
      <c r="A49" s="125"/>
      <c r="B49" s="125"/>
      <c r="C49" s="125">
        <v>36</v>
      </c>
      <c r="D49" s="125" t="s">
        <v>197</v>
      </c>
    </row>
    <row r="50" spans="1:4" x14ac:dyDescent="0.3">
      <c r="A50" s="125"/>
      <c r="B50" s="125"/>
      <c r="C50" s="125">
        <v>37</v>
      </c>
      <c r="D50" s="125" t="s">
        <v>198</v>
      </c>
    </row>
    <row r="51" spans="1:4" x14ac:dyDescent="0.3">
      <c r="A51" s="125"/>
      <c r="B51" s="125"/>
      <c r="C51" s="125">
        <v>38</v>
      </c>
      <c r="D51" s="125" t="s">
        <v>199</v>
      </c>
    </row>
    <row r="52" spans="1:4" x14ac:dyDescent="0.3">
      <c r="A52" s="125"/>
      <c r="B52" s="125"/>
      <c r="C52" s="125"/>
      <c r="D52" s="125"/>
    </row>
    <row r="53" spans="1:4" x14ac:dyDescent="0.3">
      <c r="A53" s="125">
        <v>11</v>
      </c>
      <c r="B53" s="125" t="s">
        <v>200</v>
      </c>
      <c r="C53" s="125">
        <v>39</v>
      </c>
      <c r="D53" s="125" t="s">
        <v>201</v>
      </c>
    </row>
    <row r="54" spans="1:4" x14ac:dyDescent="0.3">
      <c r="A54" s="125"/>
      <c r="B54" s="125"/>
      <c r="C54" s="125">
        <v>40</v>
      </c>
      <c r="D54" s="125" t="s">
        <v>202</v>
      </c>
    </row>
    <row r="55" spans="1:4" x14ac:dyDescent="0.3">
      <c r="A55" s="125"/>
      <c r="B55" s="125"/>
      <c r="C55" s="125"/>
      <c r="D55" s="125"/>
    </row>
    <row r="56" spans="1:4" x14ac:dyDescent="0.3">
      <c r="A56" s="125">
        <v>12</v>
      </c>
      <c r="B56" s="125" t="s">
        <v>94</v>
      </c>
      <c r="C56" s="125">
        <v>41</v>
      </c>
      <c r="D56" s="125" t="s">
        <v>124</v>
      </c>
    </row>
    <row r="57" spans="1:4" x14ac:dyDescent="0.3">
      <c r="A57" s="125"/>
      <c r="B57" s="125"/>
      <c r="C57" s="125">
        <v>42</v>
      </c>
      <c r="D57" s="125" t="s">
        <v>203</v>
      </c>
    </row>
    <row r="58" spans="1:4" x14ac:dyDescent="0.3">
      <c r="A58" s="125"/>
      <c r="B58" s="125"/>
      <c r="C58" s="125">
        <v>43</v>
      </c>
      <c r="D58" s="125" t="s">
        <v>204</v>
      </c>
    </row>
    <row r="59" spans="1:4" x14ac:dyDescent="0.3">
      <c r="A59" s="125"/>
      <c r="B59" s="125"/>
      <c r="C59" s="125"/>
      <c r="D59" s="125"/>
    </row>
    <row r="60" spans="1:4" x14ac:dyDescent="0.3">
      <c r="A60" s="125">
        <v>13</v>
      </c>
      <c r="B60" s="125" t="s">
        <v>205</v>
      </c>
      <c r="C60" s="125">
        <v>44</v>
      </c>
      <c r="D60" s="125" t="s">
        <v>92</v>
      </c>
    </row>
    <row r="61" spans="1:4" x14ac:dyDescent="0.3">
      <c r="A61" s="125"/>
      <c r="B61" s="125"/>
      <c r="C61" s="125">
        <v>45</v>
      </c>
      <c r="D61" s="125" t="s">
        <v>206</v>
      </c>
    </row>
    <row r="62" spans="1:4" x14ac:dyDescent="0.3">
      <c r="A62" s="125"/>
      <c r="B62" s="125"/>
      <c r="C62" s="125">
        <v>46</v>
      </c>
      <c r="D62" s="125" t="s">
        <v>207</v>
      </c>
    </row>
    <row r="63" spans="1:4" x14ac:dyDescent="0.3">
      <c r="A63" s="125"/>
      <c r="B63" s="125"/>
      <c r="C63" s="125"/>
      <c r="D63" s="125"/>
    </row>
    <row r="64" spans="1:4" x14ac:dyDescent="0.3">
      <c r="A64" s="125">
        <v>14</v>
      </c>
      <c r="B64" s="125" t="s">
        <v>208</v>
      </c>
      <c r="C64" s="125">
        <v>47</v>
      </c>
      <c r="D64" s="125" t="s">
        <v>125</v>
      </c>
    </row>
    <row r="65" spans="1:4" x14ac:dyDescent="0.3">
      <c r="A65" s="125"/>
      <c r="B65" s="125"/>
      <c r="C65" s="125">
        <v>48</v>
      </c>
      <c r="D65" s="125" t="s">
        <v>209</v>
      </c>
    </row>
    <row r="66" spans="1:4" x14ac:dyDescent="0.3">
      <c r="A66" s="125"/>
      <c r="B66" s="125"/>
      <c r="C66" s="125">
        <v>49</v>
      </c>
      <c r="D66" s="125" t="s">
        <v>210</v>
      </c>
    </row>
    <row r="67" spans="1:4" x14ac:dyDescent="0.3">
      <c r="A67" s="125"/>
      <c r="B67" s="125"/>
      <c r="C67" s="125"/>
      <c r="D67" s="125"/>
    </row>
    <row r="68" spans="1:4" x14ac:dyDescent="0.3">
      <c r="A68" s="125">
        <v>15</v>
      </c>
      <c r="B68" s="125" t="s">
        <v>211</v>
      </c>
      <c r="C68" s="125">
        <v>50</v>
      </c>
      <c r="D68" s="125" t="s">
        <v>211</v>
      </c>
    </row>
    <row r="69" spans="1:4" x14ac:dyDescent="0.3">
      <c r="A69" s="125"/>
      <c r="B69" s="125"/>
      <c r="C69" s="125"/>
      <c r="D69" s="125"/>
    </row>
    <row r="70" spans="1:4" x14ac:dyDescent="0.3">
      <c r="A70" s="125">
        <v>16</v>
      </c>
      <c r="B70" s="125" t="s">
        <v>212</v>
      </c>
      <c r="C70" s="125">
        <v>51</v>
      </c>
      <c r="D70" s="125" t="s">
        <v>213</v>
      </c>
    </row>
    <row r="71" spans="1:4" x14ac:dyDescent="0.3">
      <c r="A71" s="125"/>
      <c r="B71" s="125"/>
      <c r="C71" s="125">
        <v>52</v>
      </c>
      <c r="D71" s="125" t="s">
        <v>214</v>
      </c>
    </row>
    <row r="72" spans="1:4" x14ac:dyDescent="0.3">
      <c r="A72" s="125"/>
      <c r="B72" s="125"/>
      <c r="C72" s="125">
        <v>53</v>
      </c>
      <c r="D72" s="125" t="s">
        <v>215</v>
      </c>
    </row>
    <row r="73" spans="1:4" x14ac:dyDescent="0.3">
      <c r="A73" s="125"/>
      <c r="B73" s="125"/>
      <c r="C73" s="125">
        <v>54</v>
      </c>
      <c r="D73" s="125" t="s">
        <v>216</v>
      </c>
    </row>
    <row r="74" spans="1:4" x14ac:dyDescent="0.3">
      <c r="A74" s="125"/>
      <c r="B74" s="125"/>
      <c r="C74" s="125">
        <v>55</v>
      </c>
      <c r="D74" s="125" t="s">
        <v>217</v>
      </c>
    </row>
    <row r="75" spans="1:4" x14ac:dyDescent="0.3">
      <c r="A75" s="125"/>
      <c r="B75" s="125"/>
      <c r="C75" s="125">
        <v>56</v>
      </c>
      <c r="D75" s="125" t="s">
        <v>218</v>
      </c>
    </row>
    <row r="76" spans="1:4" x14ac:dyDescent="0.3">
      <c r="A76" s="125"/>
      <c r="B76" s="125"/>
      <c r="C76" s="125">
        <v>57</v>
      </c>
      <c r="D76" s="125" t="s">
        <v>219</v>
      </c>
    </row>
    <row r="77" spans="1:4" x14ac:dyDescent="0.3">
      <c r="A77" s="125"/>
      <c r="B77" s="125"/>
      <c r="C77" s="125"/>
      <c r="D77" s="125"/>
    </row>
    <row r="78" spans="1:4" x14ac:dyDescent="0.3">
      <c r="A78" s="125">
        <v>17</v>
      </c>
      <c r="B78" s="125" t="s">
        <v>220</v>
      </c>
      <c r="C78" s="125">
        <v>58</v>
      </c>
      <c r="D78" s="125" t="s">
        <v>221</v>
      </c>
    </row>
    <row r="79" spans="1:4" x14ac:dyDescent="0.3">
      <c r="A79" s="125"/>
      <c r="B79" s="125"/>
      <c r="C79" s="125">
        <v>59</v>
      </c>
      <c r="D79" s="125" t="s">
        <v>126</v>
      </c>
    </row>
    <row r="80" spans="1:4" x14ac:dyDescent="0.3">
      <c r="A80" s="125"/>
      <c r="B80" s="125"/>
      <c r="C80" s="125">
        <v>60</v>
      </c>
      <c r="D80" s="125" t="s">
        <v>222</v>
      </c>
    </row>
    <row r="81" spans="1:4" x14ac:dyDescent="0.3">
      <c r="A81" s="125"/>
      <c r="B81" s="125"/>
      <c r="C81" s="125">
        <v>61</v>
      </c>
      <c r="D81" s="125" t="s">
        <v>223</v>
      </c>
    </row>
    <row r="82" spans="1:4" x14ac:dyDescent="0.3">
      <c r="A82" s="125"/>
      <c r="B82" s="125"/>
      <c r="C82" s="125">
        <v>62</v>
      </c>
      <c r="D82" s="125" t="s">
        <v>224</v>
      </c>
    </row>
    <row r="83" spans="1:4" x14ac:dyDescent="0.3">
      <c r="A83" s="125"/>
      <c r="B83" s="125"/>
      <c r="C83" s="125">
        <v>63</v>
      </c>
      <c r="D83" s="125" t="s">
        <v>225</v>
      </c>
    </row>
    <row r="84" spans="1:4" x14ac:dyDescent="0.3">
      <c r="A84" s="125"/>
      <c r="B84" s="125"/>
      <c r="C84" s="125"/>
      <c r="D84" s="125"/>
    </row>
    <row r="85" spans="1:4" x14ac:dyDescent="0.3">
      <c r="A85" s="125">
        <v>18</v>
      </c>
      <c r="B85" s="125" t="s">
        <v>226</v>
      </c>
      <c r="C85" s="125">
        <v>64</v>
      </c>
      <c r="D85" s="125" t="s">
        <v>227</v>
      </c>
    </row>
    <row r="86" spans="1:4" x14ac:dyDescent="0.3">
      <c r="A86" s="125"/>
      <c r="B86" s="125"/>
      <c r="C86" s="125"/>
      <c r="D86" s="125"/>
    </row>
    <row r="87" spans="1:4" x14ac:dyDescent="0.3">
      <c r="A87" s="125">
        <v>19</v>
      </c>
      <c r="B87" s="125" t="s">
        <v>66</v>
      </c>
      <c r="C87" s="125">
        <v>65</v>
      </c>
      <c r="D87" s="125" t="s">
        <v>66</v>
      </c>
    </row>
    <row r="88" spans="1:4" x14ac:dyDescent="0.3">
      <c r="A88" s="125"/>
      <c r="B88" s="125"/>
      <c r="C88" s="125"/>
      <c r="D88" s="125"/>
    </row>
    <row r="89" spans="1:4" x14ac:dyDescent="0.3">
      <c r="A89" s="125">
        <v>20</v>
      </c>
      <c r="B89" s="125" t="s">
        <v>67</v>
      </c>
      <c r="C89" s="125">
        <v>66</v>
      </c>
      <c r="D89" s="125" t="s">
        <v>228</v>
      </c>
    </row>
    <row r="90" spans="1:4" x14ac:dyDescent="0.3">
      <c r="A90" s="125"/>
      <c r="B90" s="125"/>
      <c r="C90" s="125">
        <v>67</v>
      </c>
      <c r="D90" s="125" t="s">
        <v>229</v>
      </c>
    </row>
    <row r="91" spans="1:4" x14ac:dyDescent="0.3">
      <c r="A91" s="125"/>
      <c r="B91" s="125"/>
      <c r="C91" s="125">
        <v>68</v>
      </c>
      <c r="D91" s="125" t="s">
        <v>230</v>
      </c>
    </row>
    <row r="92" spans="1:4" x14ac:dyDescent="0.3">
      <c r="A92" s="125"/>
      <c r="B92" s="125"/>
      <c r="C92" s="125"/>
      <c r="D92" s="125"/>
    </row>
    <row r="93" spans="1:4" x14ac:dyDescent="0.3">
      <c r="A93" s="125">
        <v>21</v>
      </c>
      <c r="B93" s="125" t="s">
        <v>93</v>
      </c>
      <c r="C93" s="125">
        <v>69</v>
      </c>
      <c r="D93" s="125" t="s">
        <v>231</v>
      </c>
    </row>
    <row r="94" spans="1:4" x14ac:dyDescent="0.3">
      <c r="A94" s="125"/>
      <c r="B94" s="125"/>
      <c r="C94" s="125">
        <v>70</v>
      </c>
      <c r="D94" s="125" t="s">
        <v>232</v>
      </c>
    </row>
    <row r="95" spans="1:4" x14ac:dyDescent="0.3">
      <c r="A95" s="125"/>
      <c r="B95" s="125"/>
      <c r="C95" s="125">
        <v>71</v>
      </c>
      <c r="D95" s="125" t="s">
        <v>233</v>
      </c>
    </row>
    <row r="96" spans="1:4" x14ac:dyDescent="0.3">
      <c r="A96" s="125"/>
      <c r="B96" s="125"/>
      <c r="C96" s="125">
        <v>72</v>
      </c>
      <c r="D96" s="125" t="s">
        <v>234</v>
      </c>
    </row>
    <row r="97" spans="1:4" x14ac:dyDescent="0.3">
      <c r="A97" s="125"/>
      <c r="B97" s="125"/>
      <c r="C97" s="125"/>
      <c r="D97" s="125"/>
    </row>
    <row r="98" spans="1:4" x14ac:dyDescent="0.3">
      <c r="A98" s="125">
        <v>22</v>
      </c>
      <c r="B98" s="125" t="s">
        <v>235</v>
      </c>
      <c r="C98" s="125">
        <v>73</v>
      </c>
      <c r="D98" s="125" t="s">
        <v>127</v>
      </c>
    </row>
    <row r="99" spans="1:4" x14ac:dyDescent="0.3">
      <c r="A99" s="125"/>
      <c r="B99" s="125"/>
      <c r="C99" s="125">
        <v>74</v>
      </c>
      <c r="D99" s="125" t="s">
        <v>236</v>
      </c>
    </row>
    <row r="100" spans="1:4" x14ac:dyDescent="0.3">
      <c r="A100" s="125"/>
      <c r="B100" s="125"/>
      <c r="C100" s="125">
        <v>75</v>
      </c>
      <c r="D100" s="125" t="s">
        <v>237</v>
      </c>
    </row>
    <row r="101" spans="1:4" x14ac:dyDescent="0.3">
      <c r="A101"/>
      <c r="B101"/>
      <c r="D101"/>
    </row>
    <row r="102" spans="1:4" x14ac:dyDescent="0.3">
      <c r="A102" s="16" t="s">
        <v>238</v>
      </c>
      <c r="D102"/>
    </row>
    <row r="103" spans="1:4" x14ac:dyDescent="0.3">
      <c r="D103"/>
    </row>
    <row r="104" spans="1:4" x14ac:dyDescent="0.3">
      <c r="A104" s="10"/>
      <c r="B104" s="125" t="s">
        <v>350</v>
      </c>
      <c r="C104" s="10"/>
      <c r="D104" s="125" t="s">
        <v>349</v>
      </c>
    </row>
    <row r="105" spans="1:4" x14ac:dyDescent="0.3">
      <c r="A105" s="10"/>
      <c r="B105" s="10"/>
      <c r="C105" s="10"/>
      <c r="D105" s="10"/>
    </row>
    <row r="106" spans="1:4" x14ac:dyDescent="0.3">
      <c r="A106" s="10">
        <v>1</v>
      </c>
      <c r="B106" s="10" t="s">
        <v>239</v>
      </c>
      <c r="C106" s="10">
        <v>1</v>
      </c>
      <c r="D106" s="10" t="s">
        <v>162</v>
      </c>
    </row>
    <row r="107" spans="1:4" x14ac:dyDescent="0.3">
      <c r="A107" s="10"/>
      <c r="B107" s="10"/>
      <c r="C107" s="10">
        <v>2</v>
      </c>
      <c r="D107" s="10" t="s">
        <v>163</v>
      </c>
    </row>
    <row r="108" spans="1:4" x14ac:dyDescent="0.3">
      <c r="A108" s="10"/>
      <c r="B108" s="10"/>
      <c r="C108" s="10">
        <v>24</v>
      </c>
      <c r="D108" s="10" t="s">
        <v>183</v>
      </c>
    </row>
    <row r="109" spans="1:4" x14ac:dyDescent="0.3">
      <c r="A109" s="10"/>
      <c r="B109" s="10"/>
      <c r="C109" s="10">
        <v>25</v>
      </c>
      <c r="D109" s="10" t="s">
        <v>185</v>
      </c>
    </row>
    <row r="110" spans="1:4" x14ac:dyDescent="0.3">
      <c r="A110" s="10"/>
      <c r="B110" s="10"/>
      <c r="C110" s="10">
        <v>26</v>
      </c>
      <c r="D110" s="10" t="s">
        <v>186</v>
      </c>
    </row>
    <row r="111" spans="1:4" x14ac:dyDescent="0.3">
      <c r="A111" s="10"/>
      <c r="B111" s="10"/>
      <c r="C111" s="10">
        <v>27</v>
      </c>
      <c r="D111" s="10" t="s">
        <v>187</v>
      </c>
    </row>
    <row r="112" spans="1:4" x14ac:dyDescent="0.3">
      <c r="A112" s="10"/>
      <c r="B112" s="10"/>
      <c r="C112" s="10"/>
      <c r="D112" s="10"/>
    </row>
    <row r="113" spans="1:4" x14ac:dyDescent="0.3">
      <c r="A113" s="10">
        <v>2</v>
      </c>
      <c r="B113" s="10" t="s">
        <v>95</v>
      </c>
      <c r="C113" s="10">
        <v>3</v>
      </c>
      <c r="D113" s="10" t="s">
        <v>165</v>
      </c>
    </row>
    <row r="114" spans="1:4" x14ac:dyDescent="0.3">
      <c r="A114" s="10"/>
      <c r="B114" s="10"/>
      <c r="C114" s="10">
        <v>4</v>
      </c>
      <c r="D114" s="10" t="s">
        <v>166</v>
      </c>
    </row>
    <row r="115" spans="1:4" x14ac:dyDescent="0.3">
      <c r="A115" s="10"/>
      <c r="B115" s="10"/>
      <c r="C115" s="10">
        <v>5</v>
      </c>
      <c r="D115" s="10" t="s">
        <v>169</v>
      </c>
    </row>
    <row r="116" spans="1:4" x14ac:dyDescent="0.3">
      <c r="A116" s="10"/>
      <c r="B116" s="10"/>
      <c r="C116" s="10">
        <v>6</v>
      </c>
      <c r="D116" s="10" t="s">
        <v>170</v>
      </c>
    </row>
    <row r="117" spans="1:4" x14ac:dyDescent="0.3">
      <c r="A117" s="10"/>
      <c r="B117" s="10"/>
      <c r="C117" s="10">
        <v>7</v>
      </c>
      <c r="D117" s="10" t="s">
        <v>171</v>
      </c>
    </row>
    <row r="118" spans="1:4" x14ac:dyDescent="0.3">
      <c r="A118" s="10"/>
      <c r="B118" s="10"/>
      <c r="C118" s="10">
        <v>8</v>
      </c>
      <c r="D118" s="10" t="s">
        <v>172</v>
      </c>
    </row>
    <row r="119" spans="1:4" x14ac:dyDescent="0.3">
      <c r="A119" s="10"/>
      <c r="B119" s="10"/>
      <c r="C119" s="10">
        <v>9</v>
      </c>
      <c r="D119" s="10" t="s">
        <v>173</v>
      </c>
    </row>
    <row r="120" spans="1:4" x14ac:dyDescent="0.3">
      <c r="A120" s="10"/>
      <c r="B120" s="10"/>
      <c r="C120" s="10">
        <v>10</v>
      </c>
      <c r="D120" s="10" t="s">
        <v>174</v>
      </c>
    </row>
    <row r="121" spans="1:4" x14ac:dyDescent="0.3">
      <c r="A121" s="10"/>
      <c r="B121" s="10"/>
      <c r="C121" s="10">
        <v>11</v>
      </c>
      <c r="D121" s="10" t="s">
        <v>64</v>
      </c>
    </row>
    <row r="122" spans="1:4" x14ac:dyDescent="0.3">
      <c r="A122" s="10"/>
      <c r="B122" s="10"/>
      <c r="C122" s="10">
        <v>12</v>
      </c>
      <c r="D122" s="10" t="s">
        <v>175</v>
      </c>
    </row>
    <row r="123" spans="1:4" x14ac:dyDescent="0.3">
      <c r="A123" s="10"/>
      <c r="B123" s="10"/>
      <c r="C123" s="10">
        <v>13</v>
      </c>
      <c r="D123" s="10" t="s">
        <v>176</v>
      </c>
    </row>
    <row r="124" spans="1:4" x14ac:dyDescent="0.3">
      <c r="A124" s="10"/>
      <c r="B124" s="10"/>
      <c r="C124" s="10">
        <v>14</v>
      </c>
      <c r="D124" s="10" t="s">
        <v>122</v>
      </c>
    </row>
    <row r="125" spans="1:4" x14ac:dyDescent="0.3">
      <c r="A125" s="10"/>
      <c r="B125" s="10"/>
      <c r="C125" s="10">
        <v>15</v>
      </c>
      <c r="D125" s="10" t="s">
        <v>123</v>
      </c>
    </row>
    <row r="126" spans="1:4" x14ac:dyDescent="0.3">
      <c r="A126" s="10"/>
      <c r="B126" s="10"/>
      <c r="C126" s="10">
        <v>16</v>
      </c>
      <c r="D126" s="10" t="s">
        <v>167</v>
      </c>
    </row>
    <row r="127" spans="1:4" x14ac:dyDescent="0.3">
      <c r="A127" s="10"/>
      <c r="B127" s="10"/>
      <c r="C127" s="10">
        <v>17</v>
      </c>
      <c r="D127" s="10" t="s">
        <v>89</v>
      </c>
    </row>
    <row r="128" spans="1:4" x14ac:dyDescent="0.3">
      <c r="A128" s="10"/>
      <c r="B128" s="10"/>
      <c r="C128" s="10">
        <v>18</v>
      </c>
      <c r="D128" s="10" t="s">
        <v>168</v>
      </c>
    </row>
    <row r="129" spans="1:4" x14ac:dyDescent="0.3">
      <c r="A129" s="10"/>
      <c r="B129" s="10"/>
      <c r="C129" s="10">
        <v>19</v>
      </c>
      <c r="D129" s="10" t="s">
        <v>177</v>
      </c>
    </row>
    <row r="130" spans="1:4" x14ac:dyDescent="0.3">
      <c r="A130" s="10"/>
      <c r="B130" s="10"/>
      <c r="C130" s="10">
        <v>20</v>
      </c>
      <c r="D130" s="10" t="s">
        <v>178</v>
      </c>
    </row>
    <row r="131" spans="1:4" x14ac:dyDescent="0.3">
      <c r="A131" s="10"/>
      <c r="B131" s="10"/>
      <c r="C131" s="10">
        <v>21</v>
      </c>
      <c r="D131" s="10" t="s">
        <v>179</v>
      </c>
    </row>
    <row r="132" spans="1:4" x14ac:dyDescent="0.3">
      <c r="A132" s="10"/>
      <c r="B132" s="10"/>
      <c r="C132" s="10">
        <v>22</v>
      </c>
      <c r="D132" s="10" t="s">
        <v>180</v>
      </c>
    </row>
    <row r="133" spans="1:4" x14ac:dyDescent="0.3">
      <c r="A133" s="10"/>
      <c r="B133" s="10"/>
      <c r="C133" s="10">
        <v>23</v>
      </c>
      <c r="D133" s="10" t="s">
        <v>181</v>
      </c>
    </row>
    <row r="134" spans="1:4" x14ac:dyDescent="0.3">
      <c r="A134" s="10"/>
      <c r="B134" s="10"/>
      <c r="C134" s="10"/>
      <c r="D134" s="10"/>
    </row>
    <row r="135" spans="1:4" x14ac:dyDescent="0.3">
      <c r="A135" s="10">
        <v>3</v>
      </c>
      <c r="B135" s="10" t="s">
        <v>65</v>
      </c>
      <c r="C135" s="10">
        <v>28</v>
      </c>
      <c r="D135" s="10" t="s">
        <v>188</v>
      </c>
    </row>
    <row r="136" spans="1:4" x14ac:dyDescent="0.3">
      <c r="A136" s="10"/>
      <c r="B136" s="10"/>
      <c r="C136" s="10">
        <v>29</v>
      </c>
      <c r="D136" s="10" t="s">
        <v>189</v>
      </c>
    </row>
    <row r="137" spans="1:4" x14ac:dyDescent="0.3">
      <c r="A137" s="10"/>
      <c r="B137" s="10"/>
      <c r="C137" s="10">
        <v>30</v>
      </c>
      <c r="D137" s="10" t="s">
        <v>190</v>
      </c>
    </row>
    <row r="138" spans="1:4" x14ac:dyDescent="0.3">
      <c r="A138" s="10"/>
      <c r="B138" s="10"/>
      <c r="C138" s="10"/>
      <c r="D138" s="10"/>
    </row>
    <row r="139" spans="1:4" x14ac:dyDescent="0.3">
      <c r="A139" s="10">
        <v>4</v>
      </c>
      <c r="B139" s="10" t="s">
        <v>240</v>
      </c>
      <c r="C139" s="10">
        <v>31</v>
      </c>
      <c r="D139" s="10" t="s">
        <v>191</v>
      </c>
    </row>
    <row r="140" spans="1:4" x14ac:dyDescent="0.3">
      <c r="A140" s="10"/>
      <c r="B140" s="10"/>
      <c r="C140" s="10">
        <v>32</v>
      </c>
      <c r="D140" s="10" t="s">
        <v>192</v>
      </c>
    </row>
    <row r="141" spans="1:4" x14ac:dyDescent="0.3">
      <c r="A141" s="10"/>
      <c r="B141" s="10"/>
      <c r="C141" s="10">
        <v>33</v>
      </c>
      <c r="D141" s="10" t="s">
        <v>193</v>
      </c>
    </row>
    <row r="142" spans="1:4" x14ac:dyDescent="0.3">
      <c r="A142" s="10"/>
      <c r="B142" s="10"/>
      <c r="C142" s="10">
        <v>34</v>
      </c>
      <c r="D142" s="10" t="s">
        <v>195</v>
      </c>
    </row>
    <row r="143" spans="1:4" x14ac:dyDescent="0.3">
      <c r="A143" s="10"/>
      <c r="B143" s="10"/>
      <c r="C143" s="10">
        <v>35</v>
      </c>
      <c r="D143" s="10" t="s">
        <v>196</v>
      </c>
    </row>
    <row r="144" spans="1:4" x14ac:dyDescent="0.3">
      <c r="A144" s="10"/>
      <c r="B144" s="10"/>
      <c r="C144" s="10">
        <v>36</v>
      </c>
      <c r="D144" s="10" t="s">
        <v>197</v>
      </c>
    </row>
    <row r="145" spans="1:4" x14ac:dyDescent="0.3">
      <c r="A145" s="10"/>
      <c r="B145" s="10"/>
      <c r="C145" s="10">
        <v>37</v>
      </c>
      <c r="D145" s="10" t="s">
        <v>198</v>
      </c>
    </row>
    <row r="146" spans="1:4" x14ac:dyDescent="0.3">
      <c r="A146" s="10"/>
      <c r="B146" s="10"/>
      <c r="C146" s="10">
        <v>38</v>
      </c>
      <c r="D146" s="10" t="s">
        <v>199</v>
      </c>
    </row>
    <row r="147" spans="1:4" x14ac:dyDescent="0.3">
      <c r="A147" s="10"/>
      <c r="B147" s="10"/>
      <c r="C147" s="10">
        <v>39</v>
      </c>
      <c r="D147" s="10" t="s">
        <v>201</v>
      </c>
    </row>
    <row r="148" spans="1:4" x14ac:dyDescent="0.3">
      <c r="A148" s="10"/>
      <c r="B148" s="10"/>
      <c r="C148" s="10">
        <v>40</v>
      </c>
      <c r="D148" s="10" t="s">
        <v>202</v>
      </c>
    </row>
    <row r="149" spans="1:4" x14ac:dyDescent="0.3">
      <c r="A149" s="10"/>
      <c r="B149" s="10"/>
      <c r="C149" s="10"/>
      <c r="D149" s="10"/>
    </row>
    <row r="150" spans="1:4" x14ac:dyDescent="0.3">
      <c r="A150" s="10">
        <v>5</v>
      </c>
      <c r="B150" s="10" t="s">
        <v>241</v>
      </c>
      <c r="C150" s="10">
        <v>41</v>
      </c>
      <c r="D150" s="10" t="s">
        <v>124</v>
      </c>
    </row>
    <row r="151" spans="1:4" x14ac:dyDescent="0.3">
      <c r="A151" s="10"/>
      <c r="B151" s="10"/>
      <c r="C151" s="10">
        <v>42</v>
      </c>
      <c r="D151" s="10" t="s">
        <v>203</v>
      </c>
    </row>
    <row r="152" spans="1:4" x14ac:dyDescent="0.3">
      <c r="A152" s="10"/>
      <c r="B152" s="10"/>
      <c r="C152" s="10">
        <v>43</v>
      </c>
      <c r="D152" s="10" t="s">
        <v>204</v>
      </c>
    </row>
    <row r="153" spans="1:4" x14ac:dyDescent="0.3">
      <c r="A153" s="10"/>
      <c r="B153" s="10"/>
      <c r="C153" s="10">
        <v>44</v>
      </c>
      <c r="D153" s="10" t="s">
        <v>92</v>
      </c>
    </row>
    <row r="154" spans="1:4" x14ac:dyDescent="0.3">
      <c r="A154" s="10"/>
      <c r="B154" s="10"/>
      <c r="C154" s="10">
        <v>45</v>
      </c>
      <c r="D154" s="10" t="s">
        <v>206</v>
      </c>
    </row>
    <row r="155" spans="1:4" x14ac:dyDescent="0.3">
      <c r="A155" s="10"/>
      <c r="B155" s="10"/>
      <c r="C155" s="10">
        <v>46</v>
      </c>
      <c r="D155" s="10" t="s">
        <v>207</v>
      </c>
    </row>
    <row r="156" spans="1:4" x14ac:dyDescent="0.3">
      <c r="A156" s="10"/>
      <c r="B156" s="10"/>
      <c r="C156" s="10">
        <v>47</v>
      </c>
      <c r="D156" s="10" t="s">
        <v>125</v>
      </c>
    </row>
    <row r="157" spans="1:4" x14ac:dyDescent="0.3">
      <c r="A157" s="10"/>
      <c r="B157" s="10"/>
      <c r="C157" s="10">
        <v>48</v>
      </c>
      <c r="D157" s="10" t="s">
        <v>209</v>
      </c>
    </row>
    <row r="158" spans="1:4" x14ac:dyDescent="0.3">
      <c r="A158" s="10"/>
      <c r="B158" s="10"/>
      <c r="C158" s="10">
        <v>49</v>
      </c>
      <c r="D158" s="10" t="s">
        <v>210</v>
      </c>
    </row>
    <row r="159" spans="1:4" x14ac:dyDescent="0.3">
      <c r="A159" s="10"/>
      <c r="B159" s="10"/>
      <c r="C159" s="10">
        <v>50</v>
      </c>
      <c r="D159" s="10" t="s">
        <v>211</v>
      </c>
    </row>
    <row r="160" spans="1:4" x14ac:dyDescent="0.3">
      <c r="A160" s="10"/>
      <c r="B160" s="10"/>
      <c r="C160" s="10">
        <v>51</v>
      </c>
      <c r="D160" s="10" t="s">
        <v>213</v>
      </c>
    </row>
    <row r="161" spans="1:4" x14ac:dyDescent="0.3">
      <c r="A161" s="10"/>
      <c r="B161" s="10"/>
      <c r="C161" s="10">
        <v>52</v>
      </c>
      <c r="D161" s="10" t="s">
        <v>214</v>
      </c>
    </row>
    <row r="162" spans="1:4" x14ac:dyDescent="0.3">
      <c r="A162" s="10"/>
      <c r="B162" s="10"/>
      <c r="C162" s="10">
        <v>53</v>
      </c>
      <c r="D162" s="10" t="s">
        <v>215</v>
      </c>
    </row>
    <row r="163" spans="1:4" x14ac:dyDescent="0.3">
      <c r="A163" s="10"/>
      <c r="B163" s="10"/>
      <c r="C163" s="10">
        <v>54</v>
      </c>
      <c r="D163" s="10" t="s">
        <v>216</v>
      </c>
    </row>
    <row r="164" spans="1:4" x14ac:dyDescent="0.3">
      <c r="A164" s="10"/>
      <c r="B164" s="10"/>
      <c r="C164" s="10">
        <v>55</v>
      </c>
      <c r="D164" s="10" t="s">
        <v>217</v>
      </c>
    </row>
    <row r="165" spans="1:4" x14ac:dyDescent="0.3">
      <c r="A165" s="10"/>
      <c r="B165" s="10"/>
      <c r="C165" s="10">
        <v>56</v>
      </c>
      <c r="D165" s="10" t="s">
        <v>218</v>
      </c>
    </row>
    <row r="166" spans="1:4" x14ac:dyDescent="0.3">
      <c r="A166" s="10"/>
      <c r="B166" s="10"/>
      <c r="C166" s="10">
        <v>57</v>
      </c>
      <c r="D166" s="10" t="s">
        <v>219</v>
      </c>
    </row>
    <row r="167" spans="1:4" x14ac:dyDescent="0.3">
      <c r="A167" s="10"/>
      <c r="B167" s="10"/>
      <c r="C167" s="10">
        <v>58</v>
      </c>
      <c r="D167" s="10" t="s">
        <v>221</v>
      </c>
    </row>
    <row r="168" spans="1:4" x14ac:dyDescent="0.3">
      <c r="A168" s="10"/>
      <c r="B168" s="10"/>
      <c r="C168" s="10">
        <v>59</v>
      </c>
      <c r="D168" s="10" t="s">
        <v>126</v>
      </c>
    </row>
    <row r="169" spans="1:4" x14ac:dyDescent="0.3">
      <c r="A169" s="10"/>
      <c r="B169" s="10"/>
      <c r="C169" s="10">
        <v>60</v>
      </c>
      <c r="D169" s="10" t="s">
        <v>222</v>
      </c>
    </row>
    <row r="170" spans="1:4" x14ac:dyDescent="0.3">
      <c r="A170" s="10"/>
      <c r="B170" s="10"/>
      <c r="C170" s="10">
        <v>61</v>
      </c>
      <c r="D170" s="10" t="s">
        <v>223</v>
      </c>
    </row>
    <row r="171" spans="1:4" x14ac:dyDescent="0.3">
      <c r="A171" s="10"/>
      <c r="B171" s="10"/>
      <c r="C171" s="10">
        <v>62</v>
      </c>
      <c r="D171" s="10" t="s">
        <v>224</v>
      </c>
    </row>
    <row r="172" spans="1:4" x14ac:dyDescent="0.3">
      <c r="A172" s="10"/>
      <c r="B172" s="10"/>
      <c r="C172" s="10">
        <v>63</v>
      </c>
      <c r="D172" s="10" t="s">
        <v>225</v>
      </c>
    </row>
    <row r="173" spans="1:4" x14ac:dyDescent="0.3">
      <c r="A173" s="10"/>
      <c r="B173" s="10"/>
      <c r="C173" s="10">
        <v>69</v>
      </c>
      <c r="D173" s="10" t="s">
        <v>231</v>
      </c>
    </row>
    <row r="174" spans="1:4" x14ac:dyDescent="0.3">
      <c r="A174" s="10"/>
      <c r="B174" s="10"/>
      <c r="C174" s="10">
        <v>70</v>
      </c>
      <c r="D174" s="10" t="s">
        <v>232</v>
      </c>
    </row>
    <row r="175" spans="1:4" x14ac:dyDescent="0.3">
      <c r="A175" s="10"/>
      <c r="B175" s="10"/>
      <c r="C175" s="10">
        <v>71</v>
      </c>
      <c r="D175" s="10" t="s">
        <v>233</v>
      </c>
    </row>
    <row r="176" spans="1:4" x14ac:dyDescent="0.3">
      <c r="A176" s="10"/>
      <c r="B176" s="10"/>
      <c r="C176" s="10">
        <v>72</v>
      </c>
      <c r="D176" s="10" t="s">
        <v>234</v>
      </c>
    </row>
    <row r="177" spans="1:6" x14ac:dyDescent="0.3">
      <c r="A177" s="10"/>
      <c r="B177" s="10"/>
      <c r="C177" s="10">
        <v>73</v>
      </c>
      <c r="D177" s="10" t="s">
        <v>127</v>
      </c>
    </row>
    <row r="178" spans="1:6" x14ac:dyDescent="0.3">
      <c r="A178" s="10"/>
      <c r="B178" s="10"/>
      <c r="C178" s="10">
        <v>74</v>
      </c>
      <c r="D178" s="10" t="s">
        <v>236</v>
      </c>
    </row>
    <row r="179" spans="1:6" x14ac:dyDescent="0.3">
      <c r="A179" s="10"/>
      <c r="B179" s="10"/>
      <c r="C179" s="10">
        <v>75</v>
      </c>
      <c r="D179" s="10" t="s">
        <v>237</v>
      </c>
    </row>
    <row r="180" spans="1:6" x14ac:dyDescent="0.3">
      <c r="A180" s="10"/>
      <c r="B180" s="10"/>
      <c r="C180" s="10"/>
      <c r="D180" s="10"/>
    </row>
    <row r="181" spans="1:6" x14ac:dyDescent="0.3">
      <c r="A181" s="10">
        <v>6</v>
      </c>
      <c r="B181" s="10" t="s">
        <v>242</v>
      </c>
      <c r="C181" s="10">
        <v>64</v>
      </c>
      <c r="D181" s="10" t="s">
        <v>227</v>
      </c>
    </row>
    <row r="182" spans="1:6" x14ac:dyDescent="0.3">
      <c r="A182" s="10"/>
      <c r="B182" s="10"/>
      <c r="C182" s="10">
        <v>65</v>
      </c>
      <c r="D182" s="10" t="s">
        <v>66</v>
      </c>
    </row>
    <row r="183" spans="1:6" x14ac:dyDescent="0.3">
      <c r="A183" s="10"/>
      <c r="B183" s="10"/>
      <c r="C183" s="10">
        <v>66</v>
      </c>
      <c r="D183" s="10" t="s">
        <v>228</v>
      </c>
    </row>
    <row r="184" spans="1:6" x14ac:dyDescent="0.3">
      <c r="A184" s="10"/>
      <c r="B184" s="10"/>
      <c r="C184" s="10">
        <v>67</v>
      </c>
      <c r="D184" s="10" t="s">
        <v>229</v>
      </c>
    </row>
    <row r="185" spans="1:6" x14ac:dyDescent="0.3">
      <c r="A185" s="10"/>
      <c r="B185" s="10"/>
      <c r="C185" s="10">
        <v>68</v>
      </c>
      <c r="D185" s="10" t="s">
        <v>230</v>
      </c>
    </row>
    <row r="186" spans="1:6" x14ac:dyDescent="0.3">
      <c r="A186"/>
      <c r="B186"/>
      <c r="D186"/>
    </row>
    <row r="187" spans="1:6" x14ac:dyDescent="0.3">
      <c r="A187" s="14" t="s">
        <v>505</v>
      </c>
      <c r="C187" s="125"/>
      <c r="D187" s="125"/>
    </row>
    <row r="188" spans="1:6" x14ac:dyDescent="0.3">
      <c r="A188" s="88" t="s">
        <v>11</v>
      </c>
      <c r="C188" s="125"/>
      <c r="D188" s="125"/>
    </row>
    <row r="189" spans="1:6" x14ac:dyDescent="0.3">
      <c r="A189" s="88" t="s">
        <v>11</v>
      </c>
      <c r="C189" s="125"/>
      <c r="D189" s="125"/>
    </row>
    <row r="190" spans="1:6" x14ac:dyDescent="0.3">
      <c r="B190" s="88" t="s">
        <v>506</v>
      </c>
      <c r="D190" s="88" t="s">
        <v>521</v>
      </c>
    </row>
    <row r="191" spans="1:6" x14ac:dyDescent="0.3">
      <c r="A191" s="88" t="s">
        <v>11</v>
      </c>
    </row>
    <row r="192" spans="1:6" x14ac:dyDescent="0.3">
      <c r="A192" s="88">
        <v>1</v>
      </c>
      <c r="B192" s="125" t="s">
        <v>322</v>
      </c>
      <c r="C192" s="88">
        <v>1</v>
      </c>
      <c r="D192" s="125" t="s">
        <v>475</v>
      </c>
      <c r="F192" s="125"/>
    </row>
    <row r="193" spans="1:6" x14ac:dyDescent="0.3">
      <c r="C193" s="88">
        <v>2</v>
      </c>
      <c r="D193" s="125" t="s">
        <v>476</v>
      </c>
      <c r="F193" s="125"/>
    </row>
    <row r="194" spans="1:6" x14ac:dyDescent="0.3">
      <c r="D194" s="125"/>
      <c r="F194" s="125"/>
    </row>
    <row r="195" spans="1:6" x14ac:dyDescent="0.3">
      <c r="A195" s="88">
        <v>2</v>
      </c>
      <c r="B195" s="125" t="s">
        <v>323</v>
      </c>
      <c r="C195" s="88">
        <v>3</v>
      </c>
      <c r="D195" s="125" t="s">
        <v>477</v>
      </c>
      <c r="F195" s="125"/>
    </row>
    <row r="196" spans="1:6" x14ac:dyDescent="0.3">
      <c r="C196" s="88">
        <v>4</v>
      </c>
      <c r="D196" s="125" t="s">
        <v>479</v>
      </c>
      <c r="F196" s="125"/>
    </row>
    <row r="197" spans="1:6" x14ac:dyDescent="0.3">
      <c r="C197" s="88">
        <v>5</v>
      </c>
      <c r="D197" s="125" t="s">
        <v>481</v>
      </c>
      <c r="F197" s="125"/>
    </row>
    <row r="198" spans="1:6" x14ac:dyDescent="0.3">
      <c r="C198" s="88">
        <v>6</v>
      </c>
      <c r="D198" s="125" t="s">
        <v>482</v>
      </c>
      <c r="F198" s="125"/>
    </row>
    <row r="199" spans="1:6" x14ac:dyDescent="0.3">
      <c r="B199" s="125"/>
      <c r="D199" s="125"/>
      <c r="F199" s="125"/>
    </row>
    <row r="200" spans="1:6" x14ac:dyDescent="0.3">
      <c r="A200" s="88">
        <v>3</v>
      </c>
      <c r="B200" s="125" t="s">
        <v>478</v>
      </c>
      <c r="C200" s="88">
        <v>7</v>
      </c>
      <c r="D200" s="125" t="s">
        <v>484</v>
      </c>
      <c r="F200" s="125"/>
    </row>
    <row r="201" spans="1:6" x14ac:dyDescent="0.3">
      <c r="C201" s="88">
        <v>8</v>
      </c>
      <c r="D201" s="125" t="s">
        <v>486</v>
      </c>
      <c r="F201" s="125"/>
    </row>
    <row r="202" spans="1:6" x14ac:dyDescent="0.3">
      <c r="C202" s="88">
        <v>9</v>
      </c>
      <c r="D202" s="125" t="s">
        <v>487</v>
      </c>
      <c r="F202" s="125"/>
    </row>
    <row r="203" spans="1:6" x14ac:dyDescent="0.3">
      <c r="C203" s="88">
        <v>10</v>
      </c>
      <c r="D203" s="125" t="s">
        <v>488</v>
      </c>
      <c r="F203" s="125"/>
    </row>
    <row r="204" spans="1:6" x14ac:dyDescent="0.3">
      <c r="C204" s="88">
        <v>11</v>
      </c>
      <c r="D204" s="125" t="s">
        <v>489</v>
      </c>
      <c r="F204" s="125"/>
    </row>
    <row r="205" spans="1:6" x14ac:dyDescent="0.3">
      <c r="D205" s="125"/>
      <c r="F205" s="125"/>
    </row>
    <row r="206" spans="1:6" x14ac:dyDescent="0.3">
      <c r="A206" s="88">
        <v>4</v>
      </c>
      <c r="B206" s="125" t="s">
        <v>480</v>
      </c>
      <c r="C206" s="88">
        <v>12</v>
      </c>
      <c r="D206" s="125" t="s">
        <v>490</v>
      </c>
      <c r="F206" s="125"/>
    </row>
    <row r="207" spans="1:6" x14ac:dyDescent="0.3">
      <c r="C207" s="88">
        <v>13</v>
      </c>
      <c r="D207" s="125" t="s">
        <v>491</v>
      </c>
      <c r="F207" s="125"/>
    </row>
    <row r="208" spans="1:6" x14ac:dyDescent="0.3">
      <c r="D208"/>
      <c r="F208" s="125"/>
    </row>
    <row r="209" spans="1:6" x14ac:dyDescent="0.3">
      <c r="A209" s="88">
        <v>5</v>
      </c>
      <c r="B209" s="125" t="s">
        <v>324</v>
      </c>
      <c r="C209" s="88">
        <v>14</v>
      </c>
      <c r="D209" s="125" t="s">
        <v>492</v>
      </c>
      <c r="F209" s="125"/>
    </row>
    <row r="210" spans="1:6" x14ac:dyDescent="0.3">
      <c r="C210" s="88">
        <v>15</v>
      </c>
      <c r="D210" s="125" t="s">
        <v>493</v>
      </c>
      <c r="F210" s="125"/>
    </row>
    <row r="211" spans="1:6" x14ac:dyDescent="0.3">
      <c r="C211" s="88">
        <v>16</v>
      </c>
      <c r="D211" s="125" t="s">
        <v>494</v>
      </c>
      <c r="F211" s="125"/>
    </row>
    <row r="212" spans="1:6" x14ac:dyDescent="0.3">
      <c r="C212" s="88">
        <v>17</v>
      </c>
      <c r="D212" s="125" t="s">
        <v>495</v>
      </c>
      <c r="F212" s="125"/>
    </row>
    <row r="213" spans="1:6" x14ac:dyDescent="0.3">
      <c r="D213"/>
      <c r="F213" s="125"/>
    </row>
    <row r="214" spans="1:6" x14ac:dyDescent="0.3">
      <c r="A214" s="88">
        <v>6</v>
      </c>
      <c r="B214" s="125" t="s">
        <v>483</v>
      </c>
      <c r="C214" s="88">
        <v>18</v>
      </c>
      <c r="D214" s="125" t="s">
        <v>496</v>
      </c>
      <c r="F214" s="125"/>
    </row>
    <row r="215" spans="1:6" x14ac:dyDescent="0.3">
      <c r="C215" s="88">
        <v>19</v>
      </c>
      <c r="D215" s="125" t="s">
        <v>497</v>
      </c>
      <c r="F215" s="125"/>
    </row>
    <row r="216" spans="1:6" x14ac:dyDescent="0.3">
      <c r="C216" s="88">
        <v>20</v>
      </c>
      <c r="D216" s="125" t="s">
        <v>498</v>
      </c>
      <c r="F216" s="125"/>
    </row>
    <row r="217" spans="1:6" x14ac:dyDescent="0.3">
      <c r="F217" s="125"/>
    </row>
    <row r="218" spans="1:6" x14ac:dyDescent="0.3">
      <c r="A218" s="88">
        <v>7</v>
      </c>
      <c r="B218" s="125" t="s">
        <v>485</v>
      </c>
      <c r="C218" s="88">
        <v>21</v>
      </c>
      <c r="D218" s="125" t="s">
        <v>499</v>
      </c>
      <c r="F218"/>
    </row>
    <row r="219" spans="1:6" x14ac:dyDescent="0.3">
      <c r="C219" s="88">
        <v>22</v>
      </c>
      <c r="D219" s="125" t="s">
        <v>500</v>
      </c>
    </row>
    <row r="220" spans="1:6" x14ac:dyDescent="0.3">
      <c r="D220" s="125"/>
    </row>
    <row r="221" spans="1:6" x14ac:dyDescent="0.3">
      <c r="A221" s="88">
        <v>8</v>
      </c>
      <c r="B221" s="125" t="s">
        <v>325</v>
      </c>
      <c r="C221" s="88">
        <v>23</v>
      </c>
      <c r="D221" s="125" t="s">
        <v>501</v>
      </c>
    </row>
    <row r="222" spans="1:6" x14ac:dyDescent="0.3">
      <c r="C222" s="88">
        <v>24</v>
      </c>
      <c r="D222" s="125" t="s">
        <v>502</v>
      </c>
    </row>
    <row r="223" spans="1:6" ht="12" customHeight="1" x14ac:dyDescent="0.3"/>
    <row r="224" spans="1:6" x14ac:dyDescent="0.3">
      <c r="A224" s="88">
        <v>9</v>
      </c>
      <c r="B224" s="125" t="s">
        <v>9</v>
      </c>
      <c r="C224" s="88">
        <v>25</v>
      </c>
      <c r="D224" s="125" t="s">
        <v>503</v>
      </c>
    </row>
    <row r="225" spans="1:4" x14ac:dyDescent="0.3">
      <c r="C225" s="88">
        <v>26</v>
      </c>
      <c r="D225" t="s">
        <v>504</v>
      </c>
    </row>
    <row r="226" spans="1:4" x14ac:dyDescent="0.3">
      <c r="B226"/>
      <c r="D226"/>
    </row>
    <row r="227" spans="1:4" x14ac:dyDescent="0.3">
      <c r="A227" s="14" t="s">
        <v>351</v>
      </c>
      <c r="D227"/>
    </row>
    <row r="228" spans="1:4" x14ac:dyDescent="0.3">
      <c r="D228"/>
    </row>
    <row r="229" spans="1:4" x14ac:dyDescent="0.3">
      <c r="B229" s="88" t="s">
        <v>460</v>
      </c>
      <c r="D229" s="88" t="s">
        <v>461</v>
      </c>
    </row>
    <row r="231" spans="1:4" x14ac:dyDescent="0.3">
      <c r="A231" s="88">
        <v>1</v>
      </c>
      <c r="B231" s="125" t="s">
        <v>458</v>
      </c>
      <c r="C231" s="88">
        <v>1</v>
      </c>
      <c r="D231" s="125" t="s">
        <v>450</v>
      </c>
    </row>
    <row r="232" spans="1:4" x14ac:dyDescent="0.3">
      <c r="C232" s="88">
        <v>2</v>
      </c>
      <c r="D232" s="125" t="s">
        <v>451</v>
      </c>
    </row>
    <row r="234" spans="1:4" x14ac:dyDescent="0.3">
      <c r="A234" s="88">
        <v>2</v>
      </c>
      <c r="B234" s="125" t="s">
        <v>459</v>
      </c>
      <c r="C234" s="88">
        <v>3</v>
      </c>
      <c r="D234" s="125" t="s">
        <v>452</v>
      </c>
    </row>
    <row r="235" spans="1:4" x14ac:dyDescent="0.3">
      <c r="C235" s="88">
        <v>4</v>
      </c>
      <c r="D235" s="125" t="s">
        <v>453</v>
      </c>
    </row>
    <row r="236" spans="1:4" x14ac:dyDescent="0.3">
      <c r="C236" s="88">
        <v>5</v>
      </c>
      <c r="D236" s="125" t="s">
        <v>454</v>
      </c>
    </row>
    <row r="238" spans="1:4" x14ac:dyDescent="0.3">
      <c r="A238" s="88">
        <v>3</v>
      </c>
      <c r="B238" s="125" t="s">
        <v>455</v>
      </c>
      <c r="C238" s="88">
        <v>6</v>
      </c>
      <c r="D238" s="125" t="s">
        <v>455</v>
      </c>
    </row>
    <row r="240" spans="1:4" x14ac:dyDescent="0.3">
      <c r="A240" s="88">
        <v>4</v>
      </c>
      <c r="B240" s="125" t="s">
        <v>456</v>
      </c>
      <c r="C240" s="88">
        <v>7</v>
      </c>
      <c r="D240" s="125" t="s">
        <v>456</v>
      </c>
    </row>
    <row r="242" spans="1:4" x14ac:dyDescent="0.3">
      <c r="A242" s="88">
        <v>5</v>
      </c>
      <c r="B242" s="125" t="s">
        <v>457</v>
      </c>
      <c r="C242" s="88">
        <v>8</v>
      </c>
      <c r="D242" s="125" t="s">
        <v>457</v>
      </c>
    </row>
    <row r="244" spans="1:4" x14ac:dyDescent="0.3">
      <c r="A244" s="88">
        <v>6</v>
      </c>
      <c r="B244" s="125" t="s">
        <v>327</v>
      </c>
      <c r="C244" s="88">
        <v>9</v>
      </c>
      <c r="D244" s="125" t="s">
        <v>327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4" manualBreakCount="4">
    <brk id="45" max="16383" man="1"/>
    <brk id="101" max="16383" man="1"/>
    <brk id="138" max="16383" man="1"/>
    <brk id="186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0147356-BF83-4BEC-BF94-AD05D775FCF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1b7eeb-5105-4999-94f6-a746eb4c6310"/>
    <ds:schemaRef ds:uri="22f0be0a-36a8-4d1a-945f-e8a2e9519595"/>
    <ds:schemaRef ds:uri="8c566321-f672-4e06-a901-b5e72b4c43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5DEAA31-D3BF-4553-AC86-352FD313078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32</vt:i4>
      </vt:variant>
    </vt:vector>
  </HeadingPairs>
  <TitlesOfParts>
    <vt:vector size="68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T3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T3'!Print_Area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MARSHALL, Sula</cp:lastModifiedBy>
  <cp:lastPrinted>2019-03-05T13:17:01Z</cp:lastPrinted>
  <dcterms:created xsi:type="dcterms:W3CDTF">2006-08-30T09:48:05Z</dcterms:created>
  <dcterms:modified xsi:type="dcterms:W3CDTF">2024-05-16T11:01:03Z</dcterms:modified>
</cp:coreProperties>
</file>